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https://ngkfcs-my.sharepoint.com/personal/kaliraj_mariappan_nmrk_com/Documents/Athena/Work Book/803/08.26/"/>
    </mc:Choice>
  </mc:AlternateContent>
  <xr:revisionPtr revIDLastSave="1209" documentId="13_ncr:1_{8CE1E3D5-0010-4F29-8E64-9527E14655F7}" xr6:coauthVersionLast="47" xr6:coauthVersionMax="47" xr10:uidLastSave="{34E970E5-1151-44F7-9DA7-12BCF068FC9D}"/>
  <bookViews>
    <workbookView xWindow="-110" yWindow="-110" windowWidth="19420" windowHeight="11500" tabRatio="933" firstSheet="1" activeTab="15" xr2:uid="{00000000-000D-0000-FFFF-FFFF00000000}"/>
  </bookViews>
  <sheets>
    <sheet name="XXXX" sheetId="17" state="veryHidden" r:id="rId1"/>
    <sheet name="Review Comments" sheetId="116" r:id="rId2"/>
    <sheet name="Min Rent Plan" sheetId="160" state="hidden" r:id="rId3"/>
    <sheet name="Min Rent Forecast" sheetId="166" state="hidden" r:id="rId4"/>
    <sheet name="Inline Rates" sheetId="161" state="hidden" r:id="rId5"/>
    <sheet name="Stats Page" sheetId="162" state="hidden" r:id="rId6"/>
    <sheet name="MRI Data" sheetId="169" state="hidden" r:id="rId7"/>
    <sheet name="Statistical Data" sheetId="163" state="hidden" r:id="rId8"/>
    <sheet name="MR-Stat Data Sheet Bud" sheetId="150" state="hidden" r:id="rId9"/>
    <sheet name="Min Rent Bud" sheetId="151" state="hidden" r:id="rId10"/>
    <sheet name="Stats Page Bud" sheetId="152" state="hidden" r:id="rId11"/>
    <sheet name="PCR" sheetId="143" state="hidden" r:id="rId12"/>
    <sheet name="12020" sheetId="5" state="hidden" r:id="rId13"/>
    <sheet name="12410" sheetId="178" state="hidden" r:id="rId14"/>
    <sheet name="12510" sheetId="188" state="hidden" r:id="rId15"/>
    <sheet name="TB" sheetId="221" r:id="rId16"/>
    <sheet name="13000" sheetId="197" state="hidden" r:id="rId17"/>
    <sheet name="10197" sheetId="242" state="hidden" r:id="rId18"/>
    <sheet name=" 10410" sheetId="240" state="hidden" r:id="rId19"/>
    <sheet name="12041" sheetId="241" state="hidden" r:id="rId20"/>
    <sheet name="13100" sheetId="186" state="hidden" r:id="rId21"/>
    <sheet name="13140" sheetId="173" state="hidden" r:id="rId22"/>
    <sheet name="15500" sheetId="198" state="hidden" r:id="rId23"/>
    <sheet name="Escrow Accts" sheetId="218" state="hidden" r:id="rId24"/>
    <sheet name="Assets" sheetId="147" r:id="rId25"/>
    <sheet name="1800830" sheetId="172" state="hidden" r:id="rId26"/>
    <sheet name="Insurance" sheetId="111" state="hidden" r:id="rId27"/>
    <sheet name="15656-9000" sheetId="121" state="hidden" r:id="rId28"/>
    <sheet name="Awning  Amort" sheetId="141" state="hidden" r:id="rId29"/>
    <sheet name="Prkg Lot Amort" sheetId="140" state="hidden" r:id="rId30"/>
    <sheet name="Building" sheetId="145" state="hidden" r:id="rId31"/>
    <sheet name="Tax" sheetId="174" state="hidden" r:id="rId32"/>
    <sheet name="16500" sheetId="175" state="hidden" r:id="rId33"/>
    <sheet name="20910" sheetId="176" state="hidden" r:id="rId34"/>
    <sheet name="1502880 Suspense" sheetId="10" state="hidden" r:id="rId35"/>
    <sheet name="20100" sheetId="6" state="hidden" r:id="rId36"/>
    <sheet name="16500A" sheetId="199" state="hidden" r:id="rId37"/>
    <sheet name="17910" sheetId="200" state="hidden" r:id="rId38"/>
    <sheet name="17920" sheetId="201" state="hidden" r:id="rId39"/>
    <sheet name="17930" sheetId="202" state="hidden" r:id="rId40"/>
    <sheet name="17940" sheetId="203" state="hidden" r:id="rId41"/>
    <sheet name="17950" sheetId="204" state="hidden" r:id="rId42"/>
    <sheet name="17960" sheetId="206" state="hidden" r:id="rId43"/>
    <sheet name="17970" sheetId="205" state="hidden" r:id="rId44"/>
    <sheet name="17971" sheetId="207" state="hidden" r:id="rId45"/>
    <sheet name="17980" sheetId="192" state="hidden" r:id="rId46"/>
    <sheet name="17982" sheetId="193" state="hidden" r:id="rId47"/>
    <sheet name="Depreciation" sheetId="219" state="hidden" r:id="rId48"/>
    <sheet name="20400" sheetId="220" state="hidden" r:id="rId49"/>
    <sheet name="20630" sheetId="194" state="hidden" r:id="rId50"/>
    <sheet name="17300" sheetId="244" r:id="rId51"/>
    <sheet name="20800" sheetId="195" r:id="rId52"/>
    <sheet name="20901" sheetId="196" state="hidden" r:id="rId53"/>
    <sheet name="25410" sheetId="208" state="hidden" r:id="rId54"/>
    <sheet name="25300" sheetId="217" state="hidden" r:id="rId55"/>
    <sheet name="26510" sheetId="185" state="hidden" r:id="rId56"/>
    <sheet name="35000" sheetId="210" r:id="rId57"/>
    <sheet name="35730" sheetId="224" state="hidden" r:id="rId58"/>
    <sheet name="35740" sheetId="226" state="hidden" r:id="rId59"/>
    <sheet name="35750" sheetId="227" state="hidden" r:id="rId60"/>
    <sheet name="35760" sheetId="228" state="hidden" r:id="rId61"/>
    <sheet name="35770" sheetId="229" state="hidden" r:id="rId62"/>
    <sheet name="35780" sheetId="230" state="hidden" r:id="rId63"/>
    <sheet name="35790" sheetId="231" state="hidden" r:id="rId64"/>
    <sheet name="35800" sheetId="232" state="hidden" r:id="rId65"/>
    <sheet name="35810" sheetId="233" state="hidden" r:id="rId66"/>
    <sheet name="36000" sheetId="211" r:id="rId67"/>
    <sheet name="36191" sheetId="234" state="hidden" r:id="rId68"/>
    <sheet name="36192" sheetId="235" state="hidden" r:id="rId69"/>
    <sheet name="36193" sheetId="236" state="hidden" r:id="rId70"/>
    <sheet name="36194" sheetId="237" state="hidden" r:id="rId71"/>
    <sheet name="36195" sheetId="238" state="hidden" r:id="rId72"/>
    <sheet name="36196" sheetId="239" state="hidden" r:id="rId73"/>
    <sheet name="Cash Income" sheetId="213" r:id="rId74"/>
    <sheet name="IS" sheetId="222" r:id="rId75"/>
    <sheet name="CM Ledger" sheetId="223" r:id="rId76"/>
    <sheet name="Notes" sheetId="179" state="hidden" r:id="rId77"/>
    <sheet name="4000362" sheetId="165" state="hidden" r:id="rId78"/>
    <sheet name="Variance" sheetId="180" state="hidden" r:id="rId79"/>
  </sheets>
  <externalReferences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__dat1">#REF!</definedName>
    <definedName name="_1" localSheetId="27">#REF!</definedName>
    <definedName name="_1" localSheetId="77">#REF!</definedName>
    <definedName name="_1" localSheetId="6">#REF!</definedName>
    <definedName name="_1" localSheetId="1">'[1]Square (The)'!$D$18:$D$22</definedName>
    <definedName name="_1">'[1]Square (The)'!$D$18:$D$22</definedName>
    <definedName name="_1_245118304" localSheetId="77">#REF!</definedName>
    <definedName name="_10" localSheetId="77">#REF!</definedName>
    <definedName name="_10">#REF!</definedName>
    <definedName name="_2" localSheetId="27">#REF!</definedName>
    <definedName name="_2" localSheetId="77">#REF!</definedName>
    <definedName name="_2" localSheetId="6">[2]data!$J$22:$BR$22</definedName>
    <definedName name="_2" localSheetId="1">'[1]Square (The)'!$J$22:$BR$22</definedName>
    <definedName name="_2">'[1]Square (The)'!$J$22:$BR$22</definedName>
    <definedName name="_2_245118304">#REF!</definedName>
    <definedName name="_245118304">#REF!</definedName>
    <definedName name="_245118304BDR">#REF!</definedName>
    <definedName name="_265329000">#REF!</definedName>
    <definedName name="_3_245118304BDR" localSheetId="77">#REF!</definedName>
    <definedName name="_4_245118304BDR">#REF!</definedName>
    <definedName name="_5_265329000" localSheetId="77">#REF!</definedName>
    <definedName name="_6_265329000">#REF!</definedName>
    <definedName name="_dat1" localSheetId="73">[3]data!$A$2:$Q$1000</definedName>
    <definedName name="_dat1">[4]data!$A$2:$Q$1000</definedName>
    <definedName name="_Key1" localSheetId="77" hidden="1">#REF!</definedName>
    <definedName name="_Key1" hidden="1">#REF!</definedName>
    <definedName name="_Order1" hidden="1">255</definedName>
    <definedName name="_Sort" localSheetId="77" hidden="1">#REF!</definedName>
    <definedName name="_Sort" hidden="1">#REF!</definedName>
    <definedName name="A" localSheetId="27" hidden="1">[5]JE!$J$89</definedName>
    <definedName name="A" localSheetId="77" hidden="1">'[6]Crystal Cove'!$J$91</definedName>
    <definedName name="A" localSheetId="6" hidden="1">[6]data!$J$89</definedName>
    <definedName name="A" localSheetId="1" hidden="1">#REF!</definedName>
    <definedName name="A" hidden="1">#REF!</definedName>
    <definedName name="account_data" localSheetId="77">[7]Menu!$U$36</definedName>
    <definedName name="account_data" localSheetId="6">[8]Menu!$U$36</definedName>
    <definedName name="account_data">[9]Menu!$U$36</definedName>
    <definedName name="Actual_Rent" localSheetId="8">'MR-Stat Data Sheet Bud'!$U$8:$AF$1326</definedName>
    <definedName name="Actual_Sqft" localSheetId="77">#REF!</definedName>
    <definedName name="Actual_Sqft" localSheetId="73">'[10]MR-Stat Data Sheet Bud'!$I$8:$T$402</definedName>
    <definedName name="Actual_Sqft">'MR-Stat Data Sheet Bud'!$I$8:$T$402</definedName>
    <definedName name="ActualMonth" localSheetId="77">'[11]Min Rent Bud '!$V$8:$AG$10</definedName>
    <definedName name="ActualMonth" localSheetId="8">'MR-Stat Data Sheet Bud'!$AG$8:$AR$9</definedName>
    <definedName name="ActualMonth">'Min Rent Bud'!$V$8:$AG$10</definedName>
    <definedName name="amt_class_type_data" localSheetId="77">[7]Menu!$U$33</definedName>
    <definedName name="amt_class_type_data" localSheetId="6">[8]Menu!$U$33</definedName>
    <definedName name="amt_class_type_data">[9]Menu!$U$33</definedName>
    <definedName name="amy" localSheetId="77">'[6]Newport Hills'!$A$2:$J$477</definedName>
    <definedName name="amy" localSheetId="73">[12]variance!$A$2:$J$476</definedName>
    <definedName name="amy" localSheetId="6">[6]data!$A$2:$J$476</definedName>
    <definedName name="amy">[13]variance!$A$2:$J$476</definedName>
    <definedName name="annual_data" localSheetId="77">[7]Menu!$U$23</definedName>
    <definedName name="annual_data" localSheetId="6">[8]Menu!$U$23</definedName>
    <definedName name="annual_data">[9]Menu!$U$23</definedName>
    <definedName name="B" localSheetId="27" hidden="1">[5]JE!$J$89:$J$142</definedName>
    <definedName name="B" localSheetId="77" hidden="1">'[6]Crystal Cove'!$J$91:$J$144</definedName>
    <definedName name="B" localSheetId="6" hidden="1">[6]data!$J$89:$J$142</definedName>
    <definedName name="B" localSheetId="1" hidden="1">#REF!</definedName>
    <definedName name="B" hidden="1">#REF!</definedName>
    <definedName name="Bay" localSheetId="73">[14]Bluffs!$A$2:$J$1340</definedName>
    <definedName name="Bay" localSheetId="6">[15]Bluffs!$A$2:$J$1340</definedName>
    <definedName name="Bay">[16]Bluffs!$A$2:$J$1340</definedName>
    <definedName name="Bayside">#REF!</definedName>
    <definedName name="BS" localSheetId="77">#REF!</definedName>
    <definedName name="BS">#REF!</definedName>
    <definedName name="Budget_Type" localSheetId="77">[7]Menu!$N$13</definedName>
    <definedName name="Budget_Type" localSheetId="6">[8]Menu!$N$13</definedName>
    <definedName name="Budget_Type">[9]Menu!$N$13</definedName>
    <definedName name="CC_Name" localSheetId="77">[7]Menu!$N$15</definedName>
    <definedName name="CC_Name" localSheetId="6">[8]Menu!$N$15</definedName>
    <definedName name="CC_Name">[9]Menu!$N$15</definedName>
    <definedName name="cdm" localSheetId="77">'[6]Newport Hills'!$A$2:$J$1341</definedName>
    <definedName name="cdm" localSheetId="73">[17]variance!$A$2:$J$1340</definedName>
    <definedName name="cdm" localSheetId="6">[6]data!$A$2:$J$1340</definedName>
    <definedName name="cdm">[18]variance!$A$2:$J$1340</definedName>
    <definedName name="coral" localSheetId="77">'[6]Newport Hills'!$A$2:$J$477</definedName>
    <definedName name="coral" localSheetId="73">[12]variance!$A$2:$J$476</definedName>
    <definedName name="coral" localSheetId="6">[6]data!$A$2:$J$476</definedName>
    <definedName name="coral">[13]variance!$A$2:$J$476</definedName>
    <definedName name="CULVER" localSheetId="77">[16]Bluffs!$A$2:$J$1340</definedName>
    <definedName name="CULVER" localSheetId="6">[16]Bluffs!$A$2:$J$1340</definedName>
    <definedName name="CULVER">[1]Bluffs!$A$2:$J$1340</definedName>
    <definedName name="dat" localSheetId="73">[3]data!$A$2:$Q$1000</definedName>
    <definedName name="dat">[4]data!$A$2:$Q$1000</definedName>
    <definedName name="data" localSheetId="27">#REF!</definedName>
    <definedName name="data" localSheetId="77">'[6]Newport Hills'!$A$2:$J$1341</definedName>
    <definedName name="data" localSheetId="6">[2]data!$A$2:$J$1340</definedName>
    <definedName name="data" localSheetId="1">[1]Bluffs!$A$2:$J$1340</definedName>
    <definedName name="data">[1]Bluffs!$A$2:$J$1340</definedName>
    <definedName name="DATA01" localSheetId="73">[3]Commons!$A$2:$J$1145</definedName>
    <definedName name="DATA01">[4]Commons!$A$2:$J$1145</definedName>
    <definedName name="DATA02" localSheetId="73">[3]Commons!$A$2:$J$1135</definedName>
    <definedName name="DATA02">[4]Commons!$A$2:$J$1135</definedName>
    <definedName name="data03" localSheetId="77">'[6]Newport Hills'!$A$2:$J$1136</definedName>
    <definedName name="data03" localSheetId="73">[19]variance!$A$2:$J$1135</definedName>
    <definedName name="data03" localSheetId="6">[6]data!$A$2:$J$1135</definedName>
    <definedName name="data03">[20]variance!$A$2:$J$1135</definedName>
    <definedName name="data04" localSheetId="77">'[6]Newport Hills'!$A$2:$J$1136</definedName>
    <definedName name="data04" localSheetId="73">[19]variance!$A$2:$J$1135</definedName>
    <definedName name="data04" localSheetId="6">[6]data!$A$2:$J$1135</definedName>
    <definedName name="data04">[20]variance!$A$2:$J$1135</definedName>
    <definedName name="data07" localSheetId="77">'[6]Newport Hills'!$A$2:$J$1146</definedName>
    <definedName name="data07" localSheetId="6">[6]data!$A$2:$J$1145</definedName>
    <definedName name="data07">[21]variance!$A$2:$J$1145</definedName>
    <definedName name="data08" localSheetId="77">'[6]Newport Hills'!$A$2:$J$1146</definedName>
    <definedName name="data08" localSheetId="6">[6]data!$A$2:$J$1145</definedName>
    <definedName name="data08">[21]variance!$A$2:$J$1145</definedName>
    <definedName name="data1" localSheetId="27">[22]variance!$A$2:$J$1145</definedName>
    <definedName name="data1" localSheetId="77">'[6]Newport Hills'!$A$2:$J$1341</definedName>
    <definedName name="data1" localSheetId="6">[6]data!$A$2:$J$1145</definedName>
    <definedName name="data1" localSheetId="1">[1]Bluffs!$A$2:$J$762</definedName>
    <definedName name="data1">[1]Bluffs!$A$2:$J$762</definedName>
    <definedName name="data2" localSheetId="27">[23]variance!$A$2:$J$1340</definedName>
    <definedName name="data2" localSheetId="77">'[6]Newport Hills'!$A$2:$J$1341</definedName>
    <definedName name="data2" localSheetId="6">[6]data!$A$2:$J$1340</definedName>
    <definedName name="data2">#REF!</definedName>
    <definedName name="data20" localSheetId="73">[3]Commons!$A$2:$J$1340</definedName>
    <definedName name="data20">[4]Commons!$A$2:$J$1340</definedName>
    <definedName name="data22" localSheetId="77">'[6]Newport Hills'!$A$2:$J$1341</definedName>
    <definedName name="data22" localSheetId="6">[6]data!$A$2:$J$1340</definedName>
    <definedName name="data22">[23]variance!$A$2:$J$1340</definedName>
    <definedName name="data23" localSheetId="73">[3]Commons!$A$2:$J$1340</definedName>
    <definedName name="data23">[4]Commons!$A$2:$J$1340</definedName>
    <definedName name="data3" localSheetId="73">[3]Commons!$A$2:$J$1145</definedName>
    <definedName name="data3">[4]Commons!$A$2:$J$1145</definedName>
    <definedName name="data4" localSheetId="27">[23]variance!$A$2:$J$1340</definedName>
    <definedName name="data4" localSheetId="77">'[6]Newport Hills'!$A$2:$J$1341</definedName>
    <definedName name="data4" localSheetId="6">[6]data!$A$2:$J$1340</definedName>
    <definedName name="data4">[1]Bluffs!$A$2:$J$1340</definedName>
    <definedName name="data5" localSheetId="27">[23]variance!$A$2:$J$1340</definedName>
    <definedName name="data5" localSheetId="77">'[6]Newport Hills'!$A$2:$J$1341</definedName>
    <definedName name="data5" localSheetId="6">[6]data!$A$2:$J$1340</definedName>
    <definedName name="data5">[1]Bluffs!$A$2:$J$1340</definedName>
    <definedName name="data6" localSheetId="27">[23]variance!$A$2:$J$1340</definedName>
    <definedName name="data6" localSheetId="77">'[6]Newport Hills'!$A$2:$J$1341</definedName>
    <definedName name="data6" localSheetId="6">[6]data!$A$2:$J$1340</definedName>
    <definedName name="data6">[1]Bluffs!$A$2:$J$1340</definedName>
    <definedName name="data9" localSheetId="73">[3]data!$A$2:$Q$1000</definedName>
    <definedName name="data9">[4]data!$A$2:$Q$1000</definedName>
    <definedName name="datacc" localSheetId="77">'[6]Harbor View'!$A$2:$J$956</definedName>
    <definedName name="datacc" localSheetId="73">[24]budget!$A$2:$J$956</definedName>
    <definedName name="datacc" localSheetId="6">[6]data!$A$2:$J$956</definedName>
    <definedName name="datacc">[25]budget!$A$2:$J$956</definedName>
    <definedName name="datahv" localSheetId="77">'[6]Alton Square'!$A$2:$J$956</definedName>
    <definedName name="datahv" localSheetId="73">[24]budget!$A$2:$J$956</definedName>
    <definedName name="datahv" localSheetId="6">[6]data!$A$2:$J$956</definedName>
    <definedName name="datahv">[25]budget!$A$2:$J$956</definedName>
    <definedName name="datanh" localSheetId="77">'[6]Alton Square'!$A$2:$J$956</definedName>
    <definedName name="datanh" localSheetId="73">[24]budget!$A$2:$J$956</definedName>
    <definedName name="datanh" localSheetId="6">[6]data!$A$2:$J$956</definedName>
    <definedName name="datanh">[25]budget!$A$2:$J$956</definedName>
    <definedName name="dataNov11" localSheetId="73">[3]Commons!$A$2:$J$1145</definedName>
    <definedName name="dataNov11">[4]Commons!$A$2:$J$1145</definedName>
    <definedName name="dataNov12" localSheetId="73">[3]Commons!$A$2:$J$1145</definedName>
    <definedName name="dataNov12">[4]Commons!$A$2:$J$1145</definedName>
    <definedName name="dataNov13" localSheetId="77">'[6]Newport Hills'!$A$2:$J$1146</definedName>
    <definedName name="dataNov13" localSheetId="6">[6]data!$A$2:$J$1145</definedName>
    <definedName name="dataNov13">[21]variance!$A$2:$J$1145</definedName>
    <definedName name="dataNov4" localSheetId="77">'[6]Newport Hills'!$A$2:$J$1146</definedName>
    <definedName name="dataNov4" localSheetId="6">[6]data!$A$2:$J$1145</definedName>
    <definedName name="dataNov4">[21]variance!$A$2:$J$1145</definedName>
    <definedName name="dataNov6" localSheetId="77">'[6]Newport Hills'!$A$2:$J$1146</definedName>
    <definedName name="dataNov6" localSheetId="6">[6]data!$A$2:$J$1145</definedName>
    <definedName name="dataNov6">[21]variance!$A$2:$J$1145</definedName>
    <definedName name="dataNov7" localSheetId="77">'[6]Newport Hills'!$A$2:$J$1146</definedName>
    <definedName name="dataNov7" localSheetId="6">[6]data!$A$2:$J$1145</definedName>
    <definedName name="dataNov7">[21]variance!$A$2:$J$1145</definedName>
    <definedName name="dataNov8" localSheetId="77">'[6]Newport Hills'!$A$2:$J$1146</definedName>
    <definedName name="dataNov8" localSheetId="6">[6]data!$A$2:$J$1145</definedName>
    <definedName name="dataNov8">[21]variance!$A$2:$J$1145</definedName>
    <definedName name="datcdm" localSheetId="77">'[6]Alton Square'!$A$2:$J$956</definedName>
    <definedName name="datcdm" localSheetId="73">[24]budget!$A$2:$J$956</definedName>
    <definedName name="datcdm" localSheetId="6">[6]data!$A$2:$J$956</definedName>
    <definedName name="datcdm">[25]budget!$A$2:$J$956</definedName>
    <definedName name="Fiscal_yr" localSheetId="77">[7]Menu!$N$6</definedName>
    <definedName name="Fiscal_yr" localSheetId="6">[8]Menu!$N$6</definedName>
    <definedName name="Fiscal_yr">[9]Menu!$N$6</definedName>
    <definedName name="forecast" localSheetId="27">[26]forecast!$A$2:$J$1000</definedName>
    <definedName name="forecast" localSheetId="77">'[6]Corona Del Mar'!$A$2:$J$1000</definedName>
    <definedName name="forecast" localSheetId="6">[6]data!$A$2:$J$1000</definedName>
    <definedName name="Forecast">#REF!</definedName>
    <definedName name="FRANCOLI" localSheetId="77">#REF!</definedName>
    <definedName name="FRANCOLI">#REF!</definedName>
    <definedName name="fy_data" localSheetId="77">[7]Menu!$U$30</definedName>
    <definedName name="fy_data" localSheetId="6">[8]Menu!$U$30</definedName>
    <definedName name="fy_data">[9]Menu!$U$30</definedName>
    <definedName name="HV" localSheetId="77">'[6]Newport Hills'!$A$2:$J$477</definedName>
    <definedName name="HV" localSheetId="6">[6]data!$A$2:$J$476</definedName>
    <definedName name="HV">[27]variance!$A$2:$J$476</definedName>
    <definedName name="hvhvhv" localSheetId="77">'[6]Newport Hills'!$A$2:$J$477</definedName>
    <definedName name="hvhvhv" localSheetId="73">[12]variance!$A$2:$J$476</definedName>
    <definedName name="hvhvhv" localSheetId="6">[6]data!$A$2:$J$476</definedName>
    <definedName name="hvhvhv">[13]variance!$A$2:$J$476</definedName>
    <definedName name="Info" localSheetId="77">#REF!</definedName>
    <definedName name="Info">#REF!</definedName>
    <definedName name="Inline_Rate">'Statistical Data'!$A$16:$Z$16</definedName>
    <definedName name="inlineoccb" localSheetId="73">'[10]Statistical Data'!$A$18:$Z$18</definedName>
    <definedName name="inlineoccb">'Statistical Data'!$A$18:$Z$18</definedName>
    <definedName name="inlineoccf" localSheetId="73">'[10]Statistical Data'!$A$20:$Z$20</definedName>
    <definedName name="inlineoccf">'Statistical Data'!$A$20:$Z$20</definedName>
    <definedName name="inlinerateb" localSheetId="73">'[10]Statistical Data'!$A$12:$Z$12</definedName>
    <definedName name="inlinerateb">'Statistical Data'!$A$12:$Z$12</definedName>
    <definedName name="inlineratef" localSheetId="73">'[10]Statistical Data'!$A$14:$Z$14</definedName>
    <definedName name="inlineratef">'Statistical Data'!$A$14:$Z$14</definedName>
    <definedName name="inlineratepy" localSheetId="73">'[10]Statistical Data'!$A$16:$Z$16</definedName>
    <definedName name="inlineratepy">'Statistical Data'!$A$16:$Z$16</definedName>
    <definedName name="MONTH" localSheetId="77">#REF!</definedName>
    <definedName name="Month" localSheetId="73">'[10]Min Rent Bud'!$AH$10:$AH$21</definedName>
    <definedName name="Month">'Min Rent Bud'!$AH$10:$AH$21</definedName>
    <definedName name="new" localSheetId="77">[16]Bluffs!$A$2:$J$1340</definedName>
    <definedName name="new" localSheetId="6">[16]Bluffs!$A$2:$J$1340</definedName>
    <definedName name="new">[1]Bluffs!$A$2:$J$1340</definedName>
    <definedName name="newportcoast" localSheetId="77">'[6]Harbor View'!$A$2:$J$956</definedName>
    <definedName name="newportcoast" localSheetId="73">[28]variance!$A$2:$J$956</definedName>
    <definedName name="newportcoast" localSheetId="6">[6]data!$A$2:$J$956</definedName>
    <definedName name="newportcoast">[29]variance!$A$2:$J$956</definedName>
    <definedName name="nh" localSheetId="77">'[6]Newport Hills'!$A$2:$J$1341</definedName>
    <definedName name="nh" localSheetId="73">[17]variance!$A$2:$J$1340</definedName>
    <definedName name="nh" localSheetId="6">[6]data!$A$2:$J$1340</definedName>
    <definedName name="nh">[18]variance!$A$2:$J$1340</definedName>
    <definedName name="ovalloccf">#REF!</definedName>
    <definedName name="overalloccb" localSheetId="73">'[10]Statistical Data'!$A$22:$Z$22</definedName>
    <definedName name="overalloccb">'Statistical Data'!$A$22:$Z$22</definedName>
    <definedName name="overalloccf" localSheetId="73">'[10]Statistical Data'!$A$24:$Z$24</definedName>
    <definedName name="overalloccf">'Statistical Data'!$A$24:$Z$24</definedName>
    <definedName name="Plan_Rent" localSheetId="77">#REF!</definedName>
    <definedName name="Plan_Rent">'MR-Stat Data Sheet Bud'!$AS$8:$BD$613</definedName>
    <definedName name="Plan_Sqft" localSheetId="77">#REF!</definedName>
    <definedName name="Plan_Sqft">'MR-Stat Data Sheet Bud'!$AG$8:$AR$610</definedName>
    <definedName name="PRINT" localSheetId="77">#REF!</definedName>
    <definedName name="PRINT">#REF!</definedName>
    <definedName name="_xlnm.Print_Area" localSheetId="27">'15656-9000'!$A$1:$AD$38</definedName>
    <definedName name="_xlnm.Print_Area" localSheetId="36">'16500A'!$A$1:$F$30</definedName>
    <definedName name="_xlnm.Print_Area" localSheetId="45">'17980'!$A$1:$F$35</definedName>
    <definedName name="_xlnm.Print_Area" localSheetId="25">'1800830'!$A$1:$Q$27</definedName>
    <definedName name="_xlnm.Print_Area" localSheetId="35">'20100'!$A$1:$G$33</definedName>
    <definedName name="_xlnm.Print_Area" localSheetId="33">'20910'!$A$1:$E$18</definedName>
    <definedName name="_xlnm.Print_Area" localSheetId="77">'4000362'!$A$1:$I$33</definedName>
    <definedName name="_xlnm.Print_Area" localSheetId="24">Assets!$A$1:$F$117</definedName>
    <definedName name="_xlnm.Print_Area" localSheetId="30">Building!$A$1:$L$60</definedName>
    <definedName name="_xlnm.Print_Area" localSheetId="47">Depreciation!$A$1:$F$95</definedName>
    <definedName name="_xlnm.Print_Area" localSheetId="23">'Escrow Accts'!$A$1:$F$82</definedName>
    <definedName name="_xlnm.Print_Area" localSheetId="4">'Inline Rates'!$BP$1:$BZ$67</definedName>
    <definedName name="_xlnm.Print_Area" localSheetId="9">'Min Rent Bud'!$B$2:$U$337</definedName>
    <definedName name="_xlnm.Print_Area" localSheetId="3">'Min Rent Forecast'!$C$2:$DS$57</definedName>
    <definedName name="_xlnm.Print_Area" localSheetId="2">'Min Rent Plan'!$C$2:$DS$57</definedName>
    <definedName name="_xlnm.Print_Area" localSheetId="8">'MR-Stat Data Sheet Bud'!$B$2:$G$331</definedName>
    <definedName name="_xlnm.Print_Area" localSheetId="11">PCR!$A$1:$U$141</definedName>
    <definedName name="_xlnm.Print_Area" localSheetId="29">'Prkg Lot Amort'!$A$1:$L$40</definedName>
    <definedName name="_xlnm.Print_Area" localSheetId="1">'Review Comments'!$A$15:$B$52</definedName>
    <definedName name="_xlnm.Print_Area" localSheetId="5">'Stats Page'!$A$1:$W$46</definedName>
    <definedName name="_xlnm.Print_Area" localSheetId="10">'Stats Page Bud'!$A$1:$K$46</definedName>
    <definedName name="_xlnm.Print_Area">#REF!</definedName>
    <definedName name="PRINT_AREA_MI" localSheetId="77">#REF!</definedName>
    <definedName name="PRINT_AREA_MI">#REF!</definedName>
    <definedName name="_xlnm.Print_Titles" localSheetId="9">'Min Rent Bud'!$1:$9</definedName>
    <definedName name="_xlnm.Print_Titles" localSheetId="8">'MR-Stat Data Sheet Bud'!$2:$8</definedName>
    <definedName name="_xlnm.Print_Titles" localSheetId="11">PCR!$1:$8</definedName>
    <definedName name="_xlnm.Print_Titles" localSheetId="1">'Review Comments'!$1:$13</definedName>
    <definedName name="_xlnm.Print_Titles">#N/A</definedName>
    <definedName name="PRINT_TITLES_MI" localSheetId="77">#REF!</definedName>
    <definedName name="PRINT_TITLES_MI">#REF!</definedName>
    <definedName name="Prior_Fiscal_yr" localSheetId="77">[7]Menu!$N$4</definedName>
    <definedName name="Prior_Fiscal_yr" localSheetId="6">[8]Menu!$N$4</definedName>
    <definedName name="Prior_Fiscal_yr">[9]Menu!$N$4</definedName>
    <definedName name="PY" localSheetId="27">'[26]prior year'!$A$2:$J$1000</definedName>
    <definedName name="PY" localSheetId="77">'[6]Oak Creek'!$A$2:$J$1000</definedName>
    <definedName name="PY" localSheetId="6">[6]data!$A$2:$J$1000</definedName>
    <definedName name="PY">'[1]Newport North'!$A:$IV</definedName>
    <definedName name="RESTORATION" localSheetId="77">#REF!</definedName>
    <definedName name="RESTORATION">#REF!</definedName>
    <definedName name="ROWBOR" localSheetId="77">#REF!</definedName>
    <definedName name="ROWBOR">#REF!</definedName>
    <definedName name="rpt_data" localSheetId="77">[7]Menu!$U$20</definedName>
    <definedName name="rpt_data" localSheetId="6">[8]Menu!$U$20</definedName>
    <definedName name="rpt_data">[9]Menu!$U$20</definedName>
    <definedName name="source1" localSheetId="77">[16]Bluffs!$A$2:$J$762</definedName>
    <definedName name="source1" localSheetId="6">[16]Bluffs!$A$2:$J$762</definedName>
    <definedName name="source1">[1]Bluffs!$A$2:$J$762</definedName>
    <definedName name="source4" localSheetId="77">[16]Bluffs!$A$2:$J$762</definedName>
    <definedName name="source4" localSheetId="6">[16]Bluffs!$A$2:$J$762</definedName>
    <definedName name="source4">[1]Bluffs!$A$2:$J$762</definedName>
    <definedName name="source5">[1]Bluffs!$A$2:$J$762</definedName>
    <definedName name="source6" localSheetId="77">[16]Bluffs!$A$2:$J$762</definedName>
    <definedName name="source6" localSheetId="6">[16]Bluffs!$A$2:$J$762</definedName>
    <definedName name="source6">[1]Bluffs!$A$2:$J$762</definedName>
    <definedName name="Status" localSheetId="77">'[11]Min Rent Bud '!$BQ$11:$BQ$12</definedName>
    <definedName name="Status" localSheetId="8">'MR-Stat Data Sheet Bud'!$BZ$10:$BZ$10</definedName>
    <definedName name="Status">'Min Rent Bud'!$BQ$11:$BQ$12</definedName>
    <definedName name="Suite_Data" localSheetId="77">#REF!</definedName>
    <definedName name="Suite_Data" localSheetId="73">'[10]MR-Stat Data Sheet Bud'!$A$10:$G$613</definedName>
    <definedName name="Suite_Data">'MR-Stat Data Sheet Bud'!$A$10:$G$613</definedName>
    <definedName name="Test" localSheetId="77">'[11]Min Rent Bud '!$G$11:$AG$567</definedName>
    <definedName name="Test" localSheetId="8">'MR-Stat Data Sheet Bud'!$F$10:$AR$566</definedName>
    <definedName name="Test">'Min Rent Bud'!$G$11:$AG$567</definedName>
    <definedName name="TIC" localSheetId="77">'[6]Newport Hills'!$A$2:$J$477</definedName>
    <definedName name="TIC" localSheetId="6">[6]data!$A$2:$J$476</definedName>
    <definedName name="TIC">[30]variance!$A$2:$J$476</definedName>
    <definedName name="TICCC" localSheetId="27">[18]variance!$A$2:$J$1340</definedName>
    <definedName name="TICCC" localSheetId="77">'[6]Newport Hills'!$A$2:$J$1341</definedName>
    <definedName name="TICCC" localSheetId="6">[6]data!$A$2:$J$1340</definedName>
    <definedName name="ticcc">[1]Bluffs!$A$2:$J$1340</definedName>
    <definedName name="ticcdm" localSheetId="77">'[6]Newport Hills'!$A$2:$J$1341</definedName>
    <definedName name="ticcdm" localSheetId="73">[17]variance!$A$2:$J$1340</definedName>
    <definedName name="ticcdm" localSheetId="6">[6]data!$A$2:$J$1340</definedName>
    <definedName name="ticcdm">[18]variance!$A$2:$J$1340</definedName>
    <definedName name="ticco" localSheetId="27">[31]variance!$A$2:$J$1340</definedName>
    <definedName name="ticco" localSheetId="77">'[6]Newport Hills'!$A$2:$J$1341</definedName>
    <definedName name="ticco" localSheetId="6">[6]data!$A$2:$J$1340</definedName>
    <definedName name="TICCO">[1]Bluffs!$A$2:$J$1340</definedName>
    <definedName name="TICCOMM" localSheetId="27">[32]variance!$A$2:$J$1340</definedName>
    <definedName name="TICCOMM" localSheetId="77">'[6]Newport Hills'!$A$2:$J$1341</definedName>
    <definedName name="TICCOMM" localSheetId="6">[6]data!$A$2:$J$1340</definedName>
    <definedName name="TICCOMM">[1]Bluffs!$A$2:$J$1340</definedName>
    <definedName name="ticcp" localSheetId="77">[16]Bluffs!$A$2:$J$1340</definedName>
    <definedName name="ticcp" localSheetId="6">[16]Bluffs!$A$2:$J$1340</definedName>
    <definedName name="ticcp">[1]Bluffs!$A$2:$J$1340</definedName>
    <definedName name="ticcu" localSheetId="77">[16]Bluffs!$A$2:$J$1340</definedName>
    <definedName name="ticcu" localSheetId="6">[16]Bluffs!$A$2:$J$1340</definedName>
    <definedName name="ticcu">[1]Bluffs!$A$2:$J$1340</definedName>
    <definedName name="tichb" localSheetId="77">'[6]Newport Hills'!$A$2:$J$477</definedName>
    <definedName name="tichb" localSheetId="73">[12]variance!$A$2:$J$476</definedName>
    <definedName name="tichb" localSheetId="6">[6]data!$A$2:$J$476</definedName>
    <definedName name="tichb">[13]variance!$A$2:$J$476</definedName>
    <definedName name="TICLAKE" localSheetId="77">[16]Bluffs!$A$2:$J$1340</definedName>
    <definedName name="TICLAKE" localSheetId="6">[6]data!$A$2:$J$1340</definedName>
    <definedName name="TICLAKE">[1]Bluffs!$A$2:$J$1340</definedName>
    <definedName name="ticnh" localSheetId="77">'[6]Newport Hills'!$A$2:$J$1341</definedName>
    <definedName name="ticnh" localSheetId="73">[17]variance!$A$2:$J$1340</definedName>
    <definedName name="ticnh" localSheetId="6">[6]data!$A$2:$J$1340</definedName>
    <definedName name="ticnh">[18]variance!$A$2:$J$1340</definedName>
    <definedName name="TICSC" localSheetId="77">[16]Bluffs!$A$2:$J$1340</definedName>
    <definedName name="TICSC" localSheetId="6">[16]Bluffs!$A$2:$J$1340</definedName>
    <definedName name="TICSC">[1]Bluffs!$A$2:$J$1340</definedName>
    <definedName name="TICSQ">[1]Bluffs!$A$2:$J$1340</definedName>
    <definedName name="ticuc" localSheetId="27">[32]variance!$A$2:$J$1340</definedName>
    <definedName name="ticuc" localSheetId="77">'[6]Newport Hills'!$A$2:$J$1341</definedName>
    <definedName name="ticuc" localSheetId="6">[6]data!$A$2:$J$1340</definedName>
    <definedName name="ticuc">[1]Bluffs!$A$2:$J$1340</definedName>
    <definedName name="ticuniv" localSheetId="27">[32]variance!$A$2:$J$1340</definedName>
    <definedName name="ticuniv" localSheetId="77">'[6]Newport Hills'!$A$2:$J$1341</definedName>
    <definedName name="ticuniv" localSheetId="6">[6]data!$A$2:$J$1340</definedName>
    <definedName name="ticuniv">[1]Bluffs!$A$2:$J$1340</definedName>
    <definedName name="ticuniver" localSheetId="27">[32]variance!$A$2:$J$1340</definedName>
    <definedName name="ticuniver" localSheetId="77">'[6]Newport Hills'!$A$2:$J$1341</definedName>
    <definedName name="ticuniver" localSheetId="6">[6]data!$A$2:$J$1340</definedName>
    <definedName name="ticuniver">[1]Bluffs!$A$2:$J$1340</definedName>
    <definedName name="TICWA" localSheetId="27">[32]variance!$A$2:$J$1340</definedName>
    <definedName name="TICWA" localSheetId="77">'[6]Newport Hills'!$A$2:$J$1341</definedName>
    <definedName name="TICWA" localSheetId="6">[6]data!$A$2:$J$1340</definedName>
    <definedName name="TICWA">[1]Bluffs!$A$2:$J$1340</definedName>
    <definedName name="TICWB" localSheetId="27">[32]variance!$A$2:$J$1340</definedName>
    <definedName name="TICWB" localSheetId="77">'[6]Newport Hills'!$A$2:$J$1341</definedName>
    <definedName name="TICWB" localSheetId="6">[6]data!$A$2:$J$1340</definedName>
    <definedName name="TICWB">[1]Bluffs!$A$2:$J$1340</definedName>
    <definedName name="TICWP" localSheetId="73">[3]Commons!$A$2:$J$1340</definedName>
    <definedName name="TICWP">[4]Commons!$A$2:$J$1340</definedName>
    <definedName name="ticwv" localSheetId="27">[32]variance!$A$2:$J$1340</definedName>
    <definedName name="ticwv" localSheetId="77">'[6]Newport Hills'!$A$2:$J$1341</definedName>
    <definedName name="ticwv" localSheetId="6">[6]data!$A$2:$J$1340</definedName>
    <definedName name="ticwv">[1]Bluffs!$A$2:$J$1340</definedName>
    <definedName name="Type" localSheetId="77">'[11]Min Rent Bud '!$BR$11:$BR$14</definedName>
    <definedName name="Type" localSheetId="73">'[10]Min Rent Bud'!$BR$11:$BR$14</definedName>
    <definedName name="Type" localSheetId="8">'MR-Stat Data Sheet Bud'!$CA$10:$CA$11</definedName>
    <definedName name="Type">'Min Rent Bud'!$BR$11:$BR$14</definedName>
    <definedName name="x" localSheetId="77">#REF!</definedName>
    <definedName name="x">#REF!</definedName>
    <definedName name="YTD_Var" localSheetId="77">#REF!</definedName>
    <definedName name="YTD_Var">'MR-Stat Data Sheet Bud'!$BE$8:$BP$617</definedName>
    <definedName name="Z_239276AE_B7E9_4788_B341_6859AA10E393_.wvu.PrintArea" localSheetId="1" hidden="1">'Review Comments'!$A$15:$B$52</definedName>
    <definedName name="Z_239276AE_B7E9_4788_B341_6859AA10E393_.wvu.PrintTitles" localSheetId="1" hidden="1">'Review Comments'!$1:$13</definedName>
    <definedName name="Z_239276AE_B7E9_4788_B341_6859AA10E393_.wvu.Rows" localSheetId="27" hidden="1">'15656-9000'!$44:$49</definedName>
    <definedName name="Z_2E18273D_F66D_4CC4_911A_FE47A9AF16A1_.wvu.PrintArea" hidden="1">#REF!</definedName>
    <definedName name="Z_407D59A7_4157_4601_BF25_0D4BC2569A3E_.wvu.PrintArea" localSheetId="1" hidden="1">'Review Comments'!$A$15:$B$52</definedName>
    <definedName name="Z_407D59A7_4157_4601_BF25_0D4BC2569A3E_.wvu.PrintTitles" localSheetId="1" hidden="1">'Review Comments'!$1:$13</definedName>
    <definedName name="Z_407D59A7_4157_4601_BF25_0D4BC2569A3E_.wvu.Rows" localSheetId="34" hidden="1">'1502880 Suspense'!#REF!</definedName>
    <definedName name="Z_753BA0A0_D4CC_4BCC_8EA2_60EB271684D7_.wvu.Cols" localSheetId="1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1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1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1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20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22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51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52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5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55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6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67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6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6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70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71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72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77" hidden="1">#REF!,#REF!,#REF!,#REF!,#REF!,#REF!,#REF!,#REF!,#REF!,#REF!,#REF!</definedName>
    <definedName name="Z_753BA0A0_D4CC_4BCC_8EA2_60EB271684D7_.wvu.Cols" localSheetId="73" hidden="1">'[10]Min Rent Bud'!$AI:$AL,'[10]Min Rent Bud'!$AN:$AQ,'[10]Min Rent Bud'!$AS:$AW,'[10]Min Rent Bud'!$Y:$AA,'[10]Min Rent Bud'!$AC:$AF,'[10]Min Rent Bud'!#REF!,'[10]Min Rent Bud'!#REF!,'[10]Min Rent Bud'!#REF!,'[10]Min Rent Bud'!#REF!,'[10]Min Rent Bud'!$BL:$BN,'[10]Min Rent Bud'!$BP:$BS</definedName>
    <definedName name="Z_753BA0A0_D4CC_4BCC_8EA2_60EB271684D7_.wvu.Cols" localSheetId="3" hidden="1">'Min Rent Forecast'!$M:$S,'Min Rent Forecast'!$W:$AE,'Min Rent Forecast'!$AG:$AO,'Min Rent Forecast'!$AT:$AX,'Min Rent Forecast'!$BC:$BH,'Min Rent Forecast'!$BO:$BU,'Min Rent Forecast'!$BY:$CG,'Min Rent Forecast'!$CI:$CQ,'Min Rent Forecast'!$CV:$DA,'Min Rent Forecast'!$DO:$DQ,'Min Rent Forecast'!$DS:$DV</definedName>
    <definedName name="Z_753BA0A0_D4CC_4BCC_8EA2_60EB271684D7_.wvu.Cols" localSheetId="2" hidden="1">'Min Rent Plan'!$M:$S,'Min Rent Plan'!$W:$AE,'Min Rent Plan'!$AG:$AO,'Min Rent Plan'!$AT:$AX,'Min Rent Plan'!$BC:$BH,'Min Rent Plan'!$BO:$BU,'Min Rent Plan'!$BY:$CG,'Min Rent Plan'!$CI:$CQ,'Min Rent Plan'!$CV:$DA,'Min Rent Plan'!$DO:$DQ,'Min Rent Plan'!$DS:$DV</definedName>
    <definedName name="Z_753BA0A0_D4CC_4BCC_8EA2_60EB271684D7_.wvu.Cols" localSheetId="6" hidden="1">'[33]Min Rent Bud'!$AI$1:$AL$65536,'[33]Min Rent Bud'!$AN$1:$AQ$65536,'[33]Min Rent Bud'!$AS$1:$AW$65536,'[33]Min Rent Bud'!$Y$1:$AA$65536,'[33]Min Rent Bud'!$AC$1:$AF$65536,'[33]Min Rent Bud'!#REF!,'[33]Min Rent Bud'!#REF!,'[33]Min Rent Bud'!#REF!,'[33]Min Rent Bud'!#REF!,'[33]Min Rent Bud'!$BL$1:$BN$65536,'[33]Min Rent Bud'!$BP$1:$BS$65536</definedName>
    <definedName name="Z_753BA0A0_D4CC_4BCC_8EA2_60EB271684D7_.wvu.Cols" localSheetId="8" hidden="1">'MR-Stat Data Sheet Bud'!$AS:$AV,'MR-Stat Data Sheet Bud'!$AX:$BA,'MR-Stat Data Sheet Bud'!$BC:$BF,'MR-Stat Data Sheet Bud'!$AJ:$AL,'MR-Stat Data Sheet Bud'!$AN:$AQ,'MR-Stat Data Sheet Bud'!#REF!,'MR-Stat Data Sheet Bud'!#REF!,'MR-Stat Data Sheet Bud'!#REF!,'MR-Stat Data Sheet Bud'!#REF!,'MR-Stat Data Sheet Bud'!$BU:$BW,'MR-Stat Data Sheet Bud'!$BY:$CB</definedName>
    <definedName name="Z_753BA0A0_D4CC_4BCC_8EA2_60EB271684D7_.wvu.Cols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PrintArea" localSheetId="77" hidden="1">#REF!</definedName>
    <definedName name="Z_753BA0A0_D4CC_4BCC_8EA2_60EB271684D7_.wvu.PrintArea" localSheetId="3" hidden="1">'Min Rent Forecast'!$C$2:$DX$61</definedName>
    <definedName name="Z_753BA0A0_D4CC_4BCC_8EA2_60EB271684D7_.wvu.PrintArea" localSheetId="2" hidden="1">'Min Rent Plan'!$C$2:$DX$61</definedName>
    <definedName name="Z_753BA0A0_D4CC_4BCC_8EA2_60EB271684D7_.wvu.PrintArea" localSheetId="8" hidden="1">'MR-Stat Data Sheet Bud'!$B$3:$CD$336</definedName>
    <definedName name="Z_753BA0A0_D4CC_4BCC_8EA2_60EB271684D7_.wvu.PrintArea" hidden="1">'Min Rent Bud'!$B$2:$BU$337</definedName>
    <definedName name="Z_980EAF25_7339_4074_861E_27F188E0B0FD_.wvu.PrintArea" hidden="1">#REF!</definedName>
    <definedName name="Z_B0434F18_CF51_4D78_B7E6_A8F03E56E080_.wvu.Cols" hidden="1">#REF!</definedName>
    <definedName name="Z_B0434F18_CF51_4D78_B7E6_A8F03E56E080_.wvu.Rows" localSheetId="18" hidden="1">#REF!</definedName>
    <definedName name="Z_B0434F18_CF51_4D78_B7E6_A8F03E56E080_.wvu.Rows" localSheetId="19" hidden="1">#REF!</definedName>
    <definedName name="Z_B0434F18_CF51_4D78_B7E6_A8F03E56E080_.wvu.Rows" localSheetId="14" hidden="1">#REF!</definedName>
    <definedName name="Z_B0434F18_CF51_4D78_B7E6_A8F03E56E080_.wvu.Rows" localSheetId="16" hidden="1">#REF!</definedName>
    <definedName name="Z_B0434F18_CF51_4D78_B7E6_A8F03E56E080_.wvu.Rows" localSheetId="20" hidden="1">#REF!</definedName>
    <definedName name="Z_B0434F18_CF51_4D78_B7E6_A8F03E56E080_.wvu.Rows" localSheetId="22" hidden="1">#REF!</definedName>
    <definedName name="Z_B0434F18_CF51_4D78_B7E6_A8F03E56E080_.wvu.Rows" localSheetId="46" hidden="1">#REF!</definedName>
    <definedName name="Z_B0434F18_CF51_4D78_B7E6_A8F03E56E080_.wvu.Rows" localSheetId="48" hidden="1">#REF!</definedName>
    <definedName name="Z_B0434F18_CF51_4D78_B7E6_A8F03E56E080_.wvu.Rows" localSheetId="49" hidden="1">#REF!</definedName>
    <definedName name="Z_B0434F18_CF51_4D78_B7E6_A8F03E56E080_.wvu.Rows" localSheetId="51" hidden="1">#REF!</definedName>
    <definedName name="Z_B0434F18_CF51_4D78_B7E6_A8F03E56E080_.wvu.Rows" localSheetId="52" hidden="1">#REF!</definedName>
    <definedName name="Z_B0434F18_CF51_4D78_B7E6_A8F03E56E080_.wvu.Rows" localSheetId="54" hidden="1">#REF!</definedName>
    <definedName name="Z_B0434F18_CF51_4D78_B7E6_A8F03E56E080_.wvu.Rows" localSheetId="55" hidden="1">#REF!</definedName>
    <definedName name="Z_B0434F18_CF51_4D78_B7E6_A8F03E56E080_.wvu.Rows" localSheetId="66" hidden="1">#REF!</definedName>
    <definedName name="Z_B0434F18_CF51_4D78_B7E6_A8F03E56E080_.wvu.Rows" localSheetId="67" hidden="1">#REF!</definedName>
    <definedName name="Z_B0434F18_CF51_4D78_B7E6_A8F03E56E080_.wvu.Rows" localSheetId="68" hidden="1">#REF!</definedName>
    <definedName name="Z_B0434F18_CF51_4D78_B7E6_A8F03E56E080_.wvu.Rows" localSheetId="69" hidden="1">#REF!</definedName>
    <definedName name="Z_B0434F18_CF51_4D78_B7E6_A8F03E56E080_.wvu.Rows" localSheetId="70" hidden="1">#REF!</definedName>
    <definedName name="Z_B0434F18_CF51_4D78_B7E6_A8F03E56E080_.wvu.Rows" localSheetId="71" hidden="1">#REF!</definedName>
    <definedName name="Z_B0434F18_CF51_4D78_B7E6_A8F03E56E080_.wvu.Rows" localSheetId="72" hidden="1">#REF!</definedName>
    <definedName name="Z_B0434F18_CF51_4D78_B7E6_A8F03E56E080_.wvu.Rows" localSheetId="77" hidden="1">'[34]4006020 &amp; 4006030'!#REF!</definedName>
    <definedName name="Z_B0434F18_CF51_4D78_B7E6_A8F03E56E080_.wvu.Rows" hidden="1">#REF!</definedName>
    <definedName name="Z_BDAF8797_4A3F_4656_B088_7EB6050F85A9_.wvu.PrintTitles" hidden="1">#REF!</definedName>
    <definedName name="Z_C5E32A41_FC3E_4628_B0E4_BCDB4BDAC35C_.wvu.PrintArea" localSheetId="1" hidden="1">'Review Comments'!$A$15:$B$52</definedName>
    <definedName name="Z_C5E32A41_FC3E_4628_B0E4_BCDB4BDAC35C_.wvu.PrintTitles" localSheetId="1" hidden="1">'Review Comments'!$1:$13</definedName>
    <definedName name="Z_C5E32A41_FC3E_4628_B0E4_BCDB4BDAC35C_.wvu.Rows" localSheetId="27" hidden="1">'15656-9000'!$44:$49</definedName>
    <definedName name="Z_D7A9F6D4_7CAA_404E_BAD9_95CE51F4654E_.wvu.Cols" hidden="1">#REF!</definedName>
    <definedName name="Z_D7A9F6D4_7CAA_404E_BAD9_95CE51F4654E_.wvu.Rows" localSheetId="18" hidden="1">#REF!</definedName>
    <definedName name="Z_D7A9F6D4_7CAA_404E_BAD9_95CE51F4654E_.wvu.Rows" localSheetId="19" hidden="1">#REF!</definedName>
    <definedName name="Z_D7A9F6D4_7CAA_404E_BAD9_95CE51F4654E_.wvu.Rows" localSheetId="14" hidden="1">#REF!</definedName>
    <definedName name="Z_D7A9F6D4_7CAA_404E_BAD9_95CE51F4654E_.wvu.Rows" localSheetId="16" hidden="1">#REF!</definedName>
    <definedName name="Z_D7A9F6D4_7CAA_404E_BAD9_95CE51F4654E_.wvu.Rows" localSheetId="20" hidden="1">#REF!</definedName>
    <definedName name="Z_D7A9F6D4_7CAA_404E_BAD9_95CE51F4654E_.wvu.Rows" localSheetId="22" hidden="1">#REF!</definedName>
    <definedName name="Z_D7A9F6D4_7CAA_404E_BAD9_95CE51F4654E_.wvu.Rows" localSheetId="46" hidden="1">#REF!</definedName>
    <definedName name="Z_D7A9F6D4_7CAA_404E_BAD9_95CE51F4654E_.wvu.Rows" localSheetId="48" hidden="1">#REF!</definedName>
    <definedName name="Z_D7A9F6D4_7CAA_404E_BAD9_95CE51F4654E_.wvu.Rows" localSheetId="49" hidden="1">#REF!</definedName>
    <definedName name="Z_D7A9F6D4_7CAA_404E_BAD9_95CE51F4654E_.wvu.Rows" localSheetId="51" hidden="1">#REF!</definedName>
    <definedName name="Z_D7A9F6D4_7CAA_404E_BAD9_95CE51F4654E_.wvu.Rows" localSheetId="52" hidden="1">#REF!</definedName>
    <definedName name="Z_D7A9F6D4_7CAA_404E_BAD9_95CE51F4654E_.wvu.Rows" localSheetId="54" hidden="1">#REF!</definedName>
    <definedName name="Z_D7A9F6D4_7CAA_404E_BAD9_95CE51F4654E_.wvu.Rows" localSheetId="55" hidden="1">#REF!</definedName>
    <definedName name="Z_D7A9F6D4_7CAA_404E_BAD9_95CE51F4654E_.wvu.Rows" localSheetId="66" hidden="1">#REF!</definedName>
    <definedName name="Z_D7A9F6D4_7CAA_404E_BAD9_95CE51F4654E_.wvu.Rows" localSheetId="67" hidden="1">#REF!</definedName>
    <definedName name="Z_D7A9F6D4_7CAA_404E_BAD9_95CE51F4654E_.wvu.Rows" localSheetId="68" hidden="1">#REF!</definedName>
    <definedName name="Z_D7A9F6D4_7CAA_404E_BAD9_95CE51F4654E_.wvu.Rows" localSheetId="69" hidden="1">#REF!</definedName>
    <definedName name="Z_D7A9F6D4_7CAA_404E_BAD9_95CE51F4654E_.wvu.Rows" localSheetId="70" hidden="1">#REF!</definedName>
    <definedName name="Z_D7A9F6D4_7CAA_404E_BAD9_95CE51F4654E_.wvu.Rows" localSheetId="71" hidden="1">#REF!</definedName>
    <definedName name="Z_D7A9F6D4_7CAA_404E_BAD9_95CE51F4654E_.wvu.Rows" localSheetId="72" hidden="1">#REF!</definedName>
    <definedName name="Z_D7A9F6D4_7CAA_404E_BAD9_95CE51F4654E_.wvu.Rows" localSheetId="77" hidden="1">'[34]4006020 &amp; 4006030'!#REF!</definedName>
    <definedName name="Z_D7A9F6D4_7CAA_404E_BAD9_95CE51F4654E_.wvu.Rows" hidden="1">#REF!</definedName>
    <definedName name="Z_E0930C38_AA64_4AFB_9B0E_DA0E43BA2D89_.wvu.Cols" localSheetId="1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1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1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1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20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22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51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52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5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55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6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67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6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6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70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71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72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77" hidden="1">#REF!,#REF!,#REF!,#REF!,#REF!,#REF!,#REF!,#REF!,#REF!,#REF!,#REF!</definedName>
    <definedName name="Z_E0930C38_AA64_4AFB_9B0E_DA0E43BA2D89_.wvu.Cols" localSheetId="73" hidden="1">'[10]Min Rent Bud'!$AI:$AL,'[10]Min Rent Bud'!$AN:$AQ,'[10]Min Rent Bud'!$AS:$AW,'[10]Min Rent Bud'!$Y:$AA,'[10]Min Rent Bud'!$AC:$AF,'[10]Min Rent Bud'!#REF!,'[10]Min Rent Bud'!#REF!,'[10]Min Rent Bud'!#REF!,'[10]Min Rent Bud'!#REF!,'[10]Min Rent Bud'!$BL:$BN,'[10]Min Rent Bud'!$BP:$BS</definedName>
    <definedName name="Z_E0930C38_AA64_4AFB_9B0E_DA0E43BA2D89_.wvu.Cols" localSheetId="3" hidden="1">'Min Rent Forecast'!$M:$S,'Min Rent Forecast'!$W:$AE,'Min Rent Forecast'!$AG:$AO,'Min Rent Forecast'!$AT:$AX,'Min Rent Forecast'!$BC:$BH,'Min Rent Forecast'!$BO:$BU,'Min Rent Forecast'!$BY:$CG,'Min Rent Forecast'!$CI:$CQ,'Min Rent Forecast'!$CV:$DA,'Min Rent Forecast'!$DO:$DQ,'Min Rent Forecast'!$DS:$DV</definedName>
    <definedName name="Z_E0930C38_AA64_4AFB_9B0E_DA0E43BA2D89_.wvu.Cols" localSheetId="2" hidden="1">'Min Rent Plan'!$M:$S,'Min Rent Plan'!$W:$AE,'Min Rent Plan'!$AG:$AO,'Min Rent Plan'!$AT:$AX,'Min Rent Plan'!$BC:$BH,'Min Rent Plan'!$BO:$BU,'Min Rent Plan'!$BY:$CG,'Min Rent Plan'!$CI:$CQ,'Min Rent Plan'!$CV:$DA,'Min Rent Plan'!$DO:$DQ,'Min Rent Plan'!$DS:$DV</definedName>
    <definedName name="Z_E0930C38_AA64_4AFB_9B0E_DA0E43BA2D89_.wvu.Cols" localSheetId="6" hidden="1">'[33]Min Rent Bud'!$AI$1:$AL$65536,'[33]Min Rent Bud'!$AN$1:$AQ$65536,'[33]Min Rent Bud'!$AS$1:$AW$65536,'[33]Min Rent Bud'!$Y$1:$AA$65536,'[33]Min Rent Bud'!$AC$1:$AF$65536,'[33]Min Rent Bud'!#REF!,'[33]Min Rent Bud'!#REF!,'[33]Min Rent Bud'!#REF!,'[33]Min Rent Bud'!#REF!,'[33]Min Rent Bud'!$BL$1:$BN$65536,'[33]Min Rent Bud'!$BP$1:$BS$65536</definedName>
    <definedName name="Z_E0930C38_AA64_4AFB_9B0E_DA0E43BA2D89_.wvu.Cols" localSheetId="8" hidden="1">'MR-Stat Data Sheet Bud'!$AS:$AV,'MR-Stat Data Sheet Bud'!$AX:$BA,'MR-Stat Data Sheet Bud'!$BC:$BF,'MR-Stat Data Sheet Bud'!$AJ:$AL,'MR-Stat Data Sheet Bud'!$AN:$AQ,'MR-Stat Data Sheet Bud'!#REF!,'MR-Stat Data Sheet Bud'!#REF!,'MR-Stat Data Sheet Bud'!#REF!,'MR-Stat Data Sheet Bud'!#REF!,'MR-Stat Data Sheet Bud'!$BU:$BW,'MR-Stat Data Sheet Bud'!$BY:$CB</definedName>
    <definedName name="Z_E0930C38_AA64_4AFB_9B0E_DA0E43BA2D89_.wvu.Cols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PrintArea" localSheetId="77" hidden="1">#REF!</definedName>
    <definedName name="Z_E0930C38_AA64_4AFB_9B0E_DA0E43BA2D89_.wvu.PrintArea" localSheetId="3" hidden="1">'Min Rent Forecast'!$C$2:$DX$61</definedName>
    <definedName name="Z_E0930C38_AA64_4AFB_9B0E_DA0E43BA2D89_.wvu.PrintArea" localSheetId="2" hidden="1">'Min Rent Plan'!$C$2:$DX$61</definedName>
    <definedName name="Z_E0930C38_AA64_4AFB_9B0E_DA0E43BA2D89_.wvu.PrintArea" localSheetId="8" hidden="1">'MR-Stat Data Sheet Bud'!$B$3:$CD$336</definedName>
    <definedName name="Z_E0930C38_AA64_4AFB_9B0E_DA0E43BA2D89_.wvu.PrintArea" hidden="1">'Min Rent Bud'!$B$2:$BU$337</definedName>
    <definedName name="Z_E6B03560_877C_46DD_AC61_C66186AE0CA9_.wvu.PrintTitles" hidden="1">#REF!</definedName>
    <definedName name="Z_FF45210D_B19D_11D5_AA56_00B0D076DEE5_.wvu.Rows" localSheetId="18" hidden="1">#REF!,#REF!,#REF!</definedName>
    <definedName name="Z_FF45210D_B19D_11D5_AA56_00B0D076DEE5_.wvu.Rows" localSheetId="19" hidden="1">#REF!,#REF!,#REF!</definedName>
    <definedName name="Z_FF45210D_B19D_11D5_AA56_00B0D076DEE5_.wvu.Rows" localSheetId="14" hidden="1">#REF!,#REF!,#REF!</definedName>
    <definedName name="Z_FF45210D_B19D_11D5_AA56_00B0D076DEE5_.wvu.Rows" localSheetId="16" hidden="1">#REF!,#REF!,#REF!</definedName>
    <definedName name="Z_FF45210D_B19D_11D5_AA56_00B0D076DEE5_.wvu.Rows" localSheetId="20" hidden="1">#REF!,#REF!,#REF!</definedName>
    <definedName name="Z_FF45210D_B19D_11D5_AA56_00B0D076DEE5_.wvu.Rows" localSheetId="22" hidden="1">#REF!,#REF!,#REF!</definedName>
    <definedName name="Z_FF45210D_B19D_11D5_AA56_00B0D076DEE5_.wvu.Rows" localSheetId="46" hidden="1">#REF!,#REF!,#REF!</definedName>
    <definedName name="Z_FF45210D_B19D_11D5_AA56_00B0D076DEE5_.wvu.Rows" localSheetId="48" hidden="1">#REF!,#REF!,#REF!</definedName>
    <definedName name="Z_FF45210D_B19D_11D5_AA56_00B0D076DEE5_.wvu.Rows" localSheetId="49" hidden="1">#REF!,#REF!,#REF!</definedName>
    <definedName name="Z_FF45210D_B19D_11D5_AA56_00B0D076DEE5_.wvu.Rows" localSheetId="51" hidden="1">#REF!,#REF!,#REF!</definedName>
    <definedName name="Z_FF45210D_B19D_11D5_AA56_00B0D076DEE5_.wvu.Rows" localSheetId="52" hidden="1">#REF!,#REF!,#REF!</definedName>
    <definedName name="Z_FF45210D_B19D_11D5_AA56_00B0D076DEE5_.wvu.Rows" localSheetId="54" hidden="1">#REF!,#REF!,#REF!</definedName>
    <definedName name="Z_FF45210D_B19D_11D5_AA56_00B0D076DEE5_.wvu.Rows" localSheetId="55" hidden="1">#REF!,#REF!,#REF!</definedName>
    <definedName name="Z_FF45210D_B19D_11D5_AA56_00B0D076DEE5_.wvu.Rows" localSheetId="66" hidden="1">#REF!,#REF!,#REF!</definedName>
    <definedName name="Z_FF45210D_B19D_11D5_AA56_00B0D076DEE5_.wvu.Rows" localSheetId="67" hidden="1">#REF!,#REF!,#REF!</definedName>
    <definedName name="Z_FF45210D_B19D_11D5_AA56_00B0D076DEE5_.wvu.Rows" localSheetId="68" hidden="1">#REF!,#REF!,#REF!</definedName>
    <definedName name="Z_FF45210D_B19D_11D5_AA56_00B0D076DEE5_.wvu.Rows" localSheetId="69" hidden="1">#REF!,#REF!,#REF!</definedName>
    <definedName name="Z_FF45210D_B19D_11D5_AA56_00B0D076DEE5_.wvu.Rows" localSheetId="70" hidden="1">#REF!,#REF!,#REF!</definedName>
    <definedName name="Z_FF45210D_B19D_11D5_AA56_00B0D076DEE5_.wvu.Rows" localSheetId="71" hidden="1">#REF!,#REF!,#REF!</definedName>
    <definedName name="Z_FF45210D_B19D_11D5_AA56_00B0D076DEE5_.wvu.Rows" localSheetId="72" hidden="1">#REF!,#REF!,#REF!</definedName>
    <definedName name="Z_FF45210D_B19D_11D5_AA56_00B0D076DEE5_.wvu.Rows" localSheetId="77" hidden="1">'[34]2500360'!#REF!,'[34]2500360'!#REF!,'[34]2500360'!#REF!</definedName>
    <definedName name="Z_FF45210D_B19D_11D5_AA56_00B0D076DEE5_.wvu.Rows" hidden="1">#REF!,#REF!,#REF!</definedName>
  </definedNames>
  <calcPr calcId="191029"/>
  <customWorkbookViews>
    <customWorkbookView name="Forecast &amp; Prior Year" guid="{407D59A7-4157-4601-BF25-0D4BC2569A3E}" maximized="1" windowWidth="796" windowHeight="435" tabRatio="767" activeSheetId="120" showObjects="placeholders"/>
    <customWorkbookView name="Budget" guid="{C5E32A41-FC3E-4628-B0E4-BCDB4BDAC35C}" maximized="1" windowWidth="796" windowHeight="435" tabRatio="767" activeSheetId="120" showObjects="placeholders"/>
    <customWorkbookView name="Prior Yr Comments" guid="{239276AE-B7E9-4788-B341-6859AA10E393}" maximized="1" windowWidth="796" windowHeight="435" tabRatio="767" activeSheetId="120" showObjects="placeholders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13" l="1"/>
  <c r="D18" i="213"/>
  <c r="D5" i="213" a="1"/>
  <c r="D5" i="213" s="1"/>
  <c r="D6" i="213" a="1"/>
  <c r="D6" i="213" s="1"/>
  <c r="D7" i="213" a="1"/>
  <c r="D7" i="213" s="1"/>
  <c r="D8" i="213" a="1"/>
  <c r="D8" i="213" s="1"/>
  <c r="D9" i="213" a="1"/>
  <c r="D9" i="213" s="1"/>
  <c r="D10" i="213" a="1"/>
  <c r="D10" i="213"/>
  <c r="D11" i="213" a="1"/>
  <c r="D11" i="213" s="1"/>
  <c r="D12" i="213" a="1"/>
  <c r="D12" i="213" s="1"/>
  <c r="D13" i="213" a="1"/>
  <c r="D13" i="213" s="1"/>
  <c r="D4" i="213" a="1"/>
  <c r="D4" i="213" s="1"/>
  <c r="E11" i="213" a="1"/>
  <c r="E11" i="213" s="1"/>
  <c r="E12" i="213" a="1"/>
  <c r="E12" i="213" s="1"/>
  <c r="E13" i="213" a="1"/>
  <c r="E13" i="213" s="1"/>
  <c r="E14" i="213" a="1"/>
  <c r="E14" i="213" s="1"/>
  <c r="E15" i="213" a="1"/>
  <c r="E15" i="213" s="1"/>
  <c r="D14" i="213" a="1"/>
  <c r="D14" i="213" s="1"/>
  <c r="D15" i="213" a="1"/>
  <c r="D15" i="213" s="1"/>
  <c r="E5" i="213" a="1"/>
  <c r="E5" i="213" s="1"/>
  <c r="E6" i="213" a="1"/>
  <c r="E6" i="213" s="1"/>
  <c r="E7" i="213" a="1"/>
  <c r="E7" i="213" s="1"/>
  <c r="E8" i="213" a="1"/>
  <c r="E8" i="213" s="1"/>
  <c r="E9" i="213" a="1"/>
  <c r="E9" i="213" s="1"/>
  <c r="E10" i="213" a="1"/>
  <c r="E10" i="213" s="1"/>
  <c r="F15" i="244"/>
  <c r="A3" i="244"/>
  <c r="A1" i="244"/>
  <c r="F64" i="147" l="1"/>
  <c r="F69" i="147" s="1"/>
  <c r="F74" i="147"/>
  <c r="F58" i="147"/>
  <c r="F11" i="213" l="1"/>
  <c r="F17" i="242"/>
  <c r="A3" i="242"/>
  <c r="A1" i="242"/>
  <c r="F18" i="240"/>
  <c r="F18" i="241"/>
  <c r="A3" i="241"/>
  <c r="A1" i="241"/>
  <c r="A3" i="240"/>
  <c r="A1" i="240"/>
  <c r="F12" i="239"/>
  <c r="A3" i="239"/>
  <c r="A1" i="239"/>
  <c r="F12" i="238"/>
  <c r="A3" i="238"/>
  <c r="A1" i="238"/>
  <c r="F12" i="237"/>
  <c r="A3" i="237"/>
  <c r="A1" i="237"/>
  <c r="F12" i="236"/>
  <c r="A3" i="236"/>
  <c r="A1" i="236"/>
  <c r="F12" i="235"/>
  <c r="A3" i="235"/>
  <c r="A1" i="235"/>
  <c r="F12" i="234"/>
  <c r="A3" i="234"/>
  <c r="A1" i="234"/>
  <c r="F13" i="233"/>
  <c r="A3" i="233"/>
  <c r="A1" i="233"/>
  <c r="F14" i="232"/>
  <c r="A3" i="232"/>
  <c r="A1" i="232"/>
  <c r="F14" i="231"/>
  <c r="A3" i="231"/>
  <c r="A1" i="231"/>
  <c r="F14" i="230"/>
  <c r="A3" i="230"/>
  <c r="A1" i="230"/>
  <c r="F13" i="229"/>
  <c r="A3" i="229"/>
  <c r="A1" i="229"/>
  <c r="F12" i="228"/>
  <c r="A3" i="228"/>
  <c r="A1" i="228"/>
  <c r="F14" i="227"/>
  <c r="A3" i="227"/>
  <c r="A1" i="227"/>
  <c r="F13" i="226"/>
  <c r="A3" i="226"/>
  <c r="A1" i="226"/>
  <c r="F14" i="224"/>
  <c r="A3" i="224"/>
  <c r="A1" i="224"/>
  <c r="F14" i="213"/>
  <c r="F13" i="213"/>
  <c r="E4" i="213" a="1"/>
  <c r="E4" i="213" s="1"/>
  <c r="F4" i="213" s="1"/>
  <c r="F10" i="213" l="1"/>
  <c r="F7" i="213"/>
  <c r="F6" i="213"/>
  <c r="D17" i="213"/>
  <c r="F3" i="213"/>
  <c r="F9" i="213"/>
  <c r="F15" i="213"/>
  <c r="F8" i="213" l="1"/>
  <c r="D19" i="213"/>
  <c r="F5" i="213"/>
  <c r="E17" i="213"/>
  <c r="E19" i="213" s="1"/>
  <c r="F17" i="213" l="1"/>
  <c r="G74" i="221" l="1"/>
  <c r="G75" i="221"/>
  <c r="G76" i="221"/>
  <c r="G77" i="221"/>
  <c r="G78" i="221"/>
  <c r="G79" i="221"/>
  <c r="E17" i="194" l="1" a="1"/>
  <c r="E17" i="194" s="1"/>
  <c r="E17" i="220" a="1"/>
  <c r="E17" i="220" s="1"/>
  <c r="F103" i="219" a="1"/>
  <c r="F103" i="219" s="1"/>
  <c r="F100" i="219" a="1"/>
  <c r="F100" i="219" s="1"/>
  <c r="F97" i="219" a="1"/>
  <c r="F97" i="219" s="1"/>
  <c r="F94" i="219" a="1"/>
  <c r="F94" i="219" s="1"/>
  <c r="F91" i="219" a="1"/>
  <c r="F91" i="219" s="1"/>
  <c r="F88" i="219" a="1"/>
  <c r="F88" i="219" s="1"/>
  <c r="F14" i="147"/>
  <c r="F14" i="197"/>
  <c r="G15" i="221" l="1"/>
  <c r="G16" i="221"/>
  <c r="G17" i="221"/>
  <c r="G18" i="221"/>
  <c r="G19" i="221"/>
  <c r="G20" i="221"/>
  <c r="F20" i="240" s="1" a="1"/>
  <c r="F20" i="240" s="1"/>
  <c r="F21" i="240" s="1"/>
  <c r="G21" i="221"/>
  <c r="G22" i="221"/>
  <c r="F20" i="241" s="1" a="1"/>
  <c r="F20" i="241" s="1"/>
  <c r="F21" i="241" s="1"/>
  <c r="G23" i="221"/>
  <c r="F132" i="147" s="1" a="1"/>
  <c r="F132" i="147" s="1"/>
  <c r="G24" i="221"/>
  <c r="G25" i="221"/>
  <c r="G26" i="221"/>
  <c r="G27" i="221"/>
  <c r="G28" i="221"/>
  <c r="G29" i="221"/>
  <c r="G30" i="221"/>
  <c r="G31" i="221"/>
  <c r="G32" i="221"/>
  <c r="G33" i="221"/>
  <c r="G34" i="221"/>
  <c r="G35" i="221"/>
  <c r="G36" i="221"/>
  <c r="G37" i="221"/>
  <c r="G38" i="221"/>
  <c r="G39" i="221"/>
  <c r="G40" i="221"/>
  <c r="G41" i="221"/>
  <c r="G42" i="221"/>
  <c r="G43" i="221"/>
  <c r="G44" i="221"/>
  <c r="G45" i="221"/>
  <c r="F16" i="226" s="1" a="1"/>
  <c r="F16" i="226" s="1"/>
  <c r="F17" i="226" s="1"/>
  <c r="G46" i="221"/>
  <c r="F17" i="227" s="1" a="1"/>
  <c r="F17" i="227" s="1"/>
  <c r="F18" i="227" s="1"/>
  <c r="G47" i="221"/>
  <c r="G48" i="221"/>
  <c r="F16" i="229" s="1" a="1"/>
  <c r="F16" i="229" s="1"/>
  <c r="F17" i="229" s="1"/>
  <c r="G49" i="221"/>
  <c r="F17" i="230" s="1" a="1"/>
  <c r="F17" i="230" s="1"/>
  <c r="F18" i="230" s="1"/>
  <c r="G50" i="221"/>
  <c r="F17" i="231" s="1" a="1"/>
  <c r="F17" i="231" s="1"/>
  <c r="F18" i="231" s="1"/>
  <c r="G51" i="221"/>
  <c r="F17" i="232" s="1" a="1"/>
  <c r="F17" i="232" s="1"/>
  <c r="F18" i="232" s="1"/>
  <c r="G52" i="221"/>
  <c r="G53" i="221"/>
  <c r="F15" i="234" s="1" a="1"/>
  <c r="F15" i="234" s="1"/>
  <c r="F16" i="234" s="1"/>
  <c r="G54" i="221"/>
  <c r="F15" i="235" s="1" a="1"/>
  <c r="F15" i="235" s="1"/>
  <c r="F16" i="235" s="1"/>
  <c r="G55" i="221"/>
  <c r="F15" i="236" s="1" a="1"/>
  <c r="F15" i="236" s="1"/>
  <c r="F16" i="236" s="1"/>
  <c r="G56" i="221"/>
  <c r="F15" i="237" s="1" a="1"/>
  <c r="F15" i="237" s="1"/>
  <c r="F16" i="237" s="1"/>
  <c r="G57" i="221"/>
  <c r="G58" i="221"/>
  <c r="G59" i="221"/>
  <c r="G60" i="221"/>
  <c r="G61" i="221"/>
  <c r="G62" i="221"/>
  <c r="G63" i="221"/>
  <c r="G64" i="221"/>
  <c r="G65" i="221"/>
  <c r="G66" i="221"/>
  <c r="G67" i="221"/>
  <c r="G68" i="221"/>
  <c r="G69" i="221"/>
  <c r="G70" i="221"/>
  <c r="G71" i="221"/>
  <c r="G72" i="221"/>
  <c r="G73" i="221"/>
  <c r="G14" i="221"/>
  <c r="E14" i="220"/>
  <c r="E18" i="220" s="1"/>
  <c r="A3" i="220"/>
  <c r="A1" i="220"/>
  <c r="F80" i="219"/>
  <c r="F70" i="219"/>
  <c r="F104" i="219" s="1"/>
  <c r="F64" i="219"/>
  <c r="F101" i="219" s="1"/>
  <c r="F58" i="219"/>
  <c r="F98" i="219" s="1"/>
  <c r="F48" i="219"/>
  <c r="F53" i="219" s="1"/>
  <c r="F95" i="219" s="1"/>
  <c r="F43" i="219"/>
  <c r="F36" i="219"/>
  <c r="F29" i="219"/>
  <c r="F24" i="219"/>
  <c r="F20" i="219"/>
  <c r="F92" i="219" s="1"/>
  <c r="F14" i="219"/>
  <c r="F89" i="219" s="1"/>
  <c r="A3" i="219"/>
  <c r="A1" i="219"/>
  <c r="F67" i="218"/>
  <c r="F51" i="218"/>
  <c r="F56" i="218" s="1"/>
  <c r="F46" i="218"/>
  <c r="F39" i="218"/>
  <c r="F32" i="218"/>
  <c r="F27" i="218"/>
  <c r="F23" i="218"/>
  <c r="F17" i="218"/>
  <c r="A3" i="218"/>
  <c r="A1" i="218"/>
  <c r="F92" i="147"/>
  <c r="E13" i="217"/>
  <c r="A3" i="217"/>
  <c r="A1" i="217"/>
  <c r="F87" i="147"/>
  <c r="F81" i="147"/>
  <c r="F20" i="147"/>
  <c r="F19" i="242" l="1" a="1"/>
  <c r="F19" i="242" s="1"/>
  <c r="F20" i="242" s="1"/>
  <c r="F19" i="210" a="1"/>
  <c r="F19" i="210" s="1"/>
  <c r="F18" i="211" a="1"/>
  <c r="F18" i="211" s="1"/>
  <c r="F18" i="244" a="1"/>
  <c r="F18" i="244" s="1"/>
  <c r="F19" i="244" s="1"/>
  <c r="F17" i="198" a="1"/>
  <c r="F17" i="198" s="1"/>
  <c r="F123" i="147" a="1"/>
  <c r="F123" i="147" s="1"/>
  <c r="F124" i="147" s="1"/>
  <c r="F135" i="147" a="1"/>
  <c r="F135" i="147" s="1"/>
  <c r="F136" i="147" s="1"/>
  <c r="F120" i="147" a="1"/>
  <c r="F120" i="147" s="1"/>
  <c r="F121" i="147" s="1"/>
  <c r="F126" i="147" a="1"/>
  <c r="F126" i="147" s="1"/>
  <c r="F127" i="147" s="1"/>
  <c r="F16" i="233" a="1"/>
  <c r="F16" i="233" s="1"/>
  <c r="F17" i="233" s="1"/>
  <c r="F15" i="239" a="1"/>
  <c r="F15" i="239" s="1"/>
  <c r="F16" i="239" s="1"/>
  <c r="F17" i="224" a="1"/>
  <c r="F17" i="224" s="1"/>
  <c r="F18" i="224" s="1"/>
  <c r="F17" i="196" a="1"/>
  <c r="F17" i="196" s="1"/>
  <c r="F23" i="195" a="1"/>
  <c r="F23" i="195" s="1"/>
  <c r="F129" i="147" a="1"/>
  <c r="F129" i="147" s="1"/>
  <c r="F130" i="147" s="1"/>
  <c r="F15" i="228" a="1"/>
  <c r="F15" i="228" s="1"/>
  <c r="F16" i="228" s="1"/>
  <c r="E16" i="217" a="1"/>
  <c r="E16" i="217" s="1"/>
  <c r="E17" i="217" s="1"/>
  <c r="F15" i="185" a="1"/>
  <c r="F15" i="185" s="1"/>
  <c r="F138" i="147" a="1"/>
  <c r="F138" i="147" s="1"/>
  <c r="F139" i="147" s="1"/>
  <c r="F17" i="186" a="1"/>
  <c r="F17" i="186" s="1"/>
  <c r="F15" i="238" a="1"/>
  <c r="F15" i="238" s="1"/>
  <c r="F16" i="238" s="1"/>
  <c r="F114" i="147" a="1"/>
  <c r="F114" i="147" s="1"/>
  <c r="F115" i="147" s="1"/>
  <c r="F117" i="147" a="1"/>
  <c r="F117" i="147" s="1"/>
  <c r="F17" i="197" a="1"/>
  <c r="F17" i="197" s="1"/>
  <c r="F18" i="197" s="1"/>
  <c r="F111" i="147" a="1"/>
  <c r="F111" i="147" s="1"/>
  <c r="F112" i="147" s="1"/>
  <c r="F133" i="147"/>
  <c r="F16" i="210" l="1"/>
  <c r="F20" i="210" s="1"/>
  <c r="F15" i="211"/>
  <c r="F19" i="211" s="1"/>
  <c r="A3" i="211"/>
  <c r="A1" i="211"/>
  <c r="F28" i="199"/>
  <c r="F33" i="192" l="1"/>
  <c r="F48" i="147"/>
  <c r="F53" i="147" s="1"/>
  <c r="F118" i="147" s="1"/>
  <c r="F43" i="147"/>
  <c r="F36" i="147" l="1"/>
  <c r="F24" i="147"/>
  <c r="A3" i="210" l="1"/>
  <c r="A1" i="210"/>
  <c r="E14" i="208" l="1"/>
  <c r="A3" i="208"/>
  <c r="A1" i="208"/>
  <c r="F28" i="207"/>
  <c r="A3" i="207"/>
  <c r="A1" i="207"/>
  <c r="D17" i="206"/>
  <c r="A3" i="206"/>
  <c r="A1" i="206"/>
  <c r="D48" i="205"/>
  <c r="A3" i="205"/>
  <c r="A1" i="205"/>
  <c r="D17" i="204"/>
  <c r="A3" i="204"/>
  <c r="A1" i="204"/>
  <c r="A1" i="203"/>
  <c r="D52" i="203"/>
  <c r="D45" i="203"/>
  <c r="D42" i="203"/>
  <c r="D41" i="203"/>
  <c r="A3" i="203"/>
  <c r="E42" i="202"/>
  <c r="E73" i="202" s="1"/>
  <c r="A3" i="202"/>
  <c r="A1" i="202"/>
  <c r="E56" i="201"/>
  <c r="A3" i="201"/>
  <c r="A1" i="201"/>
  <c r="F44" i="200"/>
  <c r="F42" i="200"/>
  <c r="F37" i="200"/>
  <c r="F36" i="200"/>
  <c r="F35" i="200"/>
  <c r="A3" i="200"/>
  <c r="A1" i="200"/>
  <c r="F79" i="200" l="1"/>
  <c r="D73" i="203"/>
  <c r="F15" i="186"/>
  <c r="F18" i="186" s="1"/>
  <c r="E42" i="188"/>
  <c r="F12" i="193"/>
  <c r="A3" i="198"/>
  <c r="A1" i="198"/>
  <c r="F15" i="198" l="1"/>
  <c r="F18" i="198" s="1"/>
  <c r="A3" i="197"/>
  <c r="A1" i="197"/>
  <c r="F14" i="196"/>
  <c r="F18" i="196" s="1"/>
  <c r="A3" i="196"/>
  <c r="A1" i="196"/>
  <c r="F21" i="195"/>
  <c r="F24" i="195" s="1"/>
  <c r="A3" i="195"/>
  <c r="A1" i="195"/>
  <c r="E14" i="194"/>
  <c r="E18" i="194" s="1"/>
  <c r="A3" i="194"/>
  <c r="A1" i="194"/>
  <c r="F15" i="193"/>
  <c r="A3" i="193"/>
  <c r="A1" i="193"/>
  <c r="A3" i="192"/>
  <c r="A3" i="199" s="1"/>
  <c r="A1" i="192"/>
  <c r="F102" i="147"/>
  <c r="F29" i="147" l="1"/>
  <c r="F12" i="188" l="1"/>
  <c r="F13" i="188" s="1"/>
  <c r="F14" i="188" s="1"/>
  <c r="F15" i="188" s="1"/>
  <c r="F16" i="188" s="1"/>
  <c r="A3" i="188"/>
  <c r="A1" i="188"/>
  <c r="F13" i="185"/>
  <c r="F16" i="185" s="1"/>
  <c r="A3" i="186"/>
  <c r="A1" i="186"/>
  <c r="F11" i="173"/>
  <c r="F14" i="173" s="1"/>
  <c r="A3" i="185"/>
  <c r="A1" i="185"/>
  <c r="A3" i="6"/>
  <c r="H19" i="111"/>
  <c r="H20" i="111" s="1"/>
  <c r="H21" i="111" s="1"/>
  <c r="H33" i="111" s="1"/>
  <c r="G19" i="111"/>
  <c r="G20" i="111" s="1"/>
  <c r="G21" i="111" s="1"/>
  <c r="G33" i="111" s="1"/>
  <c r="E21" i="111"/>
  <c r="E5" i="180"/>
  <c r="G27" i="6"/>
  <c r="E20" i="111"/>
  <c r="H17" i="178"/>
  <c r="E19" i="111"/>
  <c r="I19" i="111" s="1"/>
  <c r="G17" i="178"/>
  <c r="F17" i="178"/>
  <c r="E17" i="178"/>
  <c r="C34" i="174"/>
  <c r="E26" i="174"/>
  <c r="E27" i="174"/>
  <c r="E28" i="174"/>
  <c r="E30" i="174"/>
  <c r="E31" i="174"/>
  <c r="C33" i="111"/>
  <c r="D33" i="111"/>
  <c r="C13" i="111"/>
  <c r="C17" i="179"/>
  <c r="D34" i="174"/>
  <c r="E29" i="174"/>
  <c r="C10" i="179"/>
  <c r="D44" i="174"/>
  <c r="F34" i="174"/>
  <c r="E25" i="174"/>
  <c r="E24" i="174"/>
  <c r="A1" i="5"/>
  <c r="A1" i="6" s="1"/>
  <c r="E23" i="174"/>
  <c r="A1" i="178"/>
  <c r="A3" i="178"/>
  <c r="A3" i="176"/>
  <c r="E12" i="176"/>
  <c r="A1" i="175"/>
  <c r="A3" i="175"/>
  <c r="F21" i="175"/>
  <c r="C44" i="174"/>
  <c r="E19" i="174"/>
  <c r="G19" i="174" s="1"/>
  <c r="E20" i="174"/>
  <c r="E21" i="174"/>
  <c r="E22" i="174"/>
  <c r="C13" i="174"/>
  <c r="A1" i="174"/>
  <c r="A3" i="174"/>
  <c r="D13" i="174"/>
  <c r="B20" i="174"/>
  <c r="B21" i="174" s="1"/>
  <c r="B22" i="174" s="1"/>
  <c r="B23" i="174" s="1"/>
  <c r="B24" i="174" s="1"/>
  <c r="B25" i="174" s="1"/>
  <c r="B26" i="174" s="1"/>
  <c r="B27" i="174" s="1"/>
  <c r="B29" i="174" s="1"/>
  <c r="B30" i="174" s="1"/>
  <c r="B31" i="174" s="1"/>
  <c r="D13" i="111"/>
  <c r="A1" i="111"/>
  <c r="A1" i="121"/>
  <c r="A1" i="173"/>
  <c r="A3" i="173"/>
  <c r="A1" i="147"/>
  <c r="E14" i="5"/>
  <c r="B20" i="111"/>
  <c r="B21" i="111" s="1"/>
  <c r="B22" i="111" s="1"/>
  <c r="B23" i="111" s="1"/>
  <c r="B24" i="111" s="1"/>
  <c r="B25" i="111" s="1"/>
  <c r="B26" i="111" s="1"/>
  <c r="B27" i="111" s="1"/>
  <c r="B28" i="111" s="1"/>
  <c r="B29" i="111" s="1"/>
  <c r="B30" i="111" s="1"/>
  <c r="O20" i="172"/>
  <c r="M20" i="172"/>
  <c r="L20" i="172"/>
  <c r="J20" i="172"/>
  <c r="F20" i="172"/>
  <c r="E20" i="172"/>
  <c r="C20" i="172"/>
  <c r="K10" i="172"/>
  <c r="P10" i="172" s="1"/>
  <c r="D10" i="172"/>
  <c r="I10" i="172" s="1"/>
  <c r="K9" i="172"/>
  <c r="P9" i="172" s="1"/>
  <c r="G9" i="172"/>
  <c r="D9" i="172"/>
  <c r="K8" i="172"/>
  <c r="G8" i="172"/>
  <c r="D8" i="172"/>
  <c r="N7" i="172"/>
  <c r="P7" i="172"/>
  <c r="D7" i="172"/>
  <c r="BZ63" i="161"/>
  <c r="BZ27" i="161"/>
  <c r="BZ62" i="161"/>
  <c r="BZ26" i="161"/>
  <c r="DG18" i="166"/>
  <c r="DG42" i="166" s="1"/>
  <c r="DG18" i="160"/>
  <c r="BT62" i="161"/>
  <c r="BT26" i="161"/>
  <c r="CX18" i="166"/>
  <c r="CX18" i="160"/>
  <c r="BN26" i="161"/>
  <c r="BN62" i="161"/>
  <c r="BN66" i="161" s="1"/>
  <c r="K18" i="166"/>
  <c r="M18" i="166" s="1"/>
  <c r="T18" i="166"/>
  <c r="V18" i="166" s="1"/>
  <c r="AC18" i="166"/>
  <c r="AE18" i="166" s="1"/>
  <c r="AL18" i="166"/>
  <c r="AN18" i="166" s="1"/>
  <c r="AU18" i="166"/>
  <c r="BD18" i="166"/>
  <c r="BF18" i="166" s="1"/>
  <c r="BM18" i="166"/>
  <c r="BO18" i="166" s="1"/>
  <c r="BQ18" i="166" s="1"/>
  <c r="BV18" i="166"/>
  <c r="BX18" i="166" s="1"/>
  <c r="BZ18" i="166" s="1"/>
  <c r="CE18" i="166"/>
  <c r="CG18" i="166" s="1"/>
  <c r="CI18" i="166" s="1"/>
  <c r="CN18" i="166"/>
  <c r="CP18" i="166" s="1"/>
  <c r="CR18" i="166" s="1"/>
  <c r="CN18" i="160"/>
  <c r="CP18" i="160" s="1"/>
  <c r="CR18" i="160" s="1"/>
  <c r="K18" i="160"/>
  <c r="M18" i="160" s="1"/>
  <c r="Q18" i="160" s="1"/>
  <c r="T18" i="160"/>
  <c r="V18" i="160" s="1"/>
  <c r="X18" i="160" s="1"/>
  <c r="AC18" i="160"/>
  <c r="AE18" i="160" s="1"/>
  <c r="AL18" i="160"/>
  <c r="AN18" i="160" s="1"/>
  <c r="AP18" i="160" s="1"/>
  <c r="AU18" i="160"/>
  <c r="BD18" i="160"/>
  <c r="BF18" i="160" s="1"/>
  <c r="BH18" i="160" s="1"/>
  <c r="BM18" i="160"/>
  <c r="BO18" i="160" s="1"/>
  <c r="BQ18" i="160" s="1"/>
  <c r="BV18" i="160"/>
  <c r="BX18" i="160" s="1"/>
  <c r="BZ18" i="160" s="1"/>
  <c r="CE18" i="160"/>
  <c r="CG18" i="160" s="1"/>
  <c r="DF14" i="166"/>
  <c r="DH14" i="166" s="1"/>
  <c r="DF15" i="166"/>
  <c r="DH15" i="166" s="1"/>
  <c r="DF16" i="166"/>
  <c r="DH16" i="166" s="1"/>
  <c r="DF17" i="166"/>
  <c r="DH17" i="166" s="1"/>
  <c r="DF18" i="166"/>
  <c r="DH18" i="166" s="1"/>
  <c r="DF19" i="166"/>
  <c r="DH19" i="166" s="1"/>
  <c r="I19" i="166" s="1"/>
  <c r="DF20" i="166"/>
  <c r="DH20" i="166" s="1"/>
  <c r="DF21" i="166"/>
  <c r="DH21" i="166" s="1"/>
  <c r="I21" i="166" s="1"/>
  <c r="DF22" i="166"/>
  <c r="DF23" i="166"/>
  <c r="DH23" i="166" s="1"/>
  <c r="DH24" i="166"/>
  <c r="DH25" i="166"/>
  <c r="DH26" i="166"/>
  <c r="DJ26" i="166" s="1"/>
  <c r="DH27" i="166"/>
  <c r="DH28" i="166"/>
  <c r="DH29" i="166"/>
  <c r="DJ29" i="166" s="1"/>
  <c r="DH30" i="166"/>
  <c r="DH31" i="166"/>
  <c r="DH32" i="166"/>
  <c r="DH33" i="166"/>
  <c r="DH34" i="166"/>
  <c r="DH35" i="166"/>
  <c r="DH36" i="166"/>
  <c r="DH37" i="166"/>
  <c r="DH38" i="166"/>
  <c r="I38" i="166" s="1"/>
  <c r="DH39" i="166"/>
  <c r="DF45" i="166"/>
  <c r="DH45" i="166" s="1"/>
  <c r="DF46" i="166"/>
  <c r="DF47" i="166"/>
  <c r="DH47" i="166" s="1"/>
  <c r="DF48" i="166"/>
  <c r="DH48" i="166" s="1"/>
  <c r="DG54" i="166"/>
  <c r="CW14" i="166"/>
  <c r="CY14" i="166" s="1"/>
  <c r="CW15" i="166"/>
  <c r="CY15" i="166" s="1"/>
  <c r="CW16" i="166"/>
  <c r="CY16" i="166" s="1"/>
  <c r="DA16" i="166" s="1"/>
  <c r="CW17" i="166"/>
  <c r="CW18" i="166"/>
  <c r="CY18" i="166" s="1"/>
  <c r="DA18" i="166" s="1"/>
  <c r="CW19" i="166"/>
  <c r="CW20" i="166"/>
  <c r="CY20" i="166" s="1"/>
  <c r="DA20" i="166" s="1"/>
  <c r="CW21" i="166"/>
  <c r="CY21" i="166" s="1"/>
  <c r="DA21" i="166" s="1"/>
  <c r="CW22" i="166"/>
  <c r="CY22" i="166" s="1"/>
  <c r="DA22" i="166" s="1"/>
  <c r="CW23" i="166"/>
  <c r="CY23" i="166" s="1"/>
  <c r="DA23" i="166" s="1"/>
  <c r="CY24" i="166"/>
  <c r="CY25" i="166"/>
  <c r="CY26" i="166"/>
  <c r="CY27" i="166"/>
  <c r="CY28" i="166"/>
  <c r="CY29" i="166"/>
  <c r="CY30" i="166"/>
  <c r="CY31" i="166"/>
  <c r="CY32" i="166"/>
  <c r="CY33" i="166"/>
  <c r="CY34" i="166"/>
  <c r="CY35" i="166"/>
  <c r="CY36" i="166"/>
  <c r="CY37" i="166"/>
  <c r="CY38" i="166"/>
  <c r="CY39" i="166"/>
  <c r="CW45" i="166"/>
  <c r="CY45" i="166" s="1"/>
  <c r="CW46" i="166"/>
  <c r="CY46" i="166" s="1"/>
  <c r="DA46" i="166" s="1"/>
  <c r="CW47" i="166"/>
  <c r="CY47" i="166" s="1"/>
  <c r="DA47" i="166" s="1"/>
  <c r="CW48" i="166"/>
  <c r="CX42" i="166"/>
  <c r="CX54" i="166"/>
  <c r="CN14" i="166"/>
  <c r="CP14" i="166" s="1"/>
  <c r="CR14" i="166" s="1"/>
  <c r="CN15" i="166"/>
  <c r="CP15" i="166" s="1"/>
  <c r="CR15" i="166" s="1"/>
  <c r="CN16" i="166"/>
  <c r="CN17" i="166"/>
  <c r="CP17" i="166" s="1"/>
  <c r="CN19" i="166"/>
  <c r="CP19" i="166" s="1"/>
  <c r="CR19" i="166" s="1"/>
  <c r="CN20" i="166"/>
  <c r="CN21" i="166"/>
  <c r="CP21" i="166" s="1"/>
  <c r="CR21" i="166" s="1"/>
  <c r="CN22" i="166"/>
  <c r="CP22" i="166" s="1"/>
  <c r="CR22" i="166" s="1"/>
  <c r="CN23" i="166"/>
  <c r="CP23" i="166" s="1"/>
  <c r="CR23" i="166" s="1"/>
  <c r="CP24" i="166"/>
  <c r="CP25" i="166"/>
  <c r="CR25" i="166" s="1"/>
  <c r="CP26" i="166"/>
  <c r="CP27" i="166"/>
  <c r="CR27" i="166" s="1"/>
  <c r="CP28" i="166"/>
  <c r="CR28" i="166" s="1"/>
  <c r="CP29" i="166"/>
  <c r="CP30" i="166"/>
  <c r="CP31" i="166"/>
  <c r="CP32" i="166"/>
  <c r="CR32" i="166"/>
  <c r="CP33" i="166"/>
  <c r="CP34" i="166"/>
  <c r="CP35" i="166"/>
  <c r="CR35" i="166" s="1"/>
  <c r="CP36" i="166"/>
  <c r="CR36" i="166" s="1"/>
  <c r="CP37" i="166"/>
  <c r="CP38" i="166"/>
  <c r="CR38" i="166" s="1"/>
  <c r="CP39" i="166"/>
  <c r="CR39" i="166" s="1"/>
  <c r="CN45" i="166"/>
  <c r="CN46" i="166"/>
  <c r="CP46" i="166" s="1"/>
  <c r="CR46" i="166" s="1"/>
  <c r="CN47" i="166"/>
  <c r="CP47" i="166" s="1"/>
  <c r="CR47" i="166" s="1"/>
  <c r="CN48" i="166"/>
  <c r="CP48" i="166" s="1"/>
  <c r="CO20" i="166"/>
  <c r="CO54" i="166"/>
  <c r="CE14" i="166"/>
  <c r="CG14" i="166" s="1"/>
  <c r="CE15" i="166"/>
  <c r="CG15" i="166" s="1"/>
  <c r="CE16" i="166"/>
  <c r="CG16" i="166" s="1"/>
  <c r="CI16" i="166" s="1"/>
  <c r="CE17" i="166"/>
  <c r="CG17" i="166" s="1"/>
  <c r="CI17" i="166" s="1"/>
  <c r="CE19" i="166"/>
  <c r="CG19" i="166" s="1"/>
  <c r="CI19" i="166" s="1"/>
  <c r="CE20" i="166"/>
  <c r="CE21" i="166"/>
  <c r="CG21" i="166" s="1"/>
  <c r="CE22" i="166"/>
  <c r="CE23" i="166"/>
  <c r="CG23" i="166" s="1"/>
  <c r="CI23" i="166" s="1"/>
  <c r="CG24" i="166"/>
  <c r="CG25" i="166"/>
  <c r="CI25" i="166" s="1"/>
  <c r="CG26" i="166"/>
  <c r="CG27" i="166"/>
  <c r="CI27" i="166"/>
  <c r="CG28" i="166"/>
  <c r="CG29" i="166"/>
  <c r="CI29" i="166" s="1"/>
  <c r="CG30" i="166"/>
  <c r="CG31" i="166"/>
  <c r="CG32" i="166"/>
  <c r="CI32" i="166"/>
  <c r="CG33" i="166"/>
  <c r="CG34" i="166"/>
  <c r="CI34" i="166" s="1"/>
  <c r="CG35" i="166"/>
  <c r="CI35" i="166" s="1"/>
  <c r="CG36" i="166"/>
  <c r="CG37" i="166"/>
  <c r="CI37" i="166" s="1"/>
  <c r="CG38" i="166"/>
  <c r="CI38" i="166" s="1"/>
  <c r="CG39" i="166"/>
  <c r="CI39" i="166" s="1"/>
  <c r="CE45" i="166"/>
  <c r="CG45" i="166" s="1"/>
  <c r="CI45" i="166" s="1"/>
  <c r="CE46" i="166"/>
  <c r="CE47" i="166"/>
  <c r="CG47" i="166" s="1"/>
  <c r="CI47" i="166" s="1"/>
  <c r="CE48" i="166"/>
  <c r="CG48" i="166" s="1"/>
  <c r="CI48" i="166" s="1"/>
  <c r="CF20" i="166"/>
  <c r="CF42" i="166" s="1"/>
  <c r="CF54" i="166"/>
  <c r="BV14" i="166"/>
  <c r="BX14" i="166" s="1"/>
  <c r="BZ14" i="166" s="1"/>
  <c r="BV15" i="166"/>
  <c r="BX15" i="166" s="1"/>
  <c r="BZ15" i="166" s="1"/>
  <c r="BV16" i="166"/>
  <c r="BX16" i="166" s="1"/>
  <c r="BZ16" i="166" s="1"/>
  <c r="BV17" i="166"/>
  <c r="BX17" i="166" s="1"/>
  <c r="BZ17" i="166" s="1"/>
  <c r="BV19" i="166"/>
  <c r="BV20" i="166"/>
  <c r="BX20" i="166" s="1"/>
  <c r="BZ20" i="166" s="1"/>
  <c r="BV21" i="166"/>
  <c r="BX21" i="166" s="1"/>
  <c r="BZ21" i="166" s="1"/>
  <c r="BV22" i="166"/>
  <c r="BX22" i="166" s="1"/>
  <c r="BZ22" i="166" s="1"/>
  <c r="BV23" i="166"/>
  <c r="BX23" i="166" s="1"/>
  <c r="BZ23" i="166" s="1"/>
  <c r="BX24" i="166"/>
  <c r="BZ24" i="166" s="1"/>
  <c r="BX25" i="166"/>
  <c r="BX26" i="166"/>
  <c r="BZ26" i="166" s="1"/>
  <c r="BX27" i="166"/>
  <c r="BZ27" i="166" s="1"/>
  <c r="BX28" i="166"/>
  <c r="BX29" i="166"/>
  <c r="BZ29" i="166" s="1"/>
  <c r="BX30" i="166"/>
  <c r="BX31" i="166"/>
  <c r="BZ31" i="166" s="1"/>
  <c r="BX32" i="166"/>
  <c r="BX33" i="166"/>
  <c r="BZ33" i="166" s="1"/>
  <c r="BX34" i="166"/>
  <c r="BZ34" i="166" s="1"/>
  <c r="BX35" i="166"/>
  <c r="BX36" i="166"/>
  <c r="BZ36" i="166" s="1"/>
  <c r="BX37" i="166"/>
  <c r="BX38" i="166"/>
  <c r="BZ38" i="166" s="1"/>
  <c r="BX39" i="166"/>
  <c r="BZ39" i="166" s="1"/>
  <c r="BV45" i="166"/>
  <c r="BX45" i="166" s="1"/>
  <c r="BV46" i="166"/>
  <c r="BX46" i="166" s="1"/>
  <c r="BZ46" i="166" s="1"/>
  <c r="BV47" i="166"/>
  <c r="BV48" i="166"/>
  <c r="BX48" i="166" s="1"/>
  <c r="BZ48" i="166" s="1"/>
  <c r="BW19" i="166"/>
  <c r="BW42" i="166" s="1"/>
  <c r="BW54" i="166"/>
  <c r="BM14" i="166"/>
  <c r="BM15" i="166"/>
  <c r="BO15" i="166" s="1"/>
  <c r="BQ15" i="166" s="1"/>
  <c r="BM16" i="166"/>
  <c r="BO16" i="166" s="1"/>
  <c r="BQ16" i="166" s="1"/>
  <c r="BM17" i="166"/>
  <c r="BO17" i="166" s="1"/>
  <c r="BM19" i="166"/>
  <c r="BO19" i="166" s="1"/>
  <c r="BQ19" i="166" s="1"/>
  <c r="BM20" i="166"/>
  <c r="BO20" i="166" s="1"/>
  <c r="BQ20" i="166" s="1"/>
  <c r="BM21" i="166"/>
  <c r="BM22" i="166"/>
  <c r="BO22" i="166" s="1"/>
  <c r="BQ22" i="166" s="1"/>
  <c r="BM23" i="166"/>
  <c r="BO23" i="166" s="1"/>
  <c r="BQ23" i="166" s="1"/>
  <c r="BO24" i="166"/>
  <c r="BQ24" i="166" s="1"/>
  <c r="BO25" i="166"/>
  <c r="BQ25" i="166" s="1"/>
  <c r="BO26" i="166"/>
  <c r="BQ26" i="166" s="1"/>
  <c r="BO27" i="166"/>
  <c r="BO28" i="166"/>
  <c r="BQ28" i="166" s="1"/>
  <c r="BO29" i="166"/>
  <c r="BQ29" i="166" s="1"/>
  <c r="BO30" i="166"/>
  <c r="BQ30" i="166" s="1"/>
  <c r="BO31" i="166"/>
  <c r="BQ31" i="166" s="1"/>
  <c r="BO32" i="166"/>
  <c r="BQ32" i="166" s="1"/>
  <c r="BO33" i="166"/>
  <c r="BQ33" i="166" s="1"/>
  <c r="BO34" i="166"/>
  <c r="BQ34" i="166" s="1"/>
  <c r="BO35" i="166"/>
  <c r="BQ35" i="166" s="1"/>
  <c r="BO36" i="166"/>
  <c r="BQ36" i="166" s="1"/>
  <c r="BO37" i="166"/>
  <c r="BQ37" i="166" s="1"/>
  <c r="BO38" i="166"/>
  <c r="BQ38" i="166" s="1"/>
  <c r="BO39" i="166"/>
  <c r="BM45" i="166"/>
  <c r="BO45" i="166" s="1"/>
  <c r="BM46" i="166"/>
  <c r="BO46" i="166" s="1"/>
  <c r="BQ46" i="166" s="1"/>
  <c r="BM47" i="166"/>
  <c r="BM48" i="166"/>
  <c r="BN42" i="166"/>
  <c r="BN54" i="166"/>
  <c r="BD14" i="166"/>
  <c r="BF14" i="166" s="1"/>
  <c r="BD15" i="166"/>
  <c r="BF15" i="166" s="1"/>
  <c r="BH15" i="166" s="1"/>
  <c r="BD16" i="166"/>
  <c r="BF16" i="166" s="1"/>
  <c r="BD17" i="166"/>
  <c r="BF17" i="166" s="1"/>
  <c r="BH17" i="166" s="1"/>
  <c r="BD19" i="166"/>
  <c r="BF19" i="166" s="1"/>
  <c r="BD20" i="166"/>
  <c r="BF20" i="166" s="1"/>
  <c r="BD21" i="166"/>
  <c r="BD22" i="166"/>
  <c r="BF22" i="166" s="1"/>
  <c r="BH22" i="166" s="1"/>
  <c r="BD23" i="166"/>
  <c r="BF23" i="166" s="1"/>
  <c r="BH23" i="166" s="1"/>
  <c r="BF24" i="166"/>
  <c r="BH24" i="166" s="1"/>
  <c r="BF25" i="166"/>
  <c r="BH25" i="166" s="1"/>
  <c r="BF26" i="166"/>
  <c r="BH26" i="166" s="1"/>
  <c r="BF27" i="166"/>
  <c r="BF28" i="166"/>
  <c r="BH28" i="166" s="1"/>
  <c r="BF29" i="166"/>
  <c r="BH29" i="166" s="1"/>
  <c r="BF30" i="166"/>
  <c r="BH30" i="166" s="1"/>
  <c r="BF31" i="166"/>
  <c r="BH31" i="166" s="1"/>
  <c r="BF32" i="166"/>
  <c r="BH32" i="166" s="1"/>
  <c r="BF33" i="166"/>
  <c r="BF34" i="166"/>
  <c r="BH34" i="166" s="1"/>
  <c r="BF35" i="166"/>
  <c r="BH35" i="166" s="1"/>
  <c r="BF36" i="166"/>
  <c r="BH36" i="166" s="1"/>
  <c r="BF37" i="166"/>
  <c r="BH37" i="166" s="1"/>
  <c r="BF38" i="166"/>
  <c r="BH38" i="166"/>
  <c r="BF39" i="166"/>
  <c r="BH39" i="166" s="1"/>
  <c r="BD45" i="166"/>
  <c r="BF45" i="166" s="1"/>
  <c r="BD46" i="166"/>
  <c r="BF46" i="166" s="1"/>
  <c r="BH46" i="166" s="1"/>
  <c r="BD47" i="166"/>
  <c r="BF47" i="166" s="1"/>
  <c r="BH47" i="166" s="1"/>
  <c r="BD48" i="166"/>
  <c r="BF48" i="166" s="1"/>
  <c r="BH48" i="166" s="1"/>
  <c r="BE42" i="166"/>
  <c r="BE54" i="166"/>
  <c r="AU14" i="166"/>
  <c r="AW14" i="166" s="1"/>
  <c r="AY14" i="166" s="1"/>
  <c r="AU15" i="166"/>
  <c r="AW15" i="166" s="1"/>
  <c r="AY15" i="166" s="1"/>
  <c r="AU16" i="166"/>
  <c r="AU17" i="166"/>
  <c r="AW17" i="166" s="1"/>
  <c r="AU19" i="166"/>
  <c r="AW19" i="166" s="1"/>
  <c r="AU20" i="166"/>
  <c r="AU21" i="166"/>
  <c r="AW21" i="166"/>
  <c r="AY21" i="166" s="1"/>
  <c r="AU22" i="166"/>
  <c r="AW22" i="166" s="1"/>
  <c r="AY22" i="166" s="1"/>
  <c r="AU23" i="166"/>
  <c r="AW23" i="166" s="1"/>
  <c r="AY23" i="166" s="1"/>
  <c r="AW24" i="166"/>
  <c r="AY24" i="166" s="1"/>
  <c r="AW25" i="166"/>
  <c r="AY25" i="166" s="1"/>
  <c r="AW26" i="166"/>
  <c r="AY26" i="166" s="1"/>
  <c r="AW27" i="166"/>
  <c r="AY27" i="166" s="1"/>
  <c r="AW28" i="166"/>
  <c r="AY28" i="166" s="1"/>
  <c r="AW29" i="166"/>
  <c r="AY29" i="166" s="1"/>
  <c r="AW30" i="166"/>
  <c r="AW31" i="166"/>
  <c r="AW32" i="166"/>
  <c r="AW33" i="166"/>
  <c r="AY33" i="166" s="1"/>
  <c r="AW34" i="166"/>
  <c r="AY34" i="166" s="1"/>
  <c r="AW35" i="166"/>
  <c r="AW36" i="166"/>
  <c r="AY36" i="166" s="1"/>
  <c r="AW37" i="166"/>
  <c r="AY37" i="166" s="1"/>
  <c r="AW38" i="166"/>
  <c r="AW39" i="166"/>
  <c r="AY39" i="166" s="1"/>
  <c r="AU45" i="166"/>
  <c r="AU46" i="166"/>
  <c r="AU47" i="166"/>
  <c r="AW47" i="166" s="1"/>
  <c r="AY47" i="166" s="1"/>
  <c r="AU48" i="166"/>
  <c r="AW48" i="166" s="1"/>
  <c r="AY48" i="166" s="1"/>
  <c r="AV18" i="166"/>
  <c r="AW18" i="166" s="1"/>
  <c r="AV20" i="166"/>
  <c r="AV54" i="166"/>
  <c r="AL14" i="166"/>
  <c r="AN14" i="166" s="1"/>
  <c r="AL15" i="166"/>
  <c r="AL16" i="166"/>
  <c r="AN16" i="166" s="1"/>
  <c r="AP16" i="166" s="1"/>
  <c r="AL17" i="166"/>
  <c r="AN17" i="166" s="1"/>
  <c r="AL19" i="166"/>
  <c r="AN19" i="166" s="1"/>
  <c r="AL20" i="166"/>
  <c r="AN20" i="166" s="1"/>
  <c r="AP20" i="166" s="1"/>
  <c r="AL21" i="166"/>
  <c r="AN21" i="166" s="1"/>
  <c r="AP21" i="166" s="1"/>
  <c r="AL22" i="166"/>
  <c r="AN22" i="166" s="1"/>
  <c r="AP22" i="166" s="1"/>
  <c r="AL23" i="166"/>
  <c r="AN23" i="166" s="1"/>
  <c r="AP23" i="166" s="1"/>
  <c r="AN24" i="166"/>
  <c r="AP24" i="166" s="1"/>
  <c r="AN25" i="166"/>
  <c r="AP25" i="166" s="1"/>
  <c r="AN26" i="166"/>
  <c r="AP26" i="166" s="1"/>
  <c r="AN27" i="166"/>
  <c r="AP27" i="166" s="1"/>
  <c r="AN28" i="166"/>
  <c r="AP28" i="166" s="1"/>
  <c r="AN29" i="166"/>
  <c r="AN30" i="166"/>
  <c r="AP30" i="166" s="1"/>
  <c r="AN31" i="166"/>
  <c r="AP31" i="166" s="1"/>
  <c r="AN32" i="166"/>
  <c r="AP32" i="166" s="1"/>
  <c r="AN33" i="166"/>
  <c r="AN34" i="166"/>
  <c r="AP34" i="166" s="1"/>
  <c r="AN35" i="166"/>
  <c r="AN36" i="166"/>
  <c r="AP36" i="166" s="1"/>
  <c r="AN37" i="166"/>
  <c r="AP37" i="166" s="1"/>
  <c r="AN38" i="166"/>
  <c r="AP38" i="166" s="1"/>
  <c r="AN39" i="166"/>
  <c r="AP39" i="166" s="1"/>
  <c r="AL45" i="166"/>
  <c r="AL46" i="166"/>
  <c r="AN46" i="166" s="1"/>
  <c r="AL47" i="166"/>
  <c r="AN47" i="166" s="1"/>
  <c r="AP47" i="166" s="1"/>
  <c r="AL48" i="166"/>
  <c r="AN48" i="166" s="1"/>
  <c r="AP48" i="166" s="1"/>
  <c r="AM42" i="166"/>
  <c r="AM54" i="166"/>
  <c r="AC14" i="166"/>
  <c r="AE14" i="166" s="1"/>
  <c r="AG14" i="166" s="1"/>
  <c r="AC15" i="166"/>
  <c r="AE15" i="166" s="1"/>
  <c r="AC16" i="166"/>
  <c r="AE16" i="166" s="1"/>
  <c r="AG16" i="166" s="1"/>
  <c r="AC17" i="166"/>
  <c r="AE17" i="166" s="1"/>
  <c r="AC19" i="166"/>
  <c r="AE19" i="166" s="1"/>
  <c r="AC20" i="166"/>
  <c r="AE20" i="166" s="1"/>
  <c r="AG20" i="166" s="1"/>
  <c r="AC21" i="166"/>
  <c r="AE21" i="166" s="1"/>
  <c r="AG21" i="166" s="1"/>
  <c r="AC22" i="166"/>
  <c r="AE22" i="166" s="1"/>
  <c r="AG22" i="166" s="1"/>
  <c r="AC23" i="166"/>
  <c r="AE23" i="166" s="1"/>
  <c r="AG23" i="166" s="1"/>
  <c r="AE24" i="166"/>
  <c r="AG24" i="166" s="1"/>
  <c r="AE25" i="166"/>
  <c r="AG25" i="166" s="1"/>
  <c r="AE26" i="166"/>
  <c r="AE27" i="166"/>
  <c r="AG27" i="166" s="1"/>
  <c r="AE28" i="166"/>
  <c r="AG28" i="166" s="1"/>
  <c r="AE29" i="166"/>
  <c r="AG29" i="166" s="1"/>
  <c r="AE30" i="166"/>
  <c r="AE31" i="166"/>
  <c r="AG31" i="166" s="1"/>
  <c r="AE32" i="166"/>
  <c r="AG32" i="166" s="1"/>
  <c r="AE33" i="166"/>
  <c r="AG33" i="166" s="1"/>
  <c r="AE34" i="166"/>
  <c r="AE35" i="166"/>
  <c r="AG35" i="166" s="1"/>
  <c r="AE36" i="166"/>
  <c r="AE37" i="166"/>
  <c r="AG37" i="166" s="1"/>
  <c r="AE38" i="166"/>
  <c r="AG38" i="166" s="1"/>
  <c r="AE39" i="166"/>
  <c r="AG39" i="166" s="1"/>
  <c r="AC45" i="166"/>
  <c r="AE45" i="166" s="1"/>
  <c r="AC46" i="166"/>
  <c r="AC47" i="166"/>
  <c r="AE47" i="166" s="1"/>
  <c r="AG47" i="166" s="1"/>
  <c r="AC48" i="166"/>
  <c r="AE48" i="166" s="1"/>
  <c r="AG48" i="166" s="1"/>
  <c r="AD42" i="166"/>
  <c r="AD54" i="166"/>
  <c r="T14" i="166"/>
  <c r="V14" i="166" s="1"/>
  <c r="X14" i="166" s="1"/>
  <c r="T15" i="166"/>
  <c r="V15" i="166" s="1"/>
  <c r="X15" i="166" s="1"/>
  <c r="T16" i="166"/>
  <c r="V16" i="166" s="1"/>
  <c r="T17" i="166"/>
  <c r="V17" i="166" s="1"/>
  <c r="X17" i="166" s="1"/>
  <c r="T19" i="166"/>
  <c r="V19" i="166" s="1"/>
  <c r="X19" i="166" s="1"/>
  <c r="T20" i="166"/>
  <c r="V20" i="166" s="1"/>
  <c r="X20" i="166" s="1"/>
  <c r="T21" i="166"/>
  <c r="T22" i="166"/>
  <c r="V22" i="166" s="1"/>
  <c r="X22" i="166" s="1"/>
  <c r="T23" i="166"/>
  <c r="V23" i="166" s="1"/>
  <c r="X23" i="166" s="1"/>
  <c r="V24" i="166"/>
  <c r="X24" i="166" s="1"/>
  <c r="V25" i="166"/>
  <c r="X25" i="166" s="1"/>
  <c r="V26" i="166"/>
  <c r="X26" i="166" s="1"/>
  <c r="V27" i="166"/>
  <c r="X27" i="166" s="1"/>
  <c r="V28" i="166"/>
  <c r="V29" i="166"/>
  <c r="X29" i="166" s="1"/>
  <c r="V30" i="166"/>
  <c r="X30" i="166" s="1"/>
  <c r="V31" i="166"/>
  <c r="X31" i="166" s="1"/>
  <c r="V32" i="166"/>
  <c r="X32" i="166" s="1"/>
  <c r="V33" i="166"/>
  <c r="X33" i="166" s="1"/>
  <c r="V34" i="166"/>
  <c r="X34" i="166" s="1"/>
  <c r="V35" i="166"/>
  <c r="V36" i="166"/>
  <c r="X36" i="166" s="1"/>
  <c r="V37" i="166"/>
  <c r="X37" i="166" s="1"/>
  <c r="V38" i="166"/>
  <c r="X38" i="166" s="1"/>
  <c r="V39" i="166"/>
  <c r="X39" i="166" s="1"/>
  <c r="T45" i="166"/>
  <c r="V45" i="166" s="1"/>
  <c r="X45" i="166" s="1"/>
  <c r="T46" i="166"/>
  <c r="V46" i="166" s="1"/>
  <c r="X46" i="166" s="1"/>
  <c r="T47" i="166"/>
  <c r="V47" i="166" s="1"/>
  <c r="X47" i="166" s="1"/>
  <c r="T48" i="166"/>
  <c r="V48" i="166" s="1"/>
  <c r="X48" i="166" s="1"/>
  <c r="U42" i="166"/>
  <c r="U54" i="166"/>
  <c r="K14" i="166"/>
  <c r="M14" i="166" s="1"/>
  <c r="K15" i="166"/>
  <c r="M15" i="166" s="1"/>
  <c r="K16" i="166"/>
  <c r="M16" i="166" s="1"/>
  <c r="O16" i="166" s="1"/>
  <c r="S16" i="166" s="1"/>
  <c r="K17" i="166"/>
  <c r="M17" i="166" s="1"/>
  <c r="Q17" i="166" s="1"/>
  <c r="K19" i="166"/>
  <c r="M19" i="166" s="1"/>
  <c r="K20" i="166"/>
  <c r="K21" i="166"/>
  <c r="M21" i="166" s="1"/>
  <c r="K22" i="166"/>
  <c r="M22" i="166" s="1"/>
  <c r="O22" i="166" s="1"/>
  <c r="S22" i="166" s="1"/>
  <c r="K23" i="166"/>
  <c r="M23" i="166" s="1"/>
  <c r="M24" i="166"/>
  <c r="Q24" i="166" s="1"/>
  <c r="M25" i="166"/>
  <c r="Q25" i="166" s="1"/>
  <c r="M26" i="166"/>
  <c r="M27" i="166"/>
  <c r="M28" i="166"/>
  <c r="Q28" i="166" s="1"/>
  <c r="M29" i="166"/>
  <c r="O29" i="166" s="1"/>
  <c r="M30" i="166"/>
  <c r="O30" i="166" s="1"/>
  <c r="S30" i="166" s="1"/>
  <c r="M31" i="166"/>
  <c r="M32" i="166"/>
  <c r="Q32" i="166" s="1"/>
  <c r="M33" i="166"/>
  <c r="M34" i="166"/>
  <c r="O34" i="166" s="1"/>
  <c r="S34" i="166" s="1"/>
  <c r="M35" i="166"/>
  <c r="O35" i="166" s="1"/>
  <c r="S35" i="166" s="1"/>
  <c r="M36" i="166"/>
  <c r="Q36" i="166" s="1"/>
  <c r="M37" i="166"/>
  <c r="O37" i="166" s="1"/>
  <c r="S37" i="166" s="1"/>
  <c r="M38" i="166"/>
  <c r="O38" i="166" s="1"/>
  <c r="M39" i="166"/>
  <c r="K45" i="166"/>
  <c r="M45" i="166" s="1"/>
  <c r="K46" i="166"/>
  <c r="M46" i="166" s="1"/>
  <c r="K47" i="166"/>
  <c r="M47" i="166" s="1"/>
  <c r="O47" i="166" s="1"/>
  <c r="K48" i="166"/>
  <c r="M48" i="166" s="1"/>
  <c r="L42" i="166"/>
  <c r="L54" i="166"/>
  <c r="L56" i="166" s="1"/>
  <c r="DF14" i="160"/>
  <c r="DF15" i="160"/>
  <c r="DH15" i="160" s="1"/>
  <c r="I15" i="160" s="1"/>
  <c r="F23" i="161" s="1"/>
  <c r="DF16" i="160"/>
  <c r="DH16" i="160" s="1"/>
  <c r="DF17" i="160"/>
  <c r="DH17" i="160" s="1"/>
  <c r="DJ17" i="160" s="1"/>
  <c r="DF18" i="160"/>
  <c r="DH18" i="160" s="1"/>
  <c r="DF19" i="160"/>
  <c r="DH19" i="160" s="1"/>
  <c r="DF20" i="160"/>
  <c r="DH20" i="160" s="1"/>
  <c r="DF21" i="160"/>
  <c r="DF22" i="160"/>
  <c r="DH22" i="160" s="1"/>
  <c r="DF23" i="160"/>
  <c r="DH23" i="160" s="1"/>
  <c r="DJ23" i="160" s="1"/>
  <c r="DH24" i="160"/>
  <c r="DH25" i="160"/>
  <c r="DH26" i="160"/>
  <c r="I26" i="160" s="1"/>
  <c r="DH27" i="160"/>
  <c r="DH28" i="160"/>
  <c r="I28" i="160" s="1"/>
  <c r="DH29" i="160"/>
  <c r="DJ29" i="160" s="1"/>
  <c r="DH30" i="160"/>
  <c r="I30" i="160" s="1"/>
  <c r="DH31" i="160"/>
  <c r="DJ31" i="160" s="1"/>
  <c r="DH32" i="160"/>
  <c r="DH33" i="160"/>
  <c r="DJ33" i="160" s="1"/>
  <c r="DH34" i="160"/>
  <c r="DH35" i="160"/>
  <c r="I35" i="160"/>
  <c r="DH36" i="160"/>
  <c r="DH37" i="160"/>
  <c r="DJ37" i="160" s="1"/>
  <c r="DH38" i="160"/>
  <c r="DH39" i="160"/>
  <c r="I39" i="160" s="1"/>
  <c r="DF45" i="160"/>
  <c r="DF46" i="160"/>
  <c r="DH46" i="160" s="1"/>
  <c r="DF47" i="160"/>
  <c r="DH47" i="160"/>
  <c r="I47" i="160" s="1"/>
  <c r="DF48" i="160"/>
  <c r="DH48" i="160" s="1"/>
  <c r="DG42" i="160"/>
  <c r="DG54" i="160"/>
  <c r="CW14" i="160"/>
  <c r="CY14" i="160" s="1"/>
  <c r="DA14" i="160" s="1"/>
  <c r="CW15" i="160"/>
  <c r="CY15" i="160" s="1"/>
  <c r="DA15" i="160" s="1"/>
  <c r="CW16" i="160"/>
  <c r="CY16" i="160" s="1"/>
  <c r="CW17" i="160"/>
  <c r="CY17" i="160" s="1"/>
  <c r="DA17" i="160" s="1"/>
  <c r="CW18" i="160"/>
  <c r="CY18" i="160" s="1"/>
  <c r="DA18" i="160" s="1"/>
  <c r="CW19" i="160"/>
  <c r="CY19" i="160" s="1"/>
  <c r="DA19" i="160" s="1"/>
  <c r="CW20" i="160"/>
  <c r="CY20" i="160" s="1"/>
  <c r="DA20" i="160" s="1"/>
  <c r="CW21" i="160"/>
  <c r="CY21" i="160" s="1"/>
  <c r="DA21" i="160" s="1"/>
  <c r="CW22" i="160"/>
  <c r="CY22" i="160" s="1"/>
  <c r="DA22" i="160" s="1"/>
  <c r="CW23" i="160"/>
  <c r="CY23" i="160" s="1"/>
  <c r="DA23" i="160" s="1"/>
  <c r="CY24" i="160"/>
  <c r="CY25" i="160"/>
  <c r="DA25" i="160" s="1"/>
  <c r="CY26" i="160"/>
  <c r="DA26" i="160" s="1"/>
  <c r="CY27" i="160"/>
  <c r="DA27" i="160" s="1"/>
  <c r="CY28" i="160"/>
  <c r="CY29" i="160"/>
  <c r="DA29" i="160" s="1"/>
  <c r="CY30" i="160"/>
  <c r="CY31" i="160"/>
  <c r="DA31" i="160"/>
  <c r="CY32" i="160"/>
  <c r="CY33" i="160"/>
  <c r="DA33" i="160" s="1"/>
  <c r="CY34" i="160"/>
  <c r="CY35" i="160"/>
  <c r="DA35" i="160" s="1"/>
  <c r="CY36" i="160"/>
  <c r="DA36" i="160" s="1"/>
  <c r="CY37" i="160"/>
  <c r="DA37" i="160" s="1"/>
  <c r="CY38" i="160"/>
  <c r="DA38" i="160" s="1"/>
  <c r="CY39" i="160"/>
  <c r="DA39" i="160" s="1"/>
  <c r="CW45" i="160"/>
  <c r="CY45" i="160" s="1"/>
  <c r="DA45" i="160" s="1"/>
  <c r="CW46" i="160"/>
  <c r="CY46" i="160" s="1"/>
  <c r="CW47" i="160"/>
  <c r="CY47" i="160" s="1"/>
  <c r="DA47" i="160" s="1"/>
  <c r="CW48" i="160"/>
  <c r="CY48" i="160" s="1"/>
  <c r="DA48" i="160" s="1"/>
  <c r="CX42" i="160"/>
  <c r="CX54" i="160"/>
  <c r="CO20" i="160"/>
  <c r="CO42" i="160"/>
  <c r="CN14" i="160"/>
  <c r="CP14" i="160" s="1"/>
  <c r="CR14" i="160" s="1"/>
  <c r="CN15" i="160"/>
  <c r="CP15" i="160" s="1"/>
  <c r="CR15" i="160" s="1"/>
  <c r="CN16" i="160"/>
  <c r="CP16" i="160" s="1"/>
  <c r="CR16" i="160" s="1"/>
  <c r="CN17" i="160"/>
  <c r="CP17" i="160" s="1"/>
  <c r="CR17" i="160" s="1"/>
  <c r="CN19" i="160"/>
  <c r="CP19" i="160" s="1"/>
  <c r="CR19" i="160" s="1"/>
  <c r="CN20" i="160"/>
  <c r="CN21" i="160"/>
  <c r="CN22" i="160"/>
  <c r="CP22" i="160" s="1"/>
  <c r="CR22" i="160" s="1"/>
  <c r="CN23" i="160"/>
  <c r="CP23" i="160" s="1"/>
  <c r="CR23" i="160" s="1"/>
  <c r="CP24" i="160"/>
  <c r="CR24" i="160" s="1"/>
  <c r="CP25" i="160"/>
  <c r="CR25" i="160" s="1"/>
  <c r="CP26" i="160"/>
  <c r="CR26" i="160" s="1"/>
  <c r="CP27" i="160"/>
  <c r="CP28" i="160"/>
  <c r="CR28" i="160" s="1"/>
  <c r="CP29" i="160"/>
  <c r="CR29" i="160" s="1"/>
  <c r="CP30" i="160"/>
  <c r="CP31" i="160"/>
  <c r="CR31" i="160" s="1"/>
  <c r="CP32" i="160"/>
  <c r="CP33" i="160"/>
  <c r="CR33" i="160" s="1"/>
  <c r="CP34" i="160"/>
  <c r="CR34" i="160" s="1"/>
  <c r="CP35" i="160"/>
  <c r="CR35" i="160" s="1"/>
  <c r="CP36" i="160"/>
  <c r="CR36" i="160" s="1"/>
  <c r="CP37" i="160"/>
  <c r="CP38" i="160"/>
  <c r="CP39" i="160"/>
  <c r="CN45" i="160"/>
  <c r="CP45" i="160" s="1"/>
  <c r="CR45" i="160" s="1"/>
  <c r="CN46" i="160"/>
  <c r="CN47" i="160"/>
  <c r="CP47" i="160" s="1"/>
  <c r="CR47" i="160" s="1"/>
  <c r="CN48" i="160"/>
  <c r="CP48" i="160" s="1"/>
  <c r="CR48" i="160" s="1"/>
  <c r="CO54" i="160"/>
  <c r="CE14" i="160"/>
  <c r="CG14" i="160" s="1"/>
  <c r="CI14" i="160" s="1"/>
  <c r="CE15" i="160"/>
  <c r="CG15" i="160" s="1"/>
  <c r="CI15" i="160" s="1"/>
  <c r="CE16" i="160"/>
  <c r="CG16" i="160" s="1"/>
  <c r="CI16" i="160" s="1"/>
  <c r="CE17" i="160"/>
  <c r="CE19" i="160"/>
  <c r="CG19" i="160" s="1"/>
  <c r="CI19" i="160" s="1"/>
  <c r="CE20" i="160"/>
  <c r="CE21" i="160"/>
  <c r="CG21" i="160" s="1"/>
  <c r="CI21" i="160" s="1"/>
  <c r="CE22" i="160"/>
  <c r="CG22" i="160" s="1"/>
  <c r="CI22" i="160" s="1"/>
  <c r="CE23" i="160"/>
  <c r="CG23" i="160" s="1"/>
  <c r="CI23" i="160" s="1"/>
  <c r="CG24" i="160"/>
  <c r="CI24" i="160" s="1"/>
  <c r="CG25" i="160"/>
  <c r="CI25" i="160" s="1"/>
  <c r="CG26" i="160"/>
  <c r="CI26" i="160" s="1"/>
  <c r="CG27" i="160"/>
  <c r="CI27" i="160" s="1"/>
  <c r="CG28" i="160"/>
  <c r="CG29" i="160"/>
  <c r="CI29" i="160" s="1"/>
  <c r="CG30" i="160"/>
  <c r="CI30" i="160" s="1"/>
  <c r="CG31" i="160"/>
  <c r="CI31" i="160" s="1"/>
  <c r="CG32" i="160"/>
  <c r="CI32" i="160" s="1"/>
  <c r="CG33" i="160"/>
  <c r="CI33" i="160" s="1"/>
  <c r="CG34" i="160"/>
  <c r="CG35" i="160"/>
  <c r="CG36" i="160"/>
  <c r="CI36" i="160" s="1"/>
  <c r="CG37" i="160"/>
  <c r="CG38" i="160"/>
  <c r="CI38" i="160" s="1"/>
  <c r="CG39" i="160"/>
  <c r="CI39" i="160" s="1"/>
  <c r="CE45" i="160"/>
  <c r="CG45" i="160"/>
  <c r="CE46" i="160"/>
  <c r="CE47" i="160"/>
  <c r="CG47" i="160" s="1"/>
  <c r="CE48" i="160"/>
  <c r="CG48" i="160" s="1"/>
  <c r="CI48" i="160" s="1"/>
  <c r="CF20" i="160"/>
  <c r="CF42" i="160" s="1"/>
  <c r="CF56" i="160" s="1"/>
  <c r="CF54" i="160"/>
  <c r="BV14" i="160"/>
  <c r="BX14" i="160" s="1"/>
  <c r="BZ14" i="160" s="1"/>
  <c r="BV15" i="160"/>
  <c r="BX15" i="160" s="1"/>
  <c r="BZ15" i="160" s="1"/>
  <c r="BV16" i="160"/>
  <c r="BX16" i="160" s="1"/>
  <c r="BV17" i="160"/>
  <c r="BX17" i="160" s="1"/>
  <c r="BZ17" i="160" s="1"/>
  <c r="BV19" i="160"/>
  <c r="BV20" i="160"/>
  <c r="BX20" i="160" s="1"/>
  <c r="BZ20" i="160" s="1"/>
  <c r="BV21" i="160"/>
  <c r="BX21" i="160" s="1"/>
  <c r="BZ21" i="160" s="1"/>
  <c r="BV22" i="160"/>
  <c r="BX22" i="160" s="1"/>
  <c r="BZ22" i="160" s="1"/>
  <c r="BV23" i="160"/>
  <c r="BX23" i="160" s="1"/>
  <c r="BZ23" i="160" s="1"/>
  <c r="BX24" i="160"/>
  <c r="BZ24" i="160" s="1"/>
  <c r="BX25" i="160"/>
  <c r="BZ25" i="160" s="1"/>
  <c r="BX26" i="160"/>
  <c r="BZ26" i="160" s="1"/>
  <c r="BX27" i="160"/>
  <c r="BX28" i="160"/>
  <c r="BZ28" i="160" s="1"/>
  <c r="BX29" i="160"/>
  <c r="BZ29" i="160" s="1"/>
  <c r="BX30" i="160"/>
  <c r="BZ30" i="160" s="1"/>
  <c r="BX31" i="160"/>
  <c r="BZ31" i="160" s="1"/>
  <c r="BX32" i="160"/>
  <c r="BZ32" i="160" s="1"/>
  <c r="BX33" i="160"/>
  <c r="BZ33" i="160" s="1"/>
  <c r="BX34" i="160"/>
  <c r="BX35" i="160"/>
  <c r="BZ35" i="160" s="1"/>
  <c r="BX36" i="160"/>
  <c r="BZ36" i="160" s="1"/>
  <c r="BX37" i="160"/>
  <c r="BZ37" i="160" s="1"/>
  <c r="BX38" i="160"/>
  <c r="BX39" i="160"/>
  <c r="BZ39" i="160" s="1"/>
  <c r="BV45" i="160"/>
  <c r="BV46" i="160"/>
  <c r="BX46" i="160" s="1"/>
  <c r="BZ46" i="160"/>
  <c r="BV47" i="160"/>
  <c r="BX47" i="160" s="1"/>
  <c r="BV48" i="160"/>
  <c r="BX48" i="160" s="1"/>
  <c r="BZ48" i="160" s="1"/>
  <c r="BW19" i="160"/>
  <c r="BW42" i="160" s="1"/>
  <c r="BW54" i="160"/>
  <c r="BM48" i="160"/>
  <c r="BO48" i="160" s="1"/>
  <c r="BQ48" i="160" s="1"/>
  <c r="BM14" i="160"/>
  <c r="BO14" i="160" s="1"/>
  <c r="BM15" i="160"/>
  <c r="BM16" i="160"/>
  <c r="BO16" i="160" s="1"/>
  <c r="BQ16" i="160" s="1"/>
  <c r="BM17" i="160"/>
  <c r="BO17" i="160" s="1"/>
  <c r="BQ17" i="160" s="1"/>
  <c r="BM19" i="160"/>
  <c r="BO19" i="160" s="1"/>
  <c r="BQ19" i="160" s="1"/>
  <c r="BM20" i="160"/>
  <c r="BO20" i="160" s="1"/>
  <c r="BQ20" i="160" s="1"/>
  <c r="BM21" i="160"/>
  <c r="BO21" i="160" s="1"/>
  <c r="BQ21" i="160" s="1"/>
  <c r="BM22" i="160"/>
  <c r="BO22" i="160" s="1"/>
  <c r="BQ22" i="160" s="1"/>
  <c r="BM23" i="160"/>
  <c r="BO23" i="160" s="1"/>
  <c r="BQ23" i="160" s="1"/>
  <c r="BO24" i="160"/>
  <c r="BQ24" i="160" s="1"/>
  <c r="BO25" i="160"/>
  <c r="BQ25" i="160" s="1"/>
  <c r="BO26" i="160"/>
  <c r="BQ26" i="160" s="1"/>
  <c r="BO27" i="160"/>
  <c r="BQ27" i="160" s="1"/>
  <c r="BO28" i="160"/>
  <c r="BO29" i="160"/>
  <c r="BQ29" i="160" s="1"/>
  <c r="BO30" i="160"/>
  <c r="BQ30" i="160" s="1"/>
  <c r="BO31" i="160"/>
  <c r="BQ31" i="160"/>
  <c r="BO32" i="160"/>
  <c r="BQ32" i="160" s="1"/>
  <c r="BO33" i="160"/>
  <c r="BQ33" i="160" s="1"/>
  <c r="BO34" i="160"/>
  <c r="BO35" i="160"/>
  <c r="BQ35" i="160" s="1"/>
  <c r="BO36" i="160"/>
  <c r="BQ36" i="160" s="1"/>
  <c r="BO37" i="160"/>
  <c r="BQ37" i="160" s="1"/>
  <c r="BO38" i="160"/>
  <c r="BQ38" i="160" s="1"/>
  <c r="BO39" i="160"/>
  <c r="BQ39" i="160" s="1"/>
  <c r="BM45" i="160"/>
  <c r="BM46" i="160"/>
  <c r="BO46" i="160" s="1"/>
  <c r="BQ46" i="160" s="1"/>
  <c r="BM47" i="160"/>
  <c r="BO47" i="160" s="1"/>
  <c r="BQ47" i="160" s="1"/>
  <c r="BN42" i="160"/>
  <c r="BN54" i="160"/>
  <c r="BD14" i="160"/>
  <c r="BD15" i="160"/>
  <c r="BF15" i="160" s="1"/>
  <c r="BD16" i="160"/>
  <c r="BF16" i="160" s="1"/>
  <c r="BH16" i="160" s="1"/>
  <c r="BD17" i="160"/>
  <c r="BF17" i="160" s="1"/>
  <c r="BH17" i="160" s="1"/>
  <c r="BD19" i="160"/>
  <c r="BF19" i="160" s="1"/>
  <c r="BH19" i="160" s="1"/>
  <c r="BD20" i="160"/>
  <c r="BD21" i="160"/>
  <c r="BF21" i="160" s="1"/>
  <c r="BH21" i="160" s="1"/>
  <c r="BD22" i="160"/>
  <c r="BF22" i="160" s="1"/>
  <c r="BH22" i="160" s="1"/>
  <c r="BD23" i="160"/>
  <c r="BF23" i="160" s="1"/>
  <c r="BF24" i="160"/>
  <c r="BH24" i="160" s="1"/>
  <c r="BF25" i="160"/>
  <c r="BF26" i="160"/>
  <c r="BF27" i="160"/>
  <c r="BF28" i="160"/>
  <c r="BH28" i="160" s="1"/>
  <c r="BF29" i="160"/>
  <c r="BH29" i="160" s="1"/>
  <c r="BF30" i="160"/>
  <c r="BH30" i="160" s="1"/>
  <c r="BF31" i="160"/>
  <c r="BH31" i="160" s="1"/>
  <c r="BF32" i="160"/>
  <c r="BF33" i="160"/>
  <c r="BH33" i="160" s="1"/>
  <c r="BF34" i="160"/>
  <c r="BH34" i="160" s="1"/>
  <c r="BF35" i="160"/>
  <c r="BF36" i="160"/>
  <c r="BH36" i="160" s="1"/>
  <c r="BF37" i="160"/>
  <c r="BF38" i="160"/>
  <c r="BH38" i="160" s="1"/>
  <c r="BF39" i="160"/>
  <c r="BH39" i="160" s="1"/>
  <c r="BD45" i="160"/>
  <c r="BF45" i="160" s="1"/>
  <c r="BD46" i="160"/>
  <c r="BF46" i="160" s="1"/>
  <c r="BH46" i="160" s="1"/>
  <c r="BD47" i="160"/>
  <c r="BD48" i="160"/>
  <c r="BE42" i="160"/>
  <c r="BE54" i="160"/>
  <c r="AU14" i="160"/>
  <c r="AU15" i="160"/>
  <c r="AW15" i="160" s="1"/>
  <c r="AY15" i="160" s="1"/>
  <c r="AU16" i="160"/>
  <c r="AU17" i="160"/>
  <c r="AW17" i="160" s="1"/>
  <c r="AY17" i="160" s="1"/>
  <c r="AU19" i="160"/>
  <c r="AW19" i="160" s="1"/>
  <c r="AY19" i="160" s="1"/>
  <c r="AU20" i="160"/>
  <c r="AU21" i="160"/>
  <c r="AW21" i="160" s="1"/>
  <c r="AY21" i="160" s="1"/>
  <c r="AU22" i="160"/>
  <c r="AW22" i="160" s="1"/>
  <c r="AY22" i="160" s="1"/>
  <c r="AU23" i="160"/>
  <c r="AW23" i="160" s="1"/>
  <c r="AY23" i="160" s="1"/>
  <c r="AW24" i="160"/>
  <c r="AY24" i="160" s="1"/>
  <c r="AW25" i="160"/>
  <c r="AY25" i="160" s="1"/>
  <c r="AW26" i="160"/>
  <c r="AY26" i="160" s="1"/>
  <c r="AW27" i="160"/>
  <c r="AY27" i="160" s="1"/>
  <c r="AW28" i="160"/>
  <c r="AY28" i="160" s="1"/>
  <c r="AW29" i="160"/>
  <c r="AY29" i="160" s="1"/>
  <c r="AW30" i="160"/>
  <c r="AY30" i="160" s="1"/>
  <c r="AW31" i="160"/>
  <c r="AY31" i="160" s="1"/>
  <c r="AW32" i="160"/>
  <c r="AY32" i="160" s="1"/>
  <c r="AW33" i="160"/>
  <c r="AY33" i="160" s="1"/>
  <c r="AW34" i="160"/>
  <c r="AY34" i="160" s="1"/>
  <c r="AW35" i="160"/>
  <c r="AY35" i="160" s="1"/>
  <c r="AW36" i="160"/>
  <c r="AW37" i="160"/>
  <c r="AY37" i="160" s="1"/>
  <c r="AW38" i="160"/>
  <c r="AY38" i="160" s="1"/>
  <c r="AW39" i="160"/>
  <c r="AY39" i="160" s="1"/>
  <c r="AU45" i="160"/>
  <c r="AU46" i="160"/>
  <c r="AU47" i="160"/>
  <c r="AW47" i="160" s="1"/>
  <c r="AY47" i="160" s="1"/>
  <c r="AU48" i="160"/>
  <c r="AW48" i="160" s="1"/>
  <c r="AY48" i="160" s="1"/>
  <c r="AV18" i="160"/>
  <c r="AW18" i="160" s="1"/>
  <c r="AY18" i="160" s="1"/>
  <c r="AV20" i="160"/>
  <c r="AV54" i="160"/>
  <c r="AL14" i="160"/>
  <c r="AN14" i="160" s="1"/>
  <c r="AP14" i="160" s="1"/>
  <c r="AL15" i="160"/>
  <c r="AN15" i="160"/>
  <c r="AP15" i="160" s="1"/>
  <c r="AL16" i="160"/>
  <c r="AN16" i="160"/>
  <c r="AP16" i="160" s="1"/>
  <c r="AL17" i="160"/>
  <c r="AN17" i="160" s="1"/>
  <c r="AL19" i="160"/>
  <c r="AN19" i="160" s="1"/>
  <c r="AL20" i="160"/>
  <c r="AL21" i="160"/>
  <c r="AN21" i="160" s="1"/>
  <c r="AP21" i="160"/>
  <c r="AL22" i="160"/>
  <c r="AN22" i="160" s="1"/>
  <c r="AP22" i="160" s="1"/>
  <c r="AL23" i="160"/>
  <c r="AN23" i="160" s="1"/>
  <c r="AP23" i="160" s="1"/>
  <c r="AN24" i="160"/>
  <c r="AP24" i="160" s="1"/>
  <c r="AN25" i="160"/>
  <c r="AP25" i="160" s="1"/>
  <c r="AN26" i="160"/>
  <c r="AN27" i="160"/>
  <c r="AN28" i="160"/>
  <c r="AN29" i="160"/>
  <c r="AN30" i="160"/>
  <c r="AN31" i="160"/>
  <c r="AN32" i="160"/>
  <c r="AN33" i="160"/>
  <c r="AP33" i="160" s="1"/>
  <c r="AN34" i="160"/>
  <c r="AP34" i="160" s="1"/>
  <c r="AN35" i="160"/>
  <c r="AN36" i="160"/>
  <c r="AP36" i="160" s="1"/>
  <c r="AN37" i="160"/>
  <c r="AP37" i="160" s="1"/>
  <c r="AN38" i="160"/>
  <c r="AP38" i="160" s="1"/>
  <c r="AN39" i="160"/>
  <c r="AP39" i="160" s="1"/>
  <c r="AL45" i="160"/>
  <c r="AN45" i="160" s="1"/>
  <c r="AP45" i="160" s="1"/>
  <c r="AL46" i="160"/>
  <c r="AN46" i="160" s="1"/>
  <c r="AL47" i="160"/>
  <c r="AN47" i="160" s="1"/>
  <c r="AP47" i="160" s="1"/>
  <c r="AL48" i="160"/>
  <c r="AN48" i="160" s="1"/>
  <c r="AP48" i="160"/>
  <c r="AM42" i="160"/>
  <c r="AM54" i="160"/>
  <c r="AC14" i="160"/>
  <c r="AE14" i="160" s="1"/>
  <c r="AC15" i="160"/>
  <c r="AE15" i="160" s="1"/>
  <c r="AC16" i="160"/>
  <c r="AE16" i="160" s="1"/>
  <c r="AG16" i="160" s="1"/>
  <c r="AC17" i="160"/>
  <c r="AE17" i="160" s="1"/>
  <c r="AG17" i="160" s="1"/>
  <c r="AC19" i="160"/>
  <c r="AE19" i="160" s="1"/>
  <c r="AG19" i="160" s="1"/>
  <c r="AC20" i="160"/>
  <c r="AE20" i="160" s="1"/>
  <c r="AG20" i="160" s="1"/>
  <c r="AC21" i="160"/>
  <c r="AE21" i="160" s="1"/>
  <c r="AG21" i="160" s="1"/>
  <c r="AC22" i="160"/>
  <c r="AE22" i="160" s="1"/>
  <c r="AC23" i="160"/>
  <c r="AE23" i="160" s="1"/>
  <c r="AG23" i="160" s="1"/>
  <c r="AE24" i="160"/>
  <c r="AG24" i="160" s="1"/>
  <c r="AE25" i="160"/>
  <c r="AE26" i="160"/>
  <c r="AG26" i="160" s="1"/>
  <c r="AE27" i="160"/>
  <c r="AG27" i="160" s="1"/>
  <c r="AE28" i="160"/>
  <c r="AG28" i="160" s="1"/>
  <c r="AE29" i="160"/>
  <c r="AE30" i="160"/>
  <c r="AG30" i="160" s="1"/>
  <c r="AE31" i="160"/>
  <c r="AG31" i="160" s="1"/>
  <c r="AE32" i="160"/>
  <c r="AG32" i="160" s="1"/>
  <c r="AE33" i="160"/>
  <c r="AE34" i="160"/>
  <c r="AE35" i="160"/>
  <c r="AG35" i="160" s="1"/>
  <c r="AE36" i="160"/>
  <c r="AG36" i="160" s="1"/>
  <c r="AE37" i="160"/>
  <c r="AG37" i="160" s="1"/>
  <c r="AE38" i="160"/>
  <c r="AE39" i="160"/>
  <c r="AG39" i="160" s="1"/>
  <c r="AC45" i="160"/>
  <c r="AE45" i="160" s="1"/>
  <c r="AC46" i="160"/>
  <c r="AE46" i="160" s="1"/>
  <c r="AG46" i="160" s="1"/>
  <c r="AC47" i="160"/>
  <c r="AE47" i="160" s="1"/>
  <c r="AC48" i="160"/>
  <c r="AE48" i="160" s="1"/>
  <c r="AD42" i="160"/>
  <c r="AD54" i="160"/>
  <c r="E23" i="161"/>
  <c r="E24" i="161"/>
  <c r="E22" i="161"/>
  <c r="C23" i="161"/>
  <c r="C24" i="161"/>
  <c r="C22" i="161"/>
  <c r="B23" i="161"/>
  <c r="B24" i="161"/>
  <c r="B22" i="161"/>
  <c r="T14" i="160"/>
  <c r="V14" i="160" s="1"/>
  <c r="X14" i="160" s="1"/>
  <c r="T15" i="160"/>
  <c r="V15" i="160" s="1"/>
  <c r="X15" i="160" s="1"/>
  <c r="T16" i="160"/>
  <c r="V16" i="160" s="1"/>
  <c r="X16" i="160" s="1"/>
  <c r="T17" i="160"/>
  <c r="T19" i="160"/>
  <c r="V19" i="160" s="1"/>
  <c r="X19" i="160" s="1"/>
  <c r="T20" i="160"/>
  <c r="V20" i="160" s="1"/>
  <c r="X20" i="160" s="1"/>
  <c r="T21" i="160"/>
  <c r="V21" i="160" s="1"/>
  <c r="X21" i="160" s="1"/>
  <c r="T22" i="160"/>
  <c r="V22" i="160" s="1"/>
  <c r="T23" i="160"/>
  <c r="V23" i="160" s="1"/>
  <c r="X23" i="160" s="1"/>
  <c r="V24" i="160"/>
  <c r="V25" i="160"/>
  <c r="V26" i="160"/>
  <c r="X26" i="160" s="1"/>
  <c r="V27" i="160"/>
  <c r="X27" i="160" s="1"/>
  <c r="V28" i="160"/>
  <c r="V29" i="160"/>
  <c r="X29" i="160" s="1"/>
  <c r="V30" i="160"/>
  <c r="V31" i="160"/>
  <c r="V32" i="160"/>
  <c r="X32" i="160" s="1"/>
  <c r="V33" i="160"/>
  <c r="X33" i="160" s="1"/>
  <c r="V34" i="160"/>
  <c r="X34" i="160" s="1"/>
  <c r="V35" i="160"/>
  <c r="X35" i="160" s="1"/>
  <c r="V36" i="160"/>
  <c r="X36" i="160" s="1"/>
  <c r="V37" i="160"/>
  <c r="X37" i="160" s="1"/>
  <c r="V38" i="160"/>
  <c r="X38" i="160" s="1"/>
  <c r="V39" i="160"/>
  <c r="X39" i="160" s="1"/>
  <c r="T45" i="160"/>
  <c r="T46" i="160"/>
  <c r="V46" i="160" s="1"/>
  <c r="X46" i="160" s="1"/>
  <c r="T47" i="160"/>
  <c r="V47" i="160" s="1"/>
  <c r="X47" i="160" s="1"/>
  <c r="T48" i="160"/>
  <c r="V48" i="160" s="1"/>
  <c r="X48" i="160" s="1"/>
  <c r="U42" i="160"/>
  <c r="U54" i="160"/>
  <c r="U56" i="160" s="1"/>
  <c r="K46" i="160"/>
  <c r="M46" i="160" s="1"/>
  <c r="O46" i="160" s="1"/>
  <c r="K47" i="160"/>
  <c r="M47" i="160" s="1"/>
  <c r="Q47" i="160" s="1"/>
  <c r="K48" i="160"/>
  <c r="M48" i="160" s="1"/>
  <c r="K45" i="160"/>
  <c r="M45" i="160" s="1"/>
  <c r="M39" i="160"/>
  <c r="Q39" i="160" s="1"/>
  <c r="M38" i="160"/>
  <c r="M37" i="160"/>
  <c r="Q37" i="160" s="1"/>
  <c r="M36" i="160"/>
  <c r="M35" i="160"/>
  <c r="M34" i="160"/>
  <c r="Q34" i="160" s="1"/>
  <c r="M33" i="160"/>
  <c r="Q33" i="160" s="1"/>
  <c r="M32" i="160"/>
  <c r="M31" i="160"/>
  <c r="Q31" i="160" s="1"/>
  <c r="M30" i="160"/>
  <c r="O30" i="160" s="1"/>
  <c r="S30" i="160" s="1"/>
  <c r="M29" i="160"/>
  <c r="Q29" i="160" s="1"/>
  <c r="M28" i="160"/>
  <c r="O28" i="160" s="1"/>
  <c r="S28" i="160" s="1"/>
  <c r="M27" i="160"/>
  <c r="Q27" i="160" s="1"/>
  <c r="M26" i="160"/>
  <c r="M25" i="160"/>
  <c r="M24" i="160"/>
  <c r="O24" i="160" s="1"/>
  <c r="S24" i="160" s="1"/>
  <c r="K23" i="160"/>
  <c r="M23" i="160" s="1"/>
  <c r="K22" i="160"/>
  <c r="M22" i="160"/>
  <c r="O22" i="160" s="1"/>
  <c r="S22" i="160" s="1"/>
  <c r="K21" i="160"/>
  <c r="M21" i="160" s="1"/>
  <c r="K20" i="160"/>
  <c r="M20" i="160" s="1"/>
  <c r="K19" i="160"/>
  <c r="M19" i="160" s="1"/>
  <c r="K17" i="160"/>
  <c r="M17" i="160" s="1"/>
  <c r="Q17" i="160" s="1"/>
  <c r="K16" i="160"/>
  <c r="K15" i="160"/>
  <c r="M15" i="160" s="1"/>
  <c r="K14" i="160"/>
  <c r="M14" i="160" s="1"/>
  <c r="O14" i="160" s="1"/>
  <c r="S14" i="160" s="1"/>
  <c r="L42" i="160"/>
  <c r="L54" i="160"/>
  <c r="R110" i="143"/>
  <c r="R109" i="143"/>
  <c r="I25" i="143"/>
  <c r="I26" i="143" s="1"/>
  <c r="J37" i="143"/>
  <c r="K25" i="143"/>
  <c r="R37" i="143"/>
  <c r="T111" i="143"/>
  <c r="P111" i="143"/>
  <c r="L111" i="143"/>
  <c r="J111" i="143"/>
  <c r="H111" i="143"/>
  <c r="F111" i="143"/>
  <c r="E100" i="143"/>
  <c r="E101" i="143" s="1"/>
  <c r="E102" i="143" s="1"/>
  <c r="E103" i="143" s="1"/>
  <c r="E104" i="143" s="1"/>
  <c r="E105" i="143" s="1"/>
  <c r="E106" i="143" s="1"/>
  <c r="E107" i="143" s="1"/>
  <c r="E108" i="143" s="1"/>
  <c r="E109" i="143" s="1"/>
  <c r="E110" i="143" s="1"/>
  <c r="B99" i="143"/>
  <c r="DI42" i="166"/>
  <c r="DI54" i="166"/>
  <c r="CZ42" i="166"/>
  <c r="CZ56" i="166" s="1"/>
  <c r="CZ54" i="166"/>
  <c r="CQ42" i="166"/>
  <c r="CQ54" i="166"/>
  <c r="CH42" i="166"/>
  <c r="CH54" i="166"/>
  <c r="BY42" i="166"/>
  <c r="BY54" i="166"/>
  <c r="BG18" i="166"/>
  <c r="BH18" i="166" s="1"/>
  <c r="BG19" i="166"/>
  <c r="BG20" i="166"/>
  <c r="BG54" i="166"/>
  <c r="AX17" i="166"/>
  <c r="AX18" i="166"/>
  <c r="AX19" i="166"/>
  <c r="AX20" i="166"/>
  <c r="AX54" i="166"/>
  <c r="AO17" i="166"/>
  <c r="AO18" i="166"/>
  <c r="AP18" i="166" s="1"/>
  <c r="AO19" i="166"/>
  <c r="AO54" i="166"/>
  <c r="AF17" i="166"/>
  <c r="AF18" i="166"/>
  <c r="AG18" i="166" s="1"/>
  <c r="AF19" i="166"/>
  <c r="AF54" i="166"/>
  <c r="W17" i="166"/>
  <c r="W18" i="166"/>
  <c r="W19" i="166"/>
  <c r="W54" i="166"/>
  <c r="N18" i="166"/>
  <c r="R18" i="166" s="1"/>
  <c r="AA18" i="166" s="1"/>
  <c r="N19" i="166"/>
  <c r="N54" i="166"/>
  <c r="N1" i="166"/>
  <c r="O1" i="166"/>
  <c r="Q1" i="166"/>
  <c r="R1" i="166"/>
  <c r="W1" i="166"/>
  <c r="X1" i="166"/>
  <c r="Z1" i="166"/>
  <c r="AA1" i="166"/>
  <c r="AF1" i="166"/>
  <c r="AG1" i="166"/>
  <c r="AI1" i="166"/>
  <c r="AJ1" i="166"/>
  <c r="AO1" i="166"/>
  <c r="AP1" i="166"/>
  <c r="AR1" i="166"/>
  <c r="AS1" i="166"/>
  <c r="AX1" i="166"/>
  <c r="AY1" i="166"/>
  <c r="BA1" i="166"/>
  <c r="BB1" i="166"/>
  <c r="BG1" i="166"/>
  <c r="BH1" i="166"/>
  <c r="BJ1" i="166"/>
  <c r="BK1" i="166"/>
  <c r="BP1" i="166"/>
  <c r="BQ1" i="166"/>
  <c r="BS1" i="166"/>
  <c r="BT1" i="166"/>
  <c r="BY1" i="166"/>
  <c r="BZ1" i="166"/>
  <c r="CB1" i="166"/>
  <c r="CC1" i="166"/>
  <c r="CH1" i="166"/>
  <c r="CI1" i="166"/>
  <c r="CK1" i="166"/>
  <c r="CL1" i="166"/>
  <c r="CQ1" i="166"/>
  <c r="CR1" i="166" s="1"/>
  <c r="C2" i="166"/>
  <c r="J51" i="161"/>
  <c r="J3" i="161" s="1"/>
  <c r="K3" i="161" s="1"/>
  <c r="O4" i="166"/>
  <c r="R4" i="166" s="1"/>
  <c r="P51" i="161"/>
  <c r="P3" i="161" s="1"/>
  <c r="W4" i="160" s="1"/>
  <c r="X4" i="166"/>
  <c r="X5" i="166" s="1"/>
  <c r="X6" i="166" s="1"/>
  <c r="X7" i="166" s="1"/>
  <c r="V51" i="161"/>
  <c r="V3" i="161" s="1"/>
  <c r="AF4" i="160" s="1"/>
  <c r="AG4" i="166"/>
  <c r="AG5" i="166" s="1"/>
  <c r="AB51" i="161"/>
  <c r="AB3" i="161" s="1"/>
  <c r="AO4" i="160" s="1"/>
  <c r="AO5" i="160" s="1"/>
  <c r="AO6" i="160" s="1"/>
  <c r="AO7" i="160" s="1"/>
  <c r="AP4" i="166"/>
  <c r="AP5" i="166" s="1"/>
  <c r="AP6" i="166" s="1"/>
  <c r="AP7" i="166" s="1"/>
  <c r="AH51" i="161"/>
  <c r="AH3" i="161" s="1"/>
  <c r="AX4" i="166" s="1"/>
  <c r="AY4" i="166"/>
  <c r="AY5" i="166" s="1"/>
  <c r="AY6" i="166" s="1"/>
  <c r="AY7" i="166" s="1"/>
  <c r="AN51" i="161"/>
  <c r="AN3" i="161" s="1"/>
  <c r="BH4" i="166"/>
  <c r="AT51" i="161"/>
  <c r="AT3" i="161" s="1"/>
  <c r="BQ4" i="166"/>
  <c r="BQ5" i="166" s="1"/>
  <c r="BQ6" i="166" s="1"/>
  <c r="AZ51" i="161"/>
  <c r="AZ3" i="161" s="1"/>
  <c r="BZ4" i="166"/>
  <c r="BF51" i="161"/>
  <c r="BF3" i="161" s="1"/>
  <c r="CH4" i="160" s="1"/>
  <c r="CI4" i="166"/>
  <c r="CI5" i="166" s="1"/>
  <c r="CI6" i="166" s="1"/>
  <c r="CI7" i="166" s="1"/>
  <c r="BL51" i="161"/>
  <c r="BL3" i="161" s="1"/>
  <c r="CR4" i="166"/>
  <c r="BR51" i="161"/>
  <c r="BR3" i="161" s="1"/>
  <c r="CZ4" i="160" s="1"/>
  <c r="DA4" i="166"/>
  <c r="BX51" i="161"/>
  <c r="BX3" i="161" s="1"/>
  <c r="DJ4" i="166"/>
  <c r="DJ5" i="166" s="1"/>
  <c r="DJ6" i="166" s="1"/>
  <c r="DJ7" i="166" s="1"/>
  <c r="K51" i="161"/>
  <c r="J4" i="161" s="1"/>
  <c r="Q51" i="161"/>
  <c r="P4" i="161" s="1"/>
  <c r="W51" i="161"/>
  <c r="V4" i="161" s="1"/>
  <c r="AC51" i="161"/>
  <c r="AB4" i="161" s="1"/>
  <c r="AI51" i="161"/>
  <c r="AH4" i="161" s="1"/>
  <c r="AH5" i="161" s="1"/>
  <c r="AO51" i="161"/>
  <c r="AN4" i="161" s="1"/>
  <c r="AU51" i="161"/>
  <c r="AT4" i="161" s="1"/>
  <c r="BA51" i="161"/>
  <c r="AZ4" i="161" s="1"/>
  <c r="BG51" i="161"/>
  <c r="BF4" i="161" s="1"/>
  <c r="BM51" i="161"/>
  <c r="BL4" i="161"/>
  <c r="BS51" i="161"/>
  <c r="BR4" i="161" s="1"/>
  <c r="BY51" i="161"/>
  <c r="BX4" i="161" s="1"/>
  <c r="L51" i="161"/>
  <c r="J7" i="161" s="1"/>
  <c r="K7" i="161" s="1"/>
  <c r="R51" i="161"/>
  <c r="P7" i="161" s="1"/>
  <c r="X51" i="161"/>
  <c r="V7" i="161" s="1"/>
  <c r="AD51" i="161"/>
  <c r="AB7" i="161" s="1"/>
  <c r="AV51" i="161"/>
  <c r="AT7" i="161" s="1"/>
  <c r="BB51" i="161"/>
  <c r="AZ7" i="161" s="1"/>
  <c r="BH51" i="161"/>
  <c r="BF7" i="161" s="1"/>
  <c r="BN51" i="161"/>
  <c r="BL7" i="161" s="1"/>
  <c r="BT51" i="161"/>
  <c r="BR7" i="161" s="1"/>
  <c r="BZ51" i="161"/>
  <c r="BX7" i="161" s="1"/>
  <c r="R14" i="166"/>
  <c r="AA14" i="166" s="1"/>
  <c r="R15" i="166"/>
  <c r="AA15" i="166" s="1"/>
  <c r="AJ15" i="166" s="1"/>
  <c r="AS15" i="166" s="1"/>
  <c r="BB15" i="166" s="1"/>
  <c r="BK15" i="166" s="1"/>
  <c r="BT15" i="166" s="1"/>
  <c r="CC15" i="166" s="1"/>
  <c r="CL15" i="166" s="1"/>
  <c r="CU15" i="166" s="1"/>
  <c r="DD15" i="166" s="1"/>
  <c r="DM15" i="166" s="1"/>
  <c r="DQ15" i="166" s="1"/>
  <c r="R16" i="166"/>
  <c r="AA16" i="166"/>
  <c r="AJ16" i="166" s="1"/>
  <c r="AS16" i="166" s="1"/>
  <c r="BB16" i="166" s="1"/>
  <c r="BK16" i="166" s="1"/>
  <c r="BT16" i="166" s="1"/>
  <c r="CC16" i="166" s="1"/>
  <c r="CL16" i="166" s="1"/>
  <c r="A17" i="166"/>
  <c r="A18" i="166" s="1"/>
  <c r="A19" i="166" s="1"/>
  <c r="A20" i="166" s="1"/>
  <c r="A21" i="166" s="1"/>
  <c r="A22" i="166" s="1"/>
  <c r="A23" i="166" s="1"/>
  <c r="A24" i="166" s="1"/>
  <c r="A25" i="166" s="1"/>
  <c r="A26" i="166" s="1"/>
  <c r="A27" i="166" s="1"/>
  <c r="A28" i="166" s="1"/>
  <c r="A29" i="166" s="1"/>
  <c r="A30" i="166" s="1"/>
  <c r="A31" i="166" s="1"/>
  <c r="A32" i="166" s="1"/>
  <c r="A33" i="166" s="1"/>
  <c r="A34" i="166" s="1"/>
  <c r="A35" i="166" s="1"/>
  <c r="A36" i="166" s="1"/>
  <c r="A37" i="166" s="1"/>
  <c r="A38" i="166" s="1"/>
  <c r="A39" i="166" s="1"/>
  <c r="R17" i="166"/>
  <c r="AA17" i="166" s="1"/>
  <c r="AJ17" i="166" s="1"/>
  <c r="AS17" i="166" s="1"/>
  <c r="R20" i="166"/>
  <c r="AA20" i="166" s="1"/>
  <c r="AJ20" i="166" s="1"/>
  <c r="AS20" i="166" s="1"/>
  <c r="R21" i="166"/>
  <c r="AA21" i="166" s="1"/>
  <c r="AJ21" i="166" s="1"/>
  <c r="AS21" i="166" s="1"/>
  <c r="BB21" i="166" s="1"/>
  <c r="BK21" i="166" s="1"/>
  <c r="BT21" i="166" s="1"/>
  <c r="CC21" i="166" s="1"/>
  <c r="CL21" i="166" s="1"/>
  <c r="CU21" i="166" s="1"/>
  <c r="DD21" i="166" s="1"/>
  <c r="DM21" i="166" s="1"/>
  <c r="DQ21" i="166" s="1"/>
  <c r="DJ21" i="166"/>
  <c r="R22" i="166"/>
  <c r="AA22" i="166"/>
  <c r="AJ22" i="166" s="1"/>
  <c r="AS22" i="166" s="1"/>
  <c r="BB22" i="166" s="1"/>
  <c r="BK22" i="166" s="1"/>
  <c r="BT22" i="166" s="1"/>
  <c r="CC22" i="166" s="1"/>
  <c r="CL22" i="166" s="1"/>
  <c r="CU22" i="166" s="1"/>
  <c r="DD22" i="166" s="1"/>
  <c r="DM22" i="166" s="1"/>
  <c r="DQ22" i="166" s="1"/>
  <c r="R23" i="166"/>
  <c r="AA23" i="166" s="1"/>
  <c r="AJ23" i="166" s="1"/>
  <c r="I24" i="166"/>
  <c r="R24" i="166"/>
  <c r="AA24" i="166" s="1"/>
  <c r="AJ24" i="166" s="1"/>
  <c r="AS24" i="166" s="1"/>
  <c r="BB24" i="166" s="1"/>
  <c r="BK24" i="166" s="1"/>
  <c r="BT24" i="166" s="1"/>
  <c r="CC24" i="166" s="1"/>
  <c r="CL24" i="166" s="1"/>
  <c r="CU24" i="166" s="1"/>
  <c r="DD24" i="166" s="1"/>
  <c r="DM24" i="166" s="1"/>
  <c r="DQ24" i="166" s="1"/>
  <c r="CI24" i="166"/>
  <c r="DA24" i="166"/>
  <c r="DJ24" i="166"/>
  <c r="R25" i="166"/>
  <c r="AA25" i="166" s="1"/>
  <c r="AJ25" i="166" s="1"/>
  <c r="BZ25" i="166"/>
  <c r="DA25" i="166"/>
  <c r="I26" i="166"/>
  <c r="O26" i="166"/>
  <c r="S26" i="166" s="1"/>
  <c r="Q26" i="166"/>
  <c r="Z26" i="166" s="1"/>
  <c r="R26" i="166"/>
  <c r="AA26" i="166" s="1"/>
  <c r="CI26" i="166"/>
  <c r="CR26" i="166"/>
  <c r="DA26" i="166"/>
  <c r="I27" i="166"/>
  <c r="R27" i="166"/>
  <c r="AA27" i="166" s="1"/>
  <c r="AJ27" i="166" s="1"/>
  <c r="AS27" i="166" s="1"/>
  <c r="BB27" i="166" s="1"/>
  <c r="BK27" i="166" s="1"/>
  <c r="BT27" i="166" s="1"/>
  <c r="CC27" i="166" s="1"/>
  <c r="CL27" i="166" s="1"/>
  <c r="CU27" i="166" s="1"/>
  <c r="DD27" i="166" s="1"/>
  <c r="DM27" i="166" s="1"/>
  <c r="DQ27" i="166" s="1"/>
  <c r="BH27" i="166"/>
  <c r="BQ27" i="166"/>
  <c r="DA27" i="166"/>
  <c r="DJ27" i="166"/>
  <c r="R28" i="166"/>
  <c r="AA28" i="166" s="1"/>
  <c r="BZ28" i="166"/>
  <c r="DA28" i="166"/>
  <c r="I29" i="166"/>
  <c r="R29" i="166"/>
  <c r="AA29" i="166" s="1"/>
  <c r="AP29" i="166"/>
  <c r="CR29" i="166"/>
  <c r="DA29" i="166"/>
  <c r="I30" i="166"/>
  <c r="R30" i="166"/>
  <c r="AA30" i="166" s="1"/>
  <c r="AJ30" i="166" s="1"/>
  <c r="AY30" i="166"/>
  <c r="BZ30" i="166"/>
  <c r="CI30" i="166"/>
  <c r="CR30" i="166"/>
  <c r="DA30" i="166"/>
  <c r="DJ30" i="166"/>
  <c r="R31" i="166"/>
  <c r="AA31" i="166" s="1"/>
  <c r="AJ31" i="166" s="1"/>
  <c r="AS31" i="166" s="1"/>
  <c r="BB31" i="166" s="1"/>
  <c r="BK31" i="166" s="1"/>
  <c r="BT31" i="166" s="1"/>
  <c r="CC31" i="166" s="1"/>
  <c r="CL31" i="166" s="1"/>
  <c r="CU31" i="166" s="1"/>
  <c r="DD31" i="166" s="1"/>
  <c r="DM31" i="166" s="1"/>
  <c r="DQ31" i="166" s="1"/>
  <c r="AY31" i="166"/>
  <c r="CR31" i="166"/>
  <c r="DA31" i="166"/>
  <c r="I32" i="166"/>
  <c r="R32" i="166"/>
  <c r="AA32" i="166" s="1"/>
  <c r="AJ32" i="166" s="1"/>
  <c r="AS32" i="166" s="1"/>
  <c r="BB32" i="166" s="1"/>
  <c r="BK32" i="166" s="1"/>
  <c r="BT32" i="166" s="1"/>
  <c r="CC32" i="166" s="1"/>
  <c r="CL32" i="166" s="1"/>
  <c r="CU32" i="166" s="1"/>
  <c r="DD32" i="166" s="1"/>
  <c r="DM32" i="166" s="1"/>
  <c r="DQ32" i="166" s="1"/>
  <c r="AY32" i="166"/>
  <c r="BZ32" i="166"/>
  <c r="DA32" i="166"/>
  <c r="DJ32" i="166"/>
  <c r="R33" i="166"/>
  <c r="AA33" i="166" s="1"/>
  <c r="AJ33" i="166" s="1"/>
  <c r="AS33" i="166" s="1"/>
  <c r="BB33" i="166" s="1"/>
  <c r="BK33" i="166" s="1"/>
  <c r="BT33" i="166" s="1"/>
  <c r="CC33" i="166" s="1"/>
  <c r="CL33" i="166" s="1"/>
  <c r="CU33" i="166" s="1"/>
  <c r="DD33" i="166" s="1"/>
  <c r="DM33" i="166" s="1"/>
  <c r="DQ33" i="166" s="1"/>
  <c r="AP33" i="166"/>
  <c r="BH33" i="166"/>
  <c r="CI33" i="166"/>
  <c r="CR33" i="166"/>
  <c r="DA33" i="166"/>
  <c r="I34" i="166"/>
  <c r="R34" i="166"/>
  <c r="AA34" i="166" s="1"/>
  <c r="AJ34" i="166" s="1"/>
  <c r="AS34" i="166" s="1"/>
  <c r="BB34" i="166" s="1"/>
  <c r="BK34" i="166" s="1"/>
  <c r="CR34" i="166"/>
  <c r="DA34" i="166"/>
  <c r="DJ34" i="166"/>
  <c r="I35" i="166"/>
  <c r="R35" i="166"/>
  <c r="AA35" i="166" s="1"/>
  <c r="AJ35" i="166"/>
  <c r="AS35" i="166" s="1"/>
  <c r="BB35" i="166" s="1"/>
  <c r="BK35" i="166" s="1"/>
  <c r="BT35" i="166" s="1"/>
  <c r="CC35" i="166" s="1"/>
  <c r="CL35" i="166" s="1"/>
  <c r="CU35" i="166" s="1"/>
  <c r="DD35" i="166" s="1"/>
  <c r="DM35" i="166" s="1"/>
  <c r="DQ35" i="166" s="1"/>
  <c r="X35" i="166"/>
  <c r="AP35" i="166"/>
  <c r="AY35" i="166"/>
  <c r="BZ35" i="166"/>
  <c r="DA35" i="166"/>
  <c r="DJ35" i="166"/>
  <c r="R36" i="166"/>
  <c r="AA36" i="166" s="1"/>
  <c r="AG36" i="166"/>
  <c r="CI36" i="166"/>
  <c r="DA36" i="166"/>
  <c r="R37" i="166"/>
  <c r="AA37" i="166" s="1"/>
  <c r="AJ37" i="166" s="1"/>
  <c r="BZ37" i="166"/>
  <c r="CR37" i="166"/>
  <c r="DA37" i="166"/>
  <c r="S38" i="166"/>
  <c r="R38" i="166"/>
  <c r="AA38" i="166" s="1"/>
  <c r="AJ38" i="166" s="1"/>
  <c r="AS38" i="166" s="1"/>
  <c r="AY38" i="166"/>
  <c r="DA38" i="166"/>
  <c r="DJ38" i="166"/>
  <c r="I39" i="166"/>
  <c r="R39" i="166"/>
  <c r="AA39" i="166" s="1"/>
  <c r="AJ39" i="166" s="1"/>
  <c r="AS39" i="166" s="1"/>
  <c r="BB39" i="166" s="1"/>
  <c r="BK39" i="166" s="1"/>
  <c r="BT39" i="166" s="1"/>
  <c r="CC39" i="166" s="1"/>
  <c r="CL39" i="166" s="1"/>
  <c r="CU39" i="166" s="1"/>
  <c r="DD39" i="166" s="1"/>
  <c r="DM39" i="166" s="1"/>
  <c r="DQ39" i="166" s="1"/>
  <c r="DA39" i="166"/>
  <c r="DJ39" i="166"/>
  <c r="H42" i="166"/>
  <c r="BP42" i="166"/>
  <c r="R45" i="166"/>
  <c r="AA45" i="166" s="1"/>
  <c r="R46" i="166"/>
  <c r="AA46" i="166" s="1"/>
  <c r="AP46" i="166"/>
  <c r="R47" i="166"/>
  <c r="AA47" i="166" s="1"/>
  <c r="AJ47" i="166" s="1"/>
  <c r="AS47" i="166" s="1"/>
  <c r="BB47" i="166" s="1"/>
  <c r="BK47" i="166" s="1"/>
  <c r="BT47" i="166" s="1"/>
  <c r="CC47" i="166" s="1"/>
  <c r="CL47" i="166" s="1"/>
  <c r="CU47" i="166" s="1"/>
  <c r="DD47" i="166" s="1"/>
  <c r="DM47" i="166" s="1"/>
  <c r="DQ47" i="166" s="1"/>
  <c r="R48" i="166"/>
  <c r="I49" i="166"/>
  <c r="O49" i="166"/>
  <c r="S49" i="166" s="1"/>
  <c r="Q49" i="166"/>
  <c r="Z49" i="166" s="1"/>
  <c r="R49" i="166"/>
  <c r="AA49" i="166"/>
  <c r="AJ49" i="166" s="1"/>
  <c r="X49" i="166"/>
  <c r="AG49" i="166"/>
  <c r="AP49" i="166"/>
  <c r="AY49" i="166"/>
  <c r="BH49" i="166"/>
  <c r="BQ49" i="166"/>
  <c r="BZ49" i="166"/>
  <c r="CI49" i="166"/>
  <c r="CR49" i="166"/>
  <c r="DA49" i="166"/>
  <c r="DJ49" i="166"/>
  <c r="I50" i="166"/>
  <c r="O50" i="166"/>
  <c r="S50" i="166"/>
  <c r="Q50" i="166"/>
  <c r="Z50" i="166" s="1"/>
  <c r="R50" i="166"/>
  <c r="AA50" i="166" s="1"/>
  <c r="X50" i="166"/>
  <c r="AG50" i="166"/>
  <c r="AP50" i="166"/>
  <c r="AY50" i="166"/>
  <c r="BH50" i="166"/>
  <c r="BQ50" i="166"/>
  <c r="BZ50" i="166"/>
  <c r="CI50" i="166"/>
  <c r="CR50" i="166"/>
  <c r="DA50" i="166"/>
  <c r="DJ50" i="166"/>
  <c r="I51" i="166"/>
  <c r="O51" i="166"/>
  <c r="S51" i="166" s="1"/>
  <c r="Q51" i="166"/>
  <c r="Z51" i="166" s="1"/>
  <c r="AB51" i="166" s="1"/>
  <c r="R51" i="166"/>
  <c r="AA51" i="166"/>
  <c r="AJ51" i="166" s="1"/>
  <c r="AS51" i="166" s="1"/>
  <c r="BB51" i="166" s="1"/>
  <c r="BK51" i="166" s="1"/>
  <c r="BT51" i="166" s="1"/>
  <c r="CC51" i="166" s="1"/>
  <c r="CL51" i="166" s="1"/>
  <c r="CU51" i="166" s="1"/>
  <c r="DD51" i="166" s="1"/>
  <c r="DM51" i="166" s="1"/>
  <c r="DQ51" i="166" s="1"/>
  <c r="X51" i="166"/>
  <c r="AG51" i="166"/>
  <c r="AP51" i="166"/>
  <c r="AY51" i="166"/>
  <c r="BH51" i="166"/>
  <c r="BQ51" i="166"/>
  <c r="BZ51" i="166"/>
  <c r="CI51" i="166"/>
  <c r="CR51" i="166"/>
  <c r="DA51" i="166"/>
  <c r="DJ51" i="166"/>
  <c r="O52" i="166"/>
  <c r="X52" i="166"/>
  <c r="AB52" i="166"/>
  <c r="AG52" i="166"/>
  <c r="AI52" i="166"/>
  <c r="AR52" i="166" s="1"/>
  <c r="BA52" i="166" s="1"/>
  <c r="BJ52" i="166" s="1"/>
  <c r="BS52" i="166" s="1"/>
  <c r="CB52" i="166" s="1"/>
  <c r="CK52" i="166" s="1"/>
  <c r="CT52" i="166" s="1"/>
  <c r="DC52" i="166" s="1"/>
  <c r="DL52" i="166" s="1"/>
  <c r="AJ52" i="166"/>
  <c r="AS52" i="166" s="1"/>
  <c r="AP52" i="166"/>
  <c r="AY52" i="166"/>
  <c r="BH52" i="166"/>
  <c r="BQ52" i="166"/>
  <c r="BZ52" i="166"/>
  <c r="CI52" i="166"/>
  <c r="CR52" i="166"/>
  <c r="DA52" i="166"/>
  <c r="DJ52" i="166"/>
  <c r="H54" i="166"/>
  <c r="BP54" i="166"/>
  <c r="DR54" i="166"/>
  <c r="DR21" i="160"/>
  <c r="AV66" i="161"/>
  <c r="J133" i="143"/>
  <c r="O55" i="143"/>
  <c r="M55" i="143"/>
  <c r="M56" i="143" s="1"/>
  <c r="J127" i="143"/>
  <c r="K127" i="143" s="1"/>
  <c r="J128" i="143"/>
  <c r="J129" i="143"/>
  <c r="J130" i="143"/>
  <c r="J131" i="143"/>
  <c r="J132" i="143"/>
  <c r="J134" i="143"/>
  <c r="J135" i="143"/>
  <c r="J136" i="143"/>
  <c r="AP66" i="161"/>
  <c r="AP26" i="161"/>
  <c r="AP51" i="161" s="1"/>
  <c r="AN7" i="161" s="1"/>
  <c r="E32" i="165"/>
  <c r="F32" i="165"/>
  <c r="G17" i="165"/>
  <c r="I19" i="165"/>
  <c r="I15" i="165"/>
  <c r="I13" i="165"/>
  <c r="I11" i="165"/>
  <c r="A3" i="165"/>
  <c r="C9" i="165"/>
  <c r="C32" i="165" s="1"/>
  <c r="I21" i="165"/>
  <c r="I23" i="165"/>
  <c r="I25" i="165"/>
  <c r="I27" i="165"/>
  <c r="I29" i="165"/>
  <c r="R20" i="160"/>
  <c r="AA20" i="160" s="1"/>
  <c r="AJ20" i="160" s="1"/>
  <c r="AS20" i="160" s="1"/>
  <c r="BB20" i="160" s="1"/>
  <c r="BK20" i="160" s="1"/>
  <c r="BT20" i="160" s="1"/>
  <c r="CC20" i="160" s="1"/>
  <c r="CL20" i="160" s="1"/>
  <c r="CU20" i="160" s="1"/>
  <c r="DD20" i="160" s="1"/>
  <c r="DM20" i="160" s="1"/>
  <c r="DQ20" i="160" s="1"/>
  <c r="R18" i="160"/>
  <c r="AA18" i="160" s="1"/>
  <c r="AJ63" i="161"/>
  <c r="AJ62" i="161"/>
  <c r="AJ26" i="161"/>
  <c r="AJ51" i="161" s="1"/>
  <c r="AH7" i="161" s="1"/>
  <c r="I2" i="161"/>
  <c r="O2" i="161" s="1"/>
  <c r="U2" i="161" s="1"/>
  <c r="AA2" i="161" s="1"/>
  <c r="AG2" i="161" s="1"/>
  <c r="AM2" i="161" s="1"/>
  <c r="AS2" i="161" s="1"/>
  <c r="AY2" i="161" s="1"/>
  <c r="BE2" i="161" s="1"/>
  <c r="BK2" i="161" s="1"/>
  <c r="BQ2" i="161" s="1"/>
  <c r="BW2" i="161" s="1"/>
  <c r="R17" i="160"/>
  <c r="AA17" i="160" s="1"/>
  <c r="AJ17" i="160" s="1"/>
  <c r="AS17" i="160" s="1"/>
  <c r="BB17" i="160" s="1"/>
  <c r="BK17" i="160" s="1"/>
  <c r="BT17" i="160" s="1"/>
  <c r="CC17" i="160" s="1"/>
  <c r="CL17" i="160" s="1"/>
  <c r="CU17" i="160" s="1"/>
  <c r="DD17" i="160" s="1"/>
  <c r="DM17" i="160" s="1"/>
  <c r="DQ17" i="160" s="1"/>
  <c r="R19" i="160"/>
  <c r="AA19" i="160" s="1"/>
  <c r="R14" i="160"/>
  <c r="AA14" i="160" s="1"/>
  <c r="AJ14" i="160" s="1"/>
  <c r="AS14" i="160" s="1"/>
  <c r="BB14" i="160" s="1"/>
  <c r="BK14" i="160" s="1"/>
  <c r="BT14" i="160" s="1"/>
  <c r="CC14" i="160" s="1"/>
  <c r="CL14" i="160" s="1"/>
  <c r="CU14" i="160" s="1"/>
  <c r="DD14" i="160" s="1"/>
  <c r="DM14" i="160" s="1"/>
  <c r="DQ14" i="160" s="1"/>
  <c r="R15" i="160"/>
  <c r="AA15" i="160" s="1"/>
  <c r="AJ15" i="160" s="1"/>
  <c r="AS15" i="160" s="1"/>
  <c r="BB15" i="160" s="1"/>
  <c r="BK15" i="160" s="1"/>
  <c r="BT15" i="160" s="1"/>
  <c r="CC15" i="160" s="1"/>
  <c r="CL15" i="160" s="1"/>
  <c r="CU15" i="160" s="1"/>
  <c r="DD15" i="160" s="1"/>
  <c r="DM15" i="160" s="1"/>
  <c r="DQ15" i="160" s="1"/>
  <c r="R16" i="160"/>
  <c r="AA16" i="160" s="1"/>
  <c r="AJ16" i="160" s="1"/>
  <c r="AS16" i="160" s="1"/>
  <c r="BB16" i="160" s="1"/>
  <c r="BK16" i="160" s="1"/>
  <c r="BT16" i="160" s="1"/>
  <c r="CC16" i="160" s="1"/>
  <c r="CL16" i="160" s="1"/>
  <c r="CU16" i="160" s="1"/>
  <c r="DD16" i="160" s="1"/>
  <c r="DM16" i="160" s="1"/>
  <c r="DQ16" i="160" s="1"/>
  <c r="R21" i="160"/>
  <c r="R22" i="160"/>
  <c r="AA22" i="160" s="1"/>
  <c r="AJ22" i="160" s="1"/>
  <c r="AS22" i="160" s="1"/>
  <c r="BB22" i="160" s="1"/>
  <c r="BK22" i="160" s="1"/>
  <c r="BT22" i="160" s="1"/>
  <c r="CC22" i="160" s="1"/>
  <c r="CL22" i="160" s="1"/>
  <c r="CU22" i="160" s="1"/>
  <c r="DD22" i="160" s="1"/>
  <c r="DM22" i="160" s="1"/>
  <c r="DQ22" i="160" s="1"/>
  <c r="R23" i="160"/>
  <c r="AA23" i="160" s="1"/>
  <c r="AJ23" i="160" s="1"/>
  <c r="AS23" i="160" s="1"/>
  <c r="BB23" i="160" s="1"/>
  <c r="R24" i="160"/>
  <c r="AA24" i="160" s="1"/>
  <c r="AJ24" i="160" s="1"/>
  <c r="AS24" i="160" s="1"/>
  <c r="BB24" i="160" s="1"/>
  <c r="BK24" i="160" s="1"/>
  <c r="BT24" i="160" s="1"/>
  <c r="CC24" i="160" s="1"/>
  <c r="CL24" i="160" s="1"/>
  <c r="CU24" i="160" s="1"/>
  <c r="DD24" i="160" s="1"/>
  <c r="DM24" i="160" s="1"/>
  <c r="DQ24" i="160" s="1"/>
  <c r="Q25" i="160"/>
  <c r="Z25" i="160" s="1"/>
  <c r="R25" i="160"/>
  <c r="AA25" i="160" s="1"/>
  <c r="AJ25" i="160" s="1"/>
  <c r="AS25" i="160" s="1"/>
  <c r="BB25" i="160" s="1"/>
  <c r="BK25" i="160" s="1"/>
  <c r="BT25" i="160" s="1"/>
  <c r="CC25" i="160" s="1"/>
  <c r="CL25" i="160" s="1"/>
  <c r="CU25" i="160" s="1"/>
  <c r="DD25" i="160" s="1"/>
  <c r="DM25" i="160" s="1"/>
  <c r="DQ25" i="160" s="1"/>
  <c r="R26" i="160"/>
  <c r="AA26" i="160"/>
  <c r="AJ26" i="160" s="1"/>
  <c r="AS26" i="160" s="1"/>
  <c r="BB26" i="160" s="1"/>
  <c r="BK26" i="160" s="1"/>
  <c r="BT26" i="160" s="1"/>
  <c r="CC26" i="160" s="1"/>
  <c r="R27" i="160"/>
  <c r="AA27" i="160" s="1"/>
  <c r="AJ27" i="160" s="1"/>
  <c r="AS27" i="160" s="1"/>
  <c r="BB27" i="160" s="1"/>
  <c r="BK27" i="160" s="1"/>
  <c r="BT27" i="160" s="1"/>
  <c r="CC27" i="160" s="1"/>
  <c r="CL27" i="160" s="1"/>
  <c r="CU27" i="160" s="1"/>
  <c r="DD27" i="160" s="1"/>
  <c r="DM27" i="160" s="1"/>
  <c r="DQ27" i="160" s="1"/>
  <c r="R28" i="160"/>
  <c r="AA28" i="160" s="1"/>
  <c r="AJ28" i="160" s="1"/>
  <c r="AS28" i="160" s="1"/>
  <c r="BB28" i="160" s="1"/>
  <c r="BK28" i="160" s="1"/>
  <c r="BT28" i="160" s="1"/>
  <c r="CC28" i="160" s="1"/>
  <c r="CL28" i="160" s="1"/>
  <c r="CU28" i="160" s="1"/>
  <c r="DD28" i="160" s="1"/>
  <c r="DM28" i="160" s="1"/>
  <c r="DQ28" i="160" s="1"/>
  <c r="R29" i="160"/>
  <c r="AA29" i="160" s="1"/>
  <c r="Q30" i="160"/>
  <c r="Z30" i="160" s="1"/>
  <c r="AI30" i="160" s="1"/>
  <c r="R30" i="160"/>
  <c r="AA30" i="160" s="1"/>
  <c r="AJ30" i="160" s="1"/>
  <c r="R31" i="160"/>
  <c r="AA31" i="160" s="1"/>
  <c r="AJ31" i="160" s="1"/>
  <c r="AS31" i="160" s="1"/>
  <c r="BB31" i="160" s="1"/>
  <c r="BK31" i="160" s="1"/>
  <c r="BT31" i="160" s="1"/>
  <c r="CC31" i="160" s="1"/>
  <c r="CL31" i="160" s="1"/>
  <c r="CU31" i="160" s="1"/>
  <c r="DD31" i="160" s="1"/>
  <c r="DM31" i="160" s="1"/>
  <c r="DQ31" i="160" s="1"/>
  <c r="R32" i="160"/>
  <c r="AA32" i="160" s="1"/>
  <c r="AJ32" i="160" s="1"/>
  <c r="AS32" i="160" s="1"/>
  <c r="BB32" i="160" s="1"/>
  <c r="BK32" i="160" s="1"/>
  <c r="R33" i="160"/>
  <c r="AA33" i="160" s="1"/>
  <c r="AJ33" i="160" s="1"/>
  <c r="AS33" i="160" s="1"/>
  <c r="BB33" i="160" s="1"/>
  <c r="BK33" i="160" s="1"/>
  <c r="BT33" i="160" s="1"/>
  <c r="CC33" i="160" s="1"/>
  <c r="CL33" i="160" s="1"/>
  <c r="CU33" i="160" s="1"/>
  <c r="DD33" i="160" s="1"/>
  <c r="DM33" i="160" s="1"/>
  <c r="DQ33" i="160" s="1"/>
  <c r="R34" i="160"/>
  <c r="AA34" i="160" s="1"/>
  <c r="AJ34" i="160" s="1"/>
  <c r="AS34" i="160" s="1"/>
  <c r="BB34" i="160" s="1"/>
  <c r="Q35" i="160"/>
  <c r="Z35" i="160" s="1"/>
  <c r="R35" i="160"/>
  <c r="AA35" i="160" s="1"/>
  <c r="AJ35" i="160" s="1"/>
  <c r="AS35" i="160" s="1"/>
  <c r="BB35" i="160" s="1"/>
  <c r="BK35" i="160" s="1"/>
  <c r="BT35" i="160" s="1"/>
  <c r="CC35" i="160" s="1"/>
  <c r="CL35" i="160" s="1"/>
  <c r="CU35" i="160" s="1"/>
  <c r="DD35" i="160" s="1"/>
  <c r="DM35" i="160" s="1"/>
  <c r="DQ35" i="160" s="1"/>
  <c r="R36" i="160"/>
  <c r="AA36" i="160" s="1"/>
  <c r="AJ36" i="160" s="1"/>
  <c r="AS36" i="160" s="1"/>
  <c r="BB36" i="160" s="1"/>
  <c r="BK36" i="160" s="1"/>
  <c r="BT36" i="160" s="1"/>
  <c r="CC36" i="160" s="1"/>
  <c r="CL36" i="160" s="1"/>
  <c r="CU36" i="160" s="1"/>
  <c r="DD36" i="160" s="1"/>
  <c r="DM36" i="160" s="1"/>
  <c r="DQ36" i="160" s="1"/>
  <c r="R37" i="160"/>
  <c r="AA37" i="160" s="1"/>
  <c r="AJ37" i="160" s="1"/>
  <c r="AS37" i="160" s="1"/>
  <c r="BB37" i="160" s="1"/>
  <c r="BK37" i="160" s="1"/>
  <c r="BT37" i="160" s="1"/>
  <c r="CC37" i="160" s="1"/>
  <c r="CL37" i="160" s="1"/>
  <c r="CU37" i="160" s="1"/>
  <c r="DD37" i="160" s="1"/>
  <c r="DM37" i="160" s="1"/>
  <c r="DQ37" i="160" s="1"/>
  <c r="R38" i="160"/>
  <c r="AA38" i="160" s="1"/>
  <c r="AJ38" i="160" s="1"/>
  <c r="AS38" i="160" s="1"/>
  <c r="BB38" i="160" s="1"/>
  <c r="BK38" i="160" s="1"/>
  <c r="BT38" i="160" s="1"/>
  <c r="CC38" i="160" s="1"/>
  <c r="CL38" i="160" s="1"/>
  <c r="CU38" i="160" s="1"/>
  <c r="DD38" i="160" s="1"/>
  <c r="DM38" i="160" s="1"/>
  <c r="DQ38" i="160" s="1"/>
  <c r="R39" i="160"/>
  <c r="AA39" i="160" s="1"/>
  <c r="AJ39" i="160" s="1"/>
  <c r="AS39" i="160" s="1"/>
  <c r="BB39" i="160" s="1"/>
  <c r="BK39" i="160" s="1"/>
  <c r="BT39" i="160" s="1"/>
  <c r="CC39" i="160" s="1"/>
  <c r="CL39" i="160" s="1"/>
  <c r="CU39" i="160" s="1"/>
  <c r="DD39" i="160" s="1"/>
  <c r="DM39" i="160" s="1"/>
  <c r="DQ39" i="160" s="1"/>
  <c r="R45" i="160"/>
  <c r="AA45" i="160" s="1"/>
  <c r="R46" i="160"/>
  <c r="AA46" i="160" s="1"/>
  <c r="AJ46" i="160" s="1"/>
  <c r="AS46" i="160" s="1"/>
  <c r="BB46" i="160" s="1"/>
  <c r="BK46" i="160" s="1"/>
  <c r="BT46" i="160" s="1"/>
  <c r="CC46" i="160" s="1"/>
  <c r="CL46" i="160" s="1"/>
  <c r="CU46" i="160" s="1"/>
  <c r="DD46" i="160" s="1"/>
  <c r="DM46" i="160" s="1"/>
  <c r="DQ46" i="160" s="1"/>
  <c r="R47" i="160"/>
  <c r="AA47" i="160" s="1"/>
  <c r="AJ47" i="160" s="1"/>
  <c r="AS47" i="160" s="1"/>
  <c r="BB47" i="160" s="1"/>
  <c r="BK47" i="160" s="1"/>
  <c r="BT47" i="160" s="1"/>
  <c r="CC47" i="160" s="1"/>
  <c r="CL47" i="160" s="1"/>
  <c r="CU47" i="160" s="1"/>
  <c r="DD47" i="160" s="1"/>
  <c r="DM47" i="160" s="1"/>
  <c r="DQ47" i="160" s="1"/>
  <c r="R48" i="160"/>
  <c r="AA48" i="160" s="1"/>
  <c r="Q49" i="160"/>
  <c r="Z49" i="160" s="1"/>
  <c r="R49" i="160"/>
  <c r="AA49" i="160" s="1"/>
  <c r="Q50" i="160"/>
  <c r="Z50" i="160" s="1"/>
  <c r="R50" i="160"/>
  <c r="AA50" i="160" s="1"/>
  <c r="Q51" i="160"/>
  <c r="Z51" i="160" s="1"/>
  <c r="R51" i="160"/>
  <c r="AA51" i="160" s="1"/>
  <c r="AJ51" i="160" s="1"/>
  <c r="AS51" i="160" s="1"/>
  <c r="BB51" i="160" s="1"/>
  <c r="BK51" i="160" s="1"/>
  <c r="BT51" i="160" s="1"/>
  <c r="CC51" i="160" s="1"/>
  <c r="CL51" i="160" s="1"/>
  <c r="CU51" i="160" s="1"/>
  <c r="DD51" i="160" s="1"/>
  <c r="DM51" i="160" s="1"/>
  <c r="DQ51" i="160" s="1"/>
  <c r="AB52" i="160"/>
  <c r="X30" i="160"/>
  <c r="X49" i="160"/>
  <c r="X50" i="160"/>
  <c r="X51" i="160"/>
  <c r="X52" i="160"/>
  <c r="F127" i="143"/>
  <c r="K10" i="143"/>
  <c r="K11" i="143" s="1"/>
  <c r="K12" i="143" s="1"/>
  <c r="B12" i="143"/>
  <c r="B10" i="143"/>
  <c r="T37" i="143"/>
  <c r="P37" i="143"/>
  <c r="G25" i="143"/>
  <c r="G26" i="143" s="1"/>
  <c r="H37" i="143"/>
  <c r="F37" i="143"/>
  <c r="E26" i="143"/>
  <c r="E27" i="143" s="1"/>
  <c r="E28" i="143" s="1"/>
  <c r="BP1" i="160"/>
  <c r="AO1" i="160"/>
  <c r="BA1" i="160"/>
  <c r="AX1" i="160"/>
  <c r="AY1" i="160"/>
  <c r="C2" i="160"/>
  <c r="AF42" i="160"/>
  <c r="N42" i="160"/>
  <c r="N56" i="160" s="1"/>
  <c r="N54" i="160"/>
  <c r="I25" i="160"/>
  <c r="I29" i="160"/>
  <c r="I31" i="160"/>
  <c r="I33" i="160"/>
  <c r="I37" i="160"/>
  <c r="I49" i="160"/>
  <c r="I50" i="160"/>
  <c r="I51" i="160"/>
  <c r="H42" i="160"/>
  <c r="H54" i="160"/>
  <c r="N1" i="160"/>
  <c r="O1" i="160"/>
  <c r="Q1" i="160"/>
  <c r="R1" i="160"/>
  <c r="W1" i="160"/>
  <c r="X1" i="160"/>
  <c r="Z1" i="160"/>
  <c r="AA1" i="160"/>
  <c r="AF1" i="160"/>
  <c r="AG1" i="160"/>
  <c r="AI1" i="160"/>
  <c r="AJ1" i="160"/>
  <c r="AP1" i="160"/>
  <c r="AR1" i="160"/>
  <c r="AS1" i="160"/>
  <c r="BB1" i="160"/>
  <c r="BG1" i="160"/>
  <c r="BH1" i="160"/>
  <c r="BJ1" i="160"/>
  <c r="BK1" i="160"/>
  <c r="BQ1" i="160"/>
  <c r="BS1" i="160"/>
  <c r="BT1" i="160"/>
  <c r="BY1" i="160"/>
  <c r="BZ1" i="160"/>
  <c r="CB1" i="160"/>
  <c r="CC1" i="160"/>
  <c r="CH1" i="160"/>
  <c r="CI1" i="160"/>
  <c r="CK1" i="160"/>
  <c r="CL1" i="160"/>
  <c r="CQ1" i="160"/>
  <c r="CT1" i="160" s="1"/>
  <c r="O4" i="160"/>
  <c r="X4" i="160"/>
  <c r="J18" i="161"/>
  <c r="P18" i="161" s="1"/>
  <c r="AG4" i="160"/>
  <c r="AP4" i="160"/>
  <c r="AX4" i="160"/>
  <c r="AY4" i="160"/>
  <c r="BH4" i="160"/>
  <c r="BQ4" i="160"/>
  <c r="BQ5" i="160" s="1"/>
  <c r="BZ4" i="160"/>
  <c r="CI4" i="160"/>
  <c r="CR4" i="160"/>
  <c r="CR5" i="160" s="1"/>
  <c r="CR6" i="160" s="1"/>
  <c r="CR7" i="160" s="1"/>
  <c r="DA4" i="160"/>
  <c r="DJ4" i="160"/>
  <c r="K18" i="161"/>
  <c r="Q18" i="161" s="1"/>
  <c r="W18" i="161" s="1"/>
  <c r="AC18" i="161" s="1"/>
  <c r="AI18" i="161" s="1"/>
  <c r="AO18" i="161" s="1"/>
  <c r="A17" i="160"/>
  <c r="DA24" i="160"/>
  <c r="O25" i="160"/>
  <c r="S25" i="160" s="1"/>
  <c r="AG25" i="160"/>
  <c r="BH25" i="160"/>
  <c r="DJ25" i="160"/>
  <c r="AP26" i="160"/>
  <c r="BH26" i="160"/>
  <c r="AP27" i="160"/>
  <c r="BH27" i="160"/>
  <c r="BZ27" i="160"/>
  <c r="CR27" i="160"/>
  <c r="BQ28" i="160"/>
  <c r="CI28" i="160"/>
  <c r="DA28" i="160"/>
  <c r="AG29" i="160"/>
  <c r="AP29" i="160"/>
  <c r="AP30" i="160"/>
  <c r="CR30" i="160"/>
  <c r="DA30" i="160"/>
  <c r="AP31" i="160"/>
  <c r="BH32" i="160"/>
  <c r="CR32" i="160"/>
  <c r="DA32" i="160"/>
  <c r="AG33" i="160"/>
  <c r="AG34" i="160"/>
  <c r="BQ34" i="160"/>
  <c r="BZ34" i="160"/>
  <c r="DA34" i="160"/>
  <c r="O35" i="160"/>
  <c r="S35" i="160" s="1"/>
  <c r="AP35" i="160"/>
  <c r="BH35" i="160"/>
  <c r="CI35" i="160"/>
  <c r="DJ35" i="160"/>
  <c r="AY36" i="160"/>
  <c r="O37" i="160"/>
  <c r="S37" i="160" s="1"/>
  <c r="BH37" i="160"/>
  <c r="CI37" i="160"/>
  <c r="CR37" i="160"/>
  <c r="AG38" i="160"/>
  <c r="BZ38" i="160"/>
  <c r="CR38" i="160"/>
  <c r="O39" i="160"/>
  <c r="S39" i="160" s="1"/>
  <c r="CR39" i="160"/>
  <c r="DJ39" i="160"/>
  <c r="W42" i="160"/>
  <c r="AO42" i="160"/>
  <c r="AX42" i="160"/>
  <c r="BG42" i="160"/>
  <c r="BP42" i="160"/>
  <c r="BY42" i="160"/>
  <c r="CH42" i="160"/>
  <c r="CQ42" i="160"/>
  <c r="CZ42" i="160"/>
  <c r="DI42" i="160"/>
  <c r="DI56" i="160" s="1"/>
  <c r="BZ47" i="160"/>
  <c r="O49" i="160"/>
  <c r="S49" i="160" s="1"/>
  <c r="AG49" i="160"/>
  <c r="AP49" i="160"/>
  <c r="AY49" i="160"/>
  <c r="BH49" i="160"/>
  <c r="BQ49" i="160"/>
  <c r="BZ49" i="160"/>
  <c r="CI49" i="160"/>
  <c r="CR49" i="160"/>
  <c r="DA49" i="160"/>
  <c r="DJ49" i="160"/>
  <c r="O50" i="160"/>
  <c r="S50" i="160" s="1"/>
  <c r="AG50" i="160"/>
  <c r="AP50" i="160"/>
  <c r="AY50" i="160"/>
  <c r="BH50" i="160"/>
  <c r="BQ50" i="160"/>
  <c r="BZ50" i="160"/>
  <c r="CI50" i="160"/>
  <c r="CR50" i="160"/>
  <c r="DA50" i="160"/>
  <c r="DJ50" i="160"/>
  <c r="O51" i="160"/>
  <c r="S51" i="160" s="1"/>
  <c r="AG51" i="160"/>
  <c r="AP51" i="160"/>
  <c r="AY51" i="160"/>
  <c r="BH51" i="160"/>
  <c r="BQ51" i="160"/>
  <c r="BZ51" i="160"/>
  <c r="CI51" i="160"/>
  <c r="CR51" i="160"/>
  <c r="DA51" i="160"/>
  <c r="DJ51" i="160"/>
  <c r="O52" i="160"/>
  <c r="S52" i="160" s="1"/>
  <c r="AG52" i="160"/>
  <c r="AI52" i="160"/>
  <c r="AR52" i="160" s="1"/>
  <c r="BA52" i="160" s="1"/>
  <c r="BJ52" i="160" s="1"/>
  <c r="BS52" i="160" s="1"/>
  <c r="CB52" i="160" s="1"/>
  <c r="AJ52" i="160"/>
  <c r="AK52" i="160" s="1"/>
  <c r="AP52" i="160"/>
  <c r="AY52" i="160"/>
  <c r="BH52" i="160"/>
  <c r="BQ52" i="160"/>
  <c r="BZ52" i="160"/>
  <c r="CI52" i="160"/>
  <c r="CR52" i="160"/>
  <c r="DA52" i="160"/>
  <c r="DJ52" i="160"/>
  <c r="W54" i="160"/>
  <c r="AF54" i="160"/>
  <c r="AO54" i="160"/>
  <c r="AX54" i="160"/>
  <c r="BG54" i="160"/>
  <c r="BP54" i="160"/>
  <c r="BY54" i="160"/>
  <c r="BY56" i="160" s="1"/>
  <c r="CH54" i="160"/>
  <c r="CQ54" i="160"/>
  <c r="CZ54" i="160"/>
  <c r="DI54" i="160"/>
  <c r="DR54" i="160"/>
  <c r="D14" i="161"/>
  <c r="J66" i="161"/>
  <c r="K66" i="161"/>
  <c r="L66" i="161"/>
  <c r="P66" i="161"/>
  <c r="Q66" i="161"/>
  <c r="R66" i="161"/>
  <c r="V66" i="161"/>
  <c r="W66" i="161"/>
  <c r="X66" i="161"/>
  <c r="AB66" i="161"/>
  <c r="AC66" i="161"/>
  <c r="AD66" i="161"/>
  <c r="AH66" i="161"/>
  <c r="AI66" i="161"/>
  <c r="AN66" i="161"/>
  <c r="AO66" i="161"/>
  <c r="AT66" i="161"/>
  <c r="AU66" i="161"/>
  <c r="AZ66" i="161"/>
  <c r="BA66" i="161"/>
  <c r="BB66" i="161"/>
  <c r="BF66" i="161"/>
  <c r="BG66" i="161"/>
  <c r="BH66" i="161"/>
  <c r="BL66" i="161"/>
  <c r="BM66" i="161"/>
  <c r="BR66" i="161"/>
  <c r="BS66" i="161"/>
  <c r="BT66" i="161"/>
  <c r="BX66" i="161"/>
  <c r="BY66" i="161"/>
  <c r="BZ66" i="161"/>
  <c r="D12" i="162"/>
  <c r="F12" i="162"/>
  <c r="K12" i="162"/>
  <c r="O12" i="162"/>
  <c r="Q12" i="162"/>
  <c r="V12" i="162"/>
  <c r="D14" i="162"/>
  <c r="F14" i="162"/>
  <c r="O14" i="162"/>
  <c r="Q14" i="162"/>
  <c r="D16" i="162"/>
  <c r="F16" i="162"/>
  <c r="O16" i="162"/>
  <c r="Q16" i="162"/>
  <c r="C8" i="163"/>
  <c r="D8" i="163" s="1"/>
  <c r="E8" i="163" s="1"/>
  <c r="F8" i="163" s="1"/>
  <c r="G8" i="163" s="1"/>
  <c r="H8" i="163" s="1"/>
  <c r="I8" i="163" s="1"/>
  <c r="J8" i="163" s="1"/>
  <c r="K8" i="163" s="1"/>
  <c r="L8" i="163" s="1"/>
  <c r="M8" i="163" s="1"/>
  <c r="N8" i="163" s="1"/>
  <c r="O8" i="163" s="1"/>
  <c r="P8" i="163" s="1"/>
  <c r="Q8" i="163" s="1"/>
  <c r="R8" i="163" s="1"/>
  <c r="S8" i="163" s="1"/>
  <c r="T8" i="163" s="1"/>
  <c r="U8" i="163" s="1"/>
  <c r="V8" i="163" s="1"/>
  <c r="W8" i="163" s="1"/>
  <c r="X8" i="163" s="1"/>
  <c r="Y8" i="163" s="1"/>
  <c r="Z8" i="163" s="1"/>
  <c r="AF15" i="150"/>
  <c r="BP15" i="150" s="1"/>
  <c r="AF14" i="150"/>
  <c r="AF13" i="150"/>
  <c r="E10" i="10"/>
  <c r="B85" i="143"/>
  <c r="O40" i="143"/>
  <c r="O41" i="143" s="1"/>
  <c r="O42" i="143" s="1"/>
  <c r="O43" i="143" s="1"/>
  <c r="Q43" i="143" s="1"/>
  <c r="U43" i="143" s="1"/>
  <c r="B70" i="143"/>
  <c r="O70" i="143" s="1"/>
  <c r="R96" i="143"/>
  <c r="R97" i="143" s="1"/>
  <c r="AE13" i="150"/>
  <c r="AE14" i="150"/>
  <c r="AD13" i="150"/>
  <c r="AD14" i="150"/>
  <c r="BO14" i="150" s="1"/>
  <c r="U142" i="150"/>
  <c r="V142" i="150"/>
  <c r="W142" i="150"/>
  <c r="X142" i="150"/>
  <c r="Y142" i="150"/>
  <c r="Z142" i="150"/>
  <c r="AA142" i="150"/>
  <c r="AB14" i="150"/>
  <c r="AC13" i="150"/>
  <c r="AC142" i="150" s="1"/>
  <c r="AC14" i="150"/>
  <c r="AC141" i="150"/>
  <c r="AC333" i="150"/>
  <c r="I142" i="150"/>
  <c r="J142" i="150"/>
  <c r="K142" i="150"/>
  <c r="L142" i="150"/>
  <c r="L337" i="150" s="1"/>
  <c r="M142" i="150"/>
  <c r="N142" i="150"/>
  <c r="N337" i="150" s="1"/>
  <c r="O142" i="150"/>
  <c r="P142" i="150"/>
  <c r="Q142" i="150"/>
  <c r="Q337" i="150" s="1"/>
  <c r="R142" i="150"/>
  <c r="J7" i="151"/>
  <c r="CA13" i="150"/>
  <c r="CA14" i="150"/>
  <c r="S142" i="150"/>
  <c r="S337" i="150" s="1"/>
  <c r="T142" i="150"/>
  <c r="T337" i="150" s="1"/>
  <c r="A11" i="150"/>
  <c r="C12" i="151" s="1"/>
  <c r="E86" i="143"/>
  <c r="E87" i="143" s="1"/>
  <c r="E88" i="143" s="1"/>
  <c r="E89" i="143" s="1"/>
  <c r="E90" i="143" s="1"/>
  <c r="E91" i="143" s="1"/>
  <c r="E92" i="143" s="1"/>
  <c r="E93" i="143" s="1"/>
  <c r="E94" i="143" s="1"/>
  <c r="E95" i="143" s="1"/>
  <c r="E96" i="143" s="1"/>
  <c r="G10" i="143"/>
  <c r="G11" i="143" s="1"/>
  <c r="M40" i="143"/>
  <c r="M41" i="143" s="1"/>
  <c r="M42" i="143" s="1"/>
  <c r="M43" i="143" s="1"/>
  <c r="M44" i="143" s="1"/>
  <c r="T20" i="151"/>
  <c r="M329" i="150"/>
  <c r="N329" i="150"/>
  <c r="O329" i="150"/>
  <c r="P329" i="150"/>
  <c r="P331" i="150" s="1"/>
  <c r="P338" i="150" s="1"/>
  <c r="Q329" i="150"/>
  <c r="R329" i="150"/>
  <c r="S329" i="150"/>
  <c r="T329" i="150"/>
  <c r="I329" i="150"/>
  <c r="J329" i="150"/>
  <c r="K329" i="150"/>
  <c r="L329" i="150"/>
  <c r="A4" i="152"/>
  <c r="CA146" i="150"/>
  <c r="CA147" i="150"/>
  <c r="CA148" i="150"/>
  <c r="CA145" i="150"/>
  <c r="V329" i="150"/>
  <c r="E41" i="143"/>
  <c r="E42" i="143" s="1"/>
  <c r="E43" i="143" s="1"/>
  <c r="E44" i="143" s="1"/>
  <c r="E45" i="143" s="1"/>
  <c r="E46" i="143" s="1"/>
  <c r="E47" i="143" s="1"/>
  <c r="E48" i="143" s="1"/>
  <c r="E49" i="143" s="1"/>
  <c r="E50" i="143" s="1"/>
  <c r="E51" i="143" s="1"/>
  <c r="E127" i="143"/>
  <c r="E11" i="143"/>
  <c r="E12" i="143" s="1"/>
  <c r="E13" i="143" s="1"/>
  <c r="E14" i="143" s="1"/>
  <c r="E15" i="143" s="1"/>
  <c r="E16" i="143" s="1"/>
  <c r="E17" i="143" s="1"/>
  <c r="E18" i="143" s="1"/>
  <c r="E19" i="143" s="1"/>
  <c r="E20" i="143" s="1"/>
  <c r="E21" i="143" s="1"/>
  <c r="CB145" i="150"/>
  <c r="CB146" i="150"/>
  <c r="CB147" i="150"/>
  <c r="CB148" i="150"/>
  <c r="CB328" i="150"/>
  <c r="S329" i="151" s="1"/>
  <c r="G11" i="151"/>
  <c r="CB10" i="150"/>
  <c r="O11" i="151" s="1"/>
  <c r="CB11" i="150"/>
  <c r="CB12" i="150"/>
  <c r="CB13" i="150"/>
  <c r="CB14" i="150"/>
  <c r="CB15" i="150"/>
  <c r="CB16" i="150"/>
  <c r="CB17" i="150"/>
  <c r="CB18" i="150"/>
  <c r="CB19" i="150"/>
  <c r="H11" i="150"/>
  <c r="H12" i="150" s="1"/>
  <c r="H13" i="150" s="1"/>
  <c r="H14" i="150" s="1"/>
  <c r="H15" i="150" s="1"/>
  <c r="H16" i="150" s="1"/>
  <c r="H17" i="150" s="1"/>
  <c r="H18" i="150" s="1"/>
  <c r="H19" i="150" s="1"/>
  <c r="H20" i="150" s="1"/>
  <c r="H21" i="150" s="1"/>
  <c r="H22" i="150" s="1"/>
  <c r="H23" i="150" s="1"/>
  <c r="H24" i="150" s="1"/>
  <c r="H25" i="150" s="1"/>
  <c r="H26" i="150" s="1"/>
  <c r="H27" i="150" s="1"/>
  <c r="H28" i="150" s="1"/>
  <c r="H29" i="150" s="1"/>
  <c r="H30" i="150" s="1"/>
  <c r="H31" i="150" s="1"/>
  <c r="H32" i="150" s="1"/>
  <c r="H33" i="150" s="1"/>
  <c r="H34" i="150" s="1"/>
  <c r="H35" i="150" s="1"/>
  <c r="H36" i="150" s="1"/>
  <c r="H37" i="150" s="1"/>
  <c r="H38" i="150" s="1"/>
  <c r="H39" i="150" s="1"/>
  <c r="H40" i="150" s="1"/>
  <c r="H41" i="150" s="1"/>
  <c r="H42" i="150" s="1"/>
  <c r="H43" i="150" s="1"/>
  <c r="H44" i="150" s="1"/>
  <c r="H45" i="150" s="1"/>
  <c r="H46" i="150" s="1"/>
  <c r="H47" i="150" s="1"/>
  <c r="H48" i="150" s="1"/>
  <c r="H49" i="150" s="1"/>
  <c r="H50" i="150" s="1"/>
  <c r="H51" i="150" s="1"/>
  <c r="H52" i="150" s="1"/>
  <c r="H53" i="150" s="1"/>
  <c r="H54" i="150" s="1"/>
  <c r="H55" i="150" s="1"/>
  <c r="H56" i="150" s="1"/>
  <c r="H57" i="150" s="1"/>
  <c r="H58" i="150" s="1"/>
  <c r="H59" i="150" s="1"/>
  <c r="H60" i="150" s="1"/>
  <c r="H61" i="150" s="1"/>
  <c r="H62" i="150" s="1"/>
  <c r="H63" i="150" s="1"/>
  <c r="H64" i="150" s="1"/>
  <c r="H65" i="150" s="1"/>
  <c r="H66" i="150" s="1"/>
  <c r="H67" i="150" s="1"/>
  <c r="H68" i="150" s="1"/>
  <c r="H69" i="150" s="1"/>
  <c r="H70" i="150" s="1"/>
  <c r="H71" i="150" s="1"/>
  <c r="H72" i="150" s="1"/>
  <c r="H73" i="150" s="1"/>
  <c r="H74" i="150" s="1"/>
  <c r="H75" i="150" s="1"/>
  <c r="H76" i="150" s="1"/>
  <c r="H77" i="150" s="1"/>
  <c r="H78" i="150" s="1"/>
  <c r="H79" i="150" s="1"/>
  <c r="H80" i="150" s="1"/>
  <c r="H81" i="150" s="1"/>
  <c r="H82" i="150" s="1"/>
  <c r="H83" i="150" s="1"/>
  <c r="H84" i="150" s="1"/>
  <c r="H85" i="150" s="1"/>
  <c r="H86" i="150" s="1"/>
  <c r="H87" i="150" s="1"/>
  <c r="H88" i="150" s="1"/>
  <c r="H89" i="150" s="1"/>
  <c r="H90" i="150" s="1"/>
  <c r="H91" i="150" s="1"/>
  <c r="H92" i="150" s="1"/>
  <c r="H93" i="150" s="1"/>
  <c r="H94" i="150" s="1"/>
  <c r="H95" i="150" s="1"/>
  <c r="H96" i="150" s="1"/>
  <c r="H97" i="150" s="1"/>
  <c r="H98" i="150" s="1"/>
  <c r="H99" i="150" s="1"/>
  <c r="H100" i="150" s="1"/>
  <c r="H101" i="150" s="1"/>
  <c r="H102" i="150" s="1"/>
  <c r="H103" i="150" s="1"/>
  <c r="H104" i="150" s="1"/>
  <c r="H105" i="150" s="1"/>
  <c r="H106" i="150" s="1"/>
  <c r="H107" i="150" s="1"/>
  <c r="H108" i="150" s="1"/>
  <c r="H109" i="150" s="1"/>
  <c r="H110" i="150" s="1"/>
  <c r="H111" i="150" s="1"/>
  <c r="H112" i="150" s="1"/>
  <c r="H113" i="150" s="1"/>
  <c r="H114" i="150" s="1"/>
  <c r="H115" i="150" s="1"/>
  <c r="H116" i="150" s="1"/>
  <c r="H117" i="150" s="1"/>
  <c r="H118" i="150" s="1"/>
  <c r="H119" i="150" s="1"/>
  <c r="H120" i="150" s="1"/>
  <c r="H121" i="150" s="1"/>
  <c r="H122" i="150" s="1"/>
  <c r="H123" i="150" s="1"/>
  <c r="H124" i="150" s="1"/>
  <c r="H125" i="150" s="1"/>
  <c r="H126" i="150" s="1"/>
  <c r="H127" i="150" s="1"/>
  <c r="H128" i="150" s="1"/>
  <c r="H129" i="150" s="1"/>
  <c r="H130" i="150" s="1"/>
  <c r="H131" i="150" s="1"/>
  <c r="H132" i="150" s="1"/>
  <c r="H133" i="150" s="1"/>
  <c r="H134" i="150" s="1"/>
  <c r="H135" i="150" s="1"/>
  <c r="H136" i="150" s="1"/>
  <c r="H137" i="150" s="1"/>
  <c r="H138" i="150" s="1"/>
  <c r="H139" i="150" s="1"/>
  <c r="H140" i="150" s="1"/>
  <c r="H141" i="150" s="1"/>
  <c r="H142" i="150" s="1"/>
  <c r="AS142" i="150"/>
  <c r="AT142" i="150"/>
  <c r="AU142" i="150"/>
  <c r="AV142" i="150"/>
  <c r="AW142" i="150"/>
  <c r="AX142" i="150"/>
  <c r="AY142" i="150"/>
  <c r="AZ142" i="150"/>
  <c r="BA142" i="150"/>
  <c r="BB142" i="150"/>
  <c r="BC142" i="150"/>
  <c r="BD142" i="150"/>
  <c r="AG142" i="150"/>
  <c r="AG337" i="150" s="1"/>
  <c r="AH142" i="150"/>
  <c r="AI142" i="150"/>
  <c r="AJ142" i="150"/>
  <c r="AK142" i="150"/>
  <c r="AL142" i="150"/>
  <c r="AM142" i="150"/>
  <c r="AM337" i="150" s="1"/>
  <c r="AN142" i="150"/>
  <c r="AZ337" i="150" s="1"/>
  <c r="AO142" i="150"/>
  <c r="AP142" i="150"/>
  <c r="AQ142" i="150"/>
  <c r="AR142" i="150"/>
  <c r="AG329" i="150"/>
  <c r="AH329" i="150"/>
  <c r="AI329" i="150"/>
  <c r="AJ329" i="150"/>
  <c r="AK329" i="150"/>
  <c r="AL329" i="150"/>
  <c r="AM329" i="150"/>
  <c r="AN329" i="150"/>
  <c r="AO329" i="150"/>
  <c r="AP329" i="150"/>
  <c r="AQ329" i="150"/>
  <c r="AR329" i="150"/>
  <c r="BE10" i="150"/>
  <c r="BF10" i="150"/>
  <c r="BG10" i="150"/>
  <c r="BH10" i="150"/>
  <c r="BI10" i="150"/>
  <c r="BJ10" i="150"/>
  <c r="BK10" i="150"/>
  <c r="BL10" i="150"/>
  <c r="BM10" i="150"/>
  <c r="BN10" i="150"/>
  <c r="BO10" i="150"/>
  <c r="BP10" i="150"/>
  <c r="BQ10" i="150"/>
  <c r="BR10" i="150"/>
  <c r="BS10" i="150"/>
  <c r="BT10" i="150"/>
  <c r="BU10" i="150"/>
  <c r="BV10" i="150"/>
  <c r="BW10" i="150"/>
  <c r="BX10" i="150"/>
  <c r="BY10" i="150"/>
  <c r="BZ10" i="150"/>
  <c r="CA10" i="150"/>
  <c r="BE11" i="150"/>
  <c r="BF11" i="150"/>
  <c r="BG11" i="150"/>
  <c r="BH11" i="150"/>
  <c r="BI11" i="150"/>
  <c r="BJ11" i="150"/>
  <c r="BK11" i="150"/>
  <c r="BL11" i="150"/>
  <c r="BM11" i="150"/>
  <c r="BN11" i="150"/>
  <c r="BO11" i="150"/>
  <c r="BP11" i="150"/>
  <c r="BQ11" i="150"/>
  <c r="BR11" i="150"/>
  <c r="BS11" i="150"/>
  <c r="BT11" i="150"/>
  <c r="BU11" i="150"/>
  <c r="BV11" i="150"/>
  <c r="BW11" i="150"/>
  <c r="BX11" i="150"/>
  <c r="BY11" i="150"/>
  <c r="BZ11" i="150"/>
  <c r="CA11" i="150"/>
  <c r="BE12" i="150"/>
  <c r="BF12" i="150"/>
  <c r="BG12" i="150"/>
  <c r="BH12" i="150"/>
  <c r="BI12" i="150"/>
  <c r="BJ12" i="150"/>
  <c r="BK12" i="150"/>
  <c r="BL12" i="150"/>
  <c r="BM12" i="150"/>
  <c r="BN12" i="150"/>
  <c r="BO12" i="150"/>
  <c r="BP12" i="150"/>
  <c r="BQ12" i="150"/>
  <c r="BR12" i="150"/>
  <c r="BS12" i="150"/>
  <c r="BT12" i="150"/>
  <c r="BU12" i="150"/>
  <c r="BV12" i="150"/>
  <c r="BW12" i="150"/>
  <c r="BX12" i="150"/>
  <c r="BY12" i="150"/>
  <c r="BZ12" i="150"/>
  <c r="CA12" i="150"/>
  <c r="BE13" i="150"/>
  <c r="BF13" i="150"/>
  <c r="BG13" i="150"/>
  <c r="BH13" i="150"/>
  <c r="BI13" i="150"/>
  <c r="BJ13" i="150"/>
  <c r="BK13" i="150"/>
  <c r="BL13" i="150"/>
  <c r="BQ13" i="150"/>
  <c r="BR13" i="150"/>
  <c r="BS13" i="150"/>
  <c r="BT13" i="150"/>
  <c r="BU13" i="150"/>
  <c r="BV13" i="150"/>
  <c r="BW13" i="150"/>
  <c r="BX13" i="150"/>
  <c r="BY13" i="150"/>
  <c r="BZ13" i="150"/>
  <c r="BE14" i="150"/>
  <c r="BF14" i="150"/>
  <c r="BG14" i="150"/>
  <c r="BH14" i="150"/>
  <c r="BI14" i="150"/>
  <c r="BJ14" i="150"/>
  <c r="BK14" i="150"/>
  <c r="BQ14" i="150"/>
  <c r="BR14" i="150"/>
  <c r="BS14" i="150"/>
  <c r="BT14" i="150"/>
  <c r="BU14" i="150"/>
  <c r="BV14" i="150"/>
  <c r="BW14" i="150"/>
  <c r="BX14" i="150"/>
  <c r="BY14" i="150"/>
  <c r="BZ14" i="150"/>
  <c r="BE15" i="150"/>
  <c r="BF15" i="150"/>
  <c r="BG15" i="150"/>
  <c r="BH15" i="150"/>
  <c r="BI15" i="150"/>
  <c r="BJ15" i="150"/>
  <c r="BK15" i="150"/>
  <c r="BL15" i="150"/>
  <c r="BM15" i="150"/>
  <c r="BN15" i="150"/>
  <c r="BO15" i="150"/>
  <c r="BQ15" i="150"/>
  <c r="BR15" i="150"/>
  <c r="BS15" i="150"/>
  <c r="BT15" i="150"/>
  <c r="BU15" i="150"/>
  <c r="BV15" i="150"/>
  <c r="BW15" i="150"/>
  <c r="BX15" i="150"/>
  <c r="BY15" i="150"/>
  <c r="BZ15" i="150"/>
  <c r="CA15" i="150"/>
  <c r="BE16" i="150"/>
  <c r="BF16" i="150"/>
  <c r="BG16" i="150"/>
  <c r="BH16" i="150"/>
  <c r="BI16" i="150"/>
  <c r="BJ16" i="150"/>
  <c r="BK16" i="150"/>
  <c r="BL16" i="150"/>
  <c r="BM16" i="150"/>
  <c r="BN16" i="150"/>
  <c r="BO16" i="150"/>
  <c r="BP16" i="150"/>
  <c r="BQ16" i="150"/>
  <c r="BR16" i="150"/>
  <c r="BS16" i="150"/>
  <c r="BT16" i="150"/>
  <c r="BU16" i="150"/>
  <c r="BV16" i="150"/>
  <c r="BW16" i="150"/>
  <c r="BX16" i="150"/>
  <c r="BY16" i="150"/>
  <c r="BZ16" i="150"/>
  <c r="CA16" i="150"/>
  <c r="BE17" i="150"/>
  <c r="BF17" i="150"/>
  <c r="BG17" i="150"/>
  <c r="BH17" i="150"/>
  <c r="BI17" i="150"/>
  <c r="BJ17" i="150"/>
  <c r="BK17" i="150"/>
  <c r="BL17" i="150"/>
  <c r="BM17" i="150"/>
  <c r="BN17" i="150"/>
  <c r="BO17" i="150"/>
  <c r="BP17" i="150"/>
  <c r="BQ17" i="150"/>
  <c r="BR17" i="150"/>
  <c r="BS17" i="150"/>
  <c r="BT17" i="150"/>
  <c r="BU17" i="150"/>
  <c r="BV17" i="150"/>
  <c r="BW17" i="150"/>
  <c r="BX17" i="150"/>
  <c r="BY17" i="150"/>
  <c r="BZ17" i="150"/>
  <c r="CA17" i="150"/>
  <c r="BE18" i="150"/>
  <c r="BF18" i="150"/>
  <c r="BG18" i="150"/>
  <c r="BH18" i="150"/>
  <c r="BI18" i="150"/>
  <c r="BJ18" i="150"/>
  <c r="BK18" i="150"/>
  <c r="BL18" i="150"/>
  <c r="BM18" i="150"/>
  <c r="BN18" i="150"/>
  <c r="BO18" i="150"/>
  <c r="BP18" i="150"/>
  <c r="BQ18" i="150"/>
  <c r="BR18" i="150"/>
  <c r="BS18" i="150"/>
  <c r="BT18" i="150"/>
  <c r="BU18" i="150"/>
  <c r="BV18" i="150"/>
  <c r="BW18" i="150"/>
  <c r="BX18" i="150"/>
  <c r="BY18" i="150"/>
  <c r="BZ18" i="150"/>
  <c r="CA18" i="150"/>
  <c r="BE19" i="150"/>
  <c r="BF19" i="150"/>
  <c r="BG19" i="150"/>
  <c r="BH19" i="150"/>
  <c r="BI19" i="150"/>
  <c r="BJ19" i="150"/>
  <c r="BK19" i="150"/>
  <c r="BL19" i="150"/>
  <c r="BM19" i="150"/>
  <c r="BN19" i="150"/>
  <c r="BO19" i="150"/>
  <c r="BP19" i="150"/>
  <c r="BQ19" i="150"/>
  <c r="BR19" i="150"/>
  <c r="BS19" i="150"/>
  <c r="BT19" i="150"/>
  <c r="BU19" i="150"/>
  <c r="BV19" i="150"/>
  <c r="BW19" i="150"/>
  <c r="BX19" i="150"/>
  <c r="BY19" i="150"/>
  <c r="BZ19" i="150"/>
  <c r="CA19" i="150"/>
  <c r="BE20" i="150"/>
  <c r="BF20" i="150"/>
  <c r="BG20" i="150"/>
  <c r="BH20" i="150"/>
  <c r="BI20" i="150"/>
  <c r="BJ20" i="150"/>
  <c r="BK20" i="150"/>
  <c r="BL20" i="150"/>
  <c r="BM20" i="150"/>
  <c r="BN20" i="150"/>
  <c r="BO20" i="150"/>
  <c r="BP20" i="150"/>
  <c r="BQ20" i="150"/>
  <c r="BR20" i="150"/>
  <c r="BS20" i="150"/>
  <c r="BT20" i="150"/>
  <c r="BU20" i="150"/>
  <c r="BV20" i="150"/>
  <c r="BW20" i="150"/>
  <c r="BX20" i="150"/>
  <c r="BY20" i="150"/>
  <c r="BZ20" i="150"/>
  <c r="CA20" i="150"/>
  <c r="CB20" i="150"/>
  <c r="BE21" i="150"/>
  <c r="BF21" i="150"/>
  <c r="BG21" i="150"/>
  <c r="BH21" i="150"/>
  <c r="BI21" i="150"/>
  <c r="BJ21" i="150"/>
  <c r="BK21" i="150"/>
  <c r="BL21" i="150"/>
  <c r="BM21" i="150"/>
  <c r="BN21" i="150"/>
  <c r="BO21" i="150"/>
  <c r="BP21" i="150"/>
  <c r="BQ21" i="150"/>
  <c r="BR21" i="150"/>
  <c r="BS21" i="150"/>
  <c r="BT21" i="150"/>
  <c r="BU21" i="150"/>
  <c r="BV21" i="150"/>
  <c r="BW21" i="150"/>
  <c r="BX21" i="150"/>
  <c r="BY21" i="150"/>
  <c r="BZ21" i="150"/>
  <c r="CA21" i="150"/>
  <c r="CB21" i="150"/>
  <c r="BE22" i="150"/>
  <c r="BF22" i="150"/>
  <c r="BG22" i="150"/>
  <c r="BH22" i="150"/>
  <c r="BI22" i="150"/>
  <c r="BJ22" i="150"/>
  <c r="BK22" i="150"/>
  <c r="BL22" i="150"/>
  <c r="BM22" i="150"/>
  <c r="BN22" i="150"/>
  <c r="BO22" i="150"/>
  <c r="BP22" i="150"/>
  <c r="BQ22" i="150"/>
  <c r="BR22" i="150"/>
  <c r="BS22" i="150"/>
  <c r="BT22" i="150"/>
  <c r="BU22" i="150"/>
  <c r="BV22" i="150"/>
  <c r="BW22" i="150"/>
  <c r="BX22" i="150"/>
  <c r="BY22" i="150"/>
  <c r="BZ22" i="150"/>
  <c r="CA22" i="150"/>
  <c r="CB22" i="150"/>
  <c r="BE23" i="150"/>
  <c r="BF23" i="150"/>
  <c r="BG23" i="150"/>
  <c r="BH23" i="150"/>
  <c r="BI23" i="150"/>
  <c r="BJ23" i="150"/>
  <c r="BK23" i="150"/>
  <c r="BL23" i="150"/>
  <c r="BM23" i="150"/>
  <c r="BN23" i="150"/>
  <c r="BO23" i="150"/>
  <c r="BP23" i="150"/>
  <c r="BQ23" i="150"/>
  <c r="BR23" i="150"/>
  <c r="BS23" i="150"/>
  <c r="BT23" i="150"/>
  <c r="BU23" i="150"/>
  <c r="BV23" i="150"/>
  <c r="BW23" i="150"/>
  <c r="BX23" i="150"/>
  <c r="BY23" i="150"/>
  <c r="BZ23" i="150"/>
  <c r="CA23" i="150"/>
  <c r="CB23" i="150"/>
  <c r="BE24" i="150"/>
  <c r="BF24" i="150"/>
  <c r="BG24" i="150"/>
  <c r="BH24" i="150"/>
  <c r="BI24" i="150"/>
  <c r="BJ24" i="150"/>
  <c r="BK24" i="150"/>
  <c r="BL24" i="150"/>
  <c r="BM24" i="150"/>
  <c r="BN24" i="150"/>
  <c r="BO24" i="150"/>
  <c r="BP24" i="150"/>
  <c r="BQ24" i="150"/>
  <c r="BR24" i="150"/>
  <c r="BS24" i="150"/>
  <c r="BT24" i="150"/>
  <c r="BU24" i="150"/>
  <c r="BV24" i="150"/>
  <c r="BW24" i="150"/>
  <c r="BX24" i="150"/>
  <c r="BY24" i="150"/>
  <c r="BZ24" i="150"/>
  <c r="CA24" i="150"/>
  <c r="CB24" i="150"/>
  <c r="BE25" i="150"/>
  <c r="BF25" i="150"/>
  <c r="BG25" i="150"/>
  <c r="BH25" i="150"/>
  <c r="BI25" i="150"/>
  <c r="BJ25" i="150"/>
  <c r="BK25" i="150"/>
  <c r="BL25" i="150"/>
  <c r="BM25" i="150"/>
  <c r="BN25" i="150"/>
  <c r="BO25" i="150"/>
  <c r="BP25" i="150"/>
  <c r="BQ25" i="150"/>
  <c r="BR25" i="150"/>
  <c r="BS25" i="150"/>
  <c r="BT25" i="150"/>
  <c r="BU25" i="150"/>
  <c r="BV25" i="150"/>
  <c r="BW25" i="150"/>
  <c r="BX25" i="150"/>
  <c r="BY25" i="150"/>
  <c r="BZ25" i="150"/>
  <c r="CA25" i="150"/>
  <c r="CB25" i="150"/>
  <c r="BE26" i="150"/>
  <c r="BF26" i="150"/>
  <c r="BG26" i="150"/>
  <c r="BH26" i="150"/>
  <c r="BI26" i="150"/>
  <c r="BJ26" i="150"/>
  <c r="BK26" i="150"/>
  <c r="BL26" i="150"/>
  <c r="BM26" i="150"/>
  <c r="BN26" i="150"/>
  <c r="BO26" i="150"/>
  <c r="BP26" i="150"/>
  <c r="BQ26" i="150"/>
  <c r="BR26" i="150"/>
  <c r="BS26" i="150"/>
  <c r="BT26" i="150"/>
  <c r="BU26" i="150"/>
  <c r="BV26" i="150"/>
  <c r="BW26" i="150"/>
  <c r="BX26" i="150"/>
  <c r="BY26" i="150"/>
  <c r="BZ26" i="150"/>
  <c r="CA26" i="150"/>
  <c r="CB26" i="150"/>
  <c r="BE27" i="150"/>
  <c r="BF27" i="150"/>
  <c r="BG27" i="150"/>
  <c r="BH27" i="150"/>
  <c r="BI27" i="150"/>
  <c r="BJ27" i="150"/>
  <c r="BK27" i="150"/>
  <c r="BL27" i="150"/>
  <c r="BM27" i="150"/>
  <c r="BN27" i="150"/>
  <c r="BO27" i="150"/>
  <c r="BP27" i="150"/>
  <c r="BQ27" i="150"/>
  <c r="BR27" i="150"/>
  <c r="BS27" i="150"/>
  <c r="BT27" i="150"/>
  <c r="BU27" i="150"/>
  <c r="BV27" i="150"/>
  <c r="BW27" i="150"/>
  <c r="BX27" i="150"/>
  <c r="BY27" i="150"/>
  <c r="BZ27" i="150"/>
  <c r="CA27" i="150"/>
  <c r="CB27" i="150"/>
  <c r="BE28" i="150"/>
  <c r="BF28" i="150"/>
  <c r="BG28" i="150"/>
  <c r="BH28" i="150"/>
  <c r="BI28" i="150"/>
  <c r="BJ28" i="150"/>
  <c r="BK28" i="150"/>
  <c r="BL28" i="150"/>
  <c r="BM28" i="150"/>
  <c r="BN28" i="150"/>
  <c r="BO28" i="150"/>
  <c r="BP28" i="150"/>
  <c r="BQ28" i="150"/>
  <c r="BR28" i="150"/>
  <c r="BS28" i="150"/>
  <c r="BT28" i="150"/>
  <c r="BU28" i="150"/>
  <c r="BV28" i="150"/>
  <c r="BW28" i="150"/>
  <c r="BX28" i="150"/>
  <c r="BY28" i="150"/>
  <c r="BZ28" i="150"/>
  <c r="CA28" i="150"/>
  <c r="CB28" i="150"/>
  <c r="BE29" i="150"/>
  <c r="BF29" i="150"/>
  <c r="BG29" i="150"/>
  <c r="BH29" i="150"/>
  <c r="BI29" i="150"/>
  <c r="BJ29" i="150"/>
  <c r="BK29" i="150"/>
  <c r="BL29" i="150"/>
  <c r="BM29" i="150"/>
  <c r="BN29" i="150"/>
  <c r="BO29" i="150"/>
  <c r="BP29" i="150"/>
  <c r="BQ29" i="150"/>
  <c r="BR29" i="150"/>
  <c r="BS29" i="150"/>
  <c r="BT29" i="150"/>
  <c r="BU29" i="150"/>
  <c r="BV29" i="150"/>
  <c r="BW29" i="150"/>
  <c r="BX29" i="150"/>
  <c r="BY29" i="150"/>
  <c r="BZ29" i="150"/>
  <c r="CA29" i="150"/>
  <c r="CB29" i="150"/>
  <c r="BE30" i="150"/>
  <c r="BF30" i="150"/>
  <c r="BG30" i="150"/>
  <c r="BH30" i="150"/>
  <c r="BI30" i="150"/>
  <c r="BJ30" i="150"/>
  <c r="BK30" i="150"/>
  <c r="BL30" i="150"/>
  <c r="BM30" i="150"/>
  <c r="BN30" i="150"/>
  <c r="BO30" i="150"/>
  <c r="BP30" i="150"/>
  <c r="BQ30" i="150"/>
  <c r="BR30" i="150"/>
  <c r="BS30" i="150"/>
  <c r="BT30" i="150"/>
  <c r="BU30" i="150"/>
  <c r="BV30" i="150"/>
  <c r="BW30" i="150"/>
  <c r="BX30" i="150"/>
  <c r="BY30" i="150"/>
  <c r="BZ30" i="150"/>
  <c r="CA30" i="150"/>
  <c r="CB30" i="150"/>
  <c r="BE31" i="150"/>
  <c r="BF31" i="150"/>
  <c r="BG31" i="150"/>
  <c r="BH31" i="150"/>
  <c r="BI31" i="150"/>
  <c r="BJ31" i="150"/>
  <c r="BK31" i="150"/>
  <c r="BL31" i="150"/>
  <c r="BM31" i="150"/>
  <c r="BN31" i="150"/>
  <c r="BO31" i="150"/>
  <c r="BP31" i="150"/>
  <c r="BQ31" i="150"/>
  <c r="BR31" i="150"/>
  <c r="BS31" i="150"/>
  <c r="BT31" i="150"/>
  <c r="BU31" i="150"/>
  <c r="BV31" i="150"/>
  <c r="BW31" i="150"/>
  <c r="BX31" i="150"/>
  <c r="BY31" i="150"/>
  <c r="BZ31" i="150"/>
  <c r="CA31" i="150"/>
  <c r="CB31" i="150"/>
  <c r="BE32" i="150"/>
  <c r="BF32" i="150"/>
  <c r="BG32" i="150"/>
  <c r="BH32" i="150"/>
  <c r="BI32" i="150"/>
  <c r="BJ32" i="150"/>
  <c r="BK32" i="150"/>
  <c r="BL32" i="150"/>
  <c r="BM32" i="150"/>
  <c r="BN32" i="150"/>
  <c r="BO32" i="150"/>
  <c r="BP32" i="150"/>
  <c r="BQ32" i="150"/>
  <c r="BR32" i="150"/>
  <c r="BS32" i="150"/>
  <c r="BT32" i="150"/>
  <c r="BU32" i="150"/>
  <c r="BV32" i="150"/>
  <c r="BW32" i="150"/>
  <c r="BX32" i="150"/>
  <c r="BY32" i="150"/>
  <c r="BZ32" i="150"/>
  <c r="CA32" i="150"/>
  <c r="CB32" i="150"/>
  <c r="BE33" i="150"/>
  <c r="BF33" i="150"/>
  <c r="BG33" i="150"/>
  <c r="BH33" i="150"/>
  <c r="BI33" i="150"/>
  <c r="BJ33" i="150"/>
  <c r="BK33" i="150"/>
  <c r="BL33" i="150"/>
  <c r="BM33" i="150"/>
  <c r="BN33" i="150"/>
  <c r="BO33" i="150"/>
  <c r="BP33" i="150"/>
  <c r="BQ33" i="150"/>
  <c r="BR33" i="150"/>
  <c r="BS33" i="150"/>
  <c r="BT33" i="150"/>
  <c r="BU33" i="150"/>
  <c r="BV33" i="150"/>
  <c r="BW33" i="150"/>
  <c r="BX33" i="150"/>
  <c r="BY33" i="150"/>
  <c r="BZ33" i="150"/>
  <c r="CA33" i="150"/>
  <c r="CB33" i="150"/>
  <c r="BE34" i="150"/>
  <c r="BF34" i="150"/>
  <c r="BG34" i="150"/>
  <c r="BH34" i="150"/>
  <c r="BI34" i="150"/>
  <c r="BJ34" i="150"/>
  <c r="BK34" i="150"/>
  <c r="BL34" i="150"/>
  <c r="BM34" i="150"/>
  <c r="BN34" i="150"/>
  <c r="BO34" i="150"/>
  <c r="BP34" i="150"/>
  <c r="BQ34" i="150"/>
  <c r="BR34" i="150"/>
  <c r="BS34" i="150"/>
  <c r="BT34" i="150"/>
  <c r="BU34" i="150"/>
  <c r="BV34" i="150"/>
  <c r="BW34" i="150"/>
  <c r="BX34" i="150"/>
  <c r="BY34" i="150"/>
  <c r="BZ34" i="150"/>
  <c r="CA34" i="150"/>
  <c r="CB34" i="150"/>
  <c r="BE35" i="150"/>
  <c r="BF35" i="150"/>
  <c r="BG35" i="150"/>
  <c r="BH35" i="150"/>
  <c r="BI35" i="150"/>
  <c r="BJ35" i="150"/>
  <c r="BK35" i="150"/>
  <c r="BL35" i="150"/>
  <c r="BM35" i="150"/>
  <c r="BN35" i="150"/>
  <c r="BO35" i="150"/>
  <c r="BP35" i="150"/>
  <c r="BQ35" i="150"/>
  <c r="BR35" i="150"/>
  <c r="BS35" i="150"/>
  <c r="BT35" i="150"/>
  <c r="BU35" i="150"/>
  <c r="BV35" i="150"/>
  <c r="BW35" i="150"/>
  <c r="BX35" i="150"/>
  <c r="BY35" i="150"/>
  <c r="BZ35" i="150"/>
  <c r="CA35" i="150"/>
  <c r="CB35" i="150"/>
  <c r="BE36" i="150"/>
  <c r="BF36" i="150"/>
  <c r="BG36" i="150"/>
  <c r="BH36" i="150"/>
  <c r="BI36" i="150"/>
  <c r="BJ36" i="150"/>
  <c r="BK36" i="150"/>
  <c r="BL36" i="150"/>
  <c r="BM36" i="150"/>
  <c r="BN36" i="150"/>
  <c r="BO36" i="150"/>
  <c r="BP36" i="150"/>
  <c r="BQ36" i="150"/>
  <c r="BR36" i="150"/>
  <c r="BS36" i="150"/>
  <c r="BT36" i="150"/>
  <c r="BU36" i="150"/>
  <c r="BV36" i="150"/>
  <c r="BW36" i="150"/>
  <c r="BX36" i="150"/>
  <c r="BY36" i="150"/>
  <c r="BZ36" i="150"/>
  <c r="CA36" i="150"/>
  <c r="CB36" i="150"/>
  <c r="BE37" i="150"/>
  <c r="BF37" i="150"/>
  <c r="BG37" i="150"/>
  <c r="BH37" i="150"/>
  <c r="BI37" i="150"/>
  <c r="BJ37" i="150"/>
  <c r="BK37" i="150"/>
  <c r="BL37" i="150"/>
  <c r="BM37" i="150"/>
  <c r="BN37" i="150"/>
  <c r="BO37" i="150"/>
  <c r="BP37" i="150"/>
  <c r="BQ37" i="150"/>
  <c r="BR37" i="150"/>
  <c r="BS37" i="150"/>
  <c r="BT37" i="150"/>
  <c r="BU37" i="150"/>
  <c r="BV37" i="150"/>
  <c r="BW37" i="150"/>
  <c r="BX37" i="150"/>
  <c r="BY37" i="150"/>
  <c r="BZ37" i="150"/>
  <c r="CA37" i="150"/>
  <c r="CB37" i="150"/>
  <c r="BE38" i="150"/>
  <c r="BF38" i="150"/>
  <c r="BG38" i="150"/>
  <c r="BH38" i="150"/>
  <c r="BI38" i="150"/>
  <c r="BJ38" i="150"/>
  <c r="BK38" i="150"/>
  <c r="BL38" i="150"/>
  <c r="BM38" i="150"/>
  <c r="BN38" i="150"/>
  <c r="BO38" i="150"/>
  <c r="BP38" i="150"/>
  <c r="BQ38" i="150"/>
  <c r="BR38" i="150"/>
  <c r="BS38" i="150"/>
  <c r="BT38" i="150"/>
  <c r="BU38" i="150"/>
  <c r="BV38" i="150"/>
  <c r="BW38" i="150"/>
  <c r="BX38" i="150"/>
  <c r="BY38" i="150"/>
  <c r="BZ38" i="150"/>
  <c r="CA38" i="150"/>
  <c r="CB38" i="150"/>
  <c r="BE39" i="150"/>
  <c r="BF39" i="150"/>
  <c r="BG39" i="150"/>
  <c r="BH39" i="150"/>
  <c r="BI39" i="150"/>
  <c r="BJ39" i="150"/>
  <c r="BK39" i="150"/>
  <c r="BL39" i="150"/>
  <c r="BM39" i="150"/>
  <c r="BN39" i="150"/>
  <c r="BO39" i="150"/>
  <c r="BP39" i="150"/>
  <c r="BQ39" i="150"/>
  <c r="BR39" i="150"/>
  <c r="BS39" i="150"/>
  <c r="BT39" i="150"/>
  <c r="BU39" i="150"/>
  <c r="BV39" i="150"/>
  <c r="BW39" i="150"/>
  <c r="BX39" i="150"/>
  <c r="BY39" i="150"/>
  <c r="BZ39" i="150"/>
  <c r="CA39" i="150"/>
  <c r="CB39" i="150"/>
  <c r="BE40" i="150"/>
  <c r="BF40" i="150"/>
  <c r="BG40" i="150"/>
  <c r="BH40" i="150"/>
  <c r="BI40" i="150"/>
  <c r="BJ40" i="150"/>
  <c r="BK40" i="150"/>
  <c r="BL40" i="150"/>
  <c r="BM40" i="150"/>
  <c r="BN40" i="150"/>
  <c r="BO40" i="150"/>
  <c r="BP40" i="150"/>
  <c r="BQ40" i="150"/>
  <c r="BR40" i="150"/>
  <c r="BS40" i="150"/>
  <c r="BT40" i="150"/>
  <c r="BU40" i="150"/>
  <c r="BV40" i="150"/>
  <c r="BW40" i="150"/>
  <c r="BX40" i="150"/>
  <c r="BY40" i="150"/>
  <c r="BZ40" i="150"/>
  <c r="CA40" i="150"/>
  <c r="CB40" i="150"/>
  <c r="BE41" i="150"/>
  <c r="BF41" i="150"/>
  <c r="BG41" i="150"/>
  <c r="BH41" i="150"/>
  <c r="BI41" i="150"/>
  <c r="BJ41" i="150"/>
  <c r="BK41" i="150"/>
  <c r="BL41" i="150"/>
  <c r="BM41" i="150"/>
  <c r="BN41" i="150"/>
  <c r="BO41" i="150"/>
  <c r="BP41" i="150"/>
  <c r="BQ41" i="150"/>
  <c r="BR41" i="150"/>
  <c r="BS41" i="150"/>
  <c r="BT41" i="150"/>
  <c r="BU41" i="150"/>
  <c r="BV41" i="150"/>
  <c r="BW41" i="150"/>
  <c r="BX41" i="150"/>
  <c r="BY41" i="150"/>
  <c r="BZ41" i="150"/>
  <c r="CA41" i="150"/>
  <c r="CB41" i="150"/>
  <c r="BE42" i="150"/>
  <c r="BF42" i="150"/>
  <c r="BG42" i="150"/>
  <c r="BH42" i="150"/>
  <c r="BI42" i="150"/>
  <c r="BJ42" i="150"/>
  <c r="BK42" i="150"/>
  <c r="BL42" i="150"/>
  <c r="BM42" i="150"/>
  <c r="BN42" i="150"/>
  <c r="BO42" i="150"/>
  <c r="BP42" i="150"/>
  <c r="BQ42" i="150"/>
  <c r="BR42" i="150"/>
  <c r="BS42" i="150"/>
  <c r="BT42" i="150"/>
  <c r="BU42" i="150"/>
  <c r="BV42" i="150"/>
  <c r="BW42" i="150"/>
  <c r="BX42" i="150"/>
  <c r="BY42" i="150"/>
  <c r="BZ42" i="150"/>
  <c r="CA42" i="150"/>
  <c r="CB42" i="150"/>
  <c r="BE43" i="150"/>
  <c r="BF43" i="150"/>
  <c r="BG43" i="150"/>
  <c r="BH43" i="150"/>
  <c r="BI43" i="150"/>
  <c r="BJ43" i="150"/>
  <c r="BK43" i="150"/>
  <c r="BL43" i="150"/>
  <c r="BM43" i="150"/>
  <c r="BN43" i="150"/>
  <c r="BO43" i="150"/>
  <c r="BP43" i="150"/>
  <c r="BQ43" i="150"/>
  <c r="BR43" i="150"/>
  <c r="BS43" i="150"/>
  <c r="BT43" i="150"/>
  <c r="BU43" i="150"/>
  <c r="BV43" i="150"/>
  <c r="BW43" i="150"/>
  <c r="BX43" i="150"/>
  <c r="BY43" i="150"/>
  <c r="BZ43" i="150"/>
  <c r="CA43" i="150"/>
  <c r="CB43" i="150"/>
  <c r="BE44" i="150"/>
  <c r="BF44" i="150"/>
  <c r="BG44" i="150"/>
  <c r="BH44" i="150"/>
  <c r="BI44" i="150"/>
  <c r="BJ44" i="150"/>
  <c r="BK44" i="150"/>
  <c r="BL44" i="150"/>
  <c r="BM44" i="150"/>
  <c r="BN44" i="150"/>
  <c r="BO44" i="150"/>
  <c r="BP44" i="150"/>
  <c r="BQ44" i="150"/>
  <c r="BR44" i="150"/>
  <c r="BS44" i="150"/>
  <c r="BT44" i="150"/>
  <c r="BU44" i="150"/>
  <c r="BV44" i="150"/>
  <c r="BW44" i="150"/>
  <c r="BX44" i="150"/>
  <c r="BY44" i="150"/>
  <c r="BZ44" i="150"/>
  <c r="CA44" i="150"/>
  <c r="CB44" i="150"/>
  <c r="BE45" i="150"/>
  <c r="BF45" i="150"/>
  <c r="BG45" i="150"/>
  <c r="BH45" i="150"/>
  <c r="BI45" i="150"/>
  <c r="BJ45" i="150"/>
  <c r="BK45" i="150"/>
  <c r="BL45" i="150"/>
  <c r="BM45" i="150"/>
  <c r="BN45" i="150"/>
  <c r="BO45" i="150"/>
  <c r="BP45" i="150"/>
  <c r="BQ45" i="150"/>
  <c r="BR45" i="150"/>
  <c r="BS45" i="150"/>
  <c r="BT45" i="150"/>
  <c r="BU45" i="150"/>
  <c r="BV45" i="150"/>
  <c r="BW45" i="150"/>
  <c r="BX45" i="150"/>
  <c r="BY45" i="150"/>
  <c r="BZ45" i="150"/>
  <c r="CA45" i="150"/>
  <c r="CB45" i="150"/>
  <c r="BE46" i="150"/>
  <c r="BF46" i="150"/>
  <c r="BG46" i="150"/>
  <c r="BH46" i="150"/>
  <c r="BI46" i="150"/>
  <c r="BJ46" i="150"/>
  <c r="BK46" i="150"/>
  <c r="BL46" i="150"/>
  <c r="BM46" i="150"/>
  <c r="BN46" i="150"/>
  <c r="BO46" i="150"/>
  <c r="BP46" i="150"/>
  <c r="BQ46" i="150"/>
  <c r="BR46" i="150"/>
  <c r="BS46" i="150"/>
  <c r="BT46" i="150"/>
  <c r="BU46" i="150"/>
  <c r="BV46" i="150"/>
  <c r="BW46" i="150"/>
  <c r="BX46" i="150"/>
  <c r="BY46" i="150"/>
  <c r="BZ46" i="150"/>
  <c r="CA46" i="150"/>
  <c r="CB46" i="150"/>
  <c r="BE47" i="150"/>
  <c r="BF47" i="150"/>
  <c r="BG47" i="150"/>
  <c r="BH47" i="150"/>
  <c r="BI47" i="150"/>
  <c r="BJ47" i="150"/>
  <c r="BK47" i="150"/>
  <c r="BL47" i="150"/>
  <c r="BM47" i="150"/>
  <c r="BN47" i="150"/>
  <c r="BO47" i="150"/>
  <c r="BP47" i="150"/>
  <c r="BQ47" i="150"/>
  <c r="BR47" i="150"/>
  <c r="BS47" i="150"/>
  <c r="BT47" i="150"/>
  <c r="BU47" i="150"/>
  <c r="BV47" i="150"/>
  <c r="BW47" i="150"/>
  <c r="BX47" i="150"/>
  <c r="BY47" i="150"/>
  <c r="BZ47" i="150"/>
  <c r="CA47" i="150"/>
  <c r="CB47" i="150"/>
  <c r="BE48" i="150"/>
  <c r="BF48" i="150"/>
  <c r="BG48" i="150"/>
  <c r="BH48" i="150"/>
  <c r="BI48" i="150"/>
  <c r="BJ48" i="150"/>
  <c r="BK48" i="150"/>
  <c r="BL48" i="150"/>
  <c r="BM48" i="150"/>
  <c r="BN48" i="150"/>
  <c r="BO48" i="150"/>
  <c r="BP48" i="150"/>
  <c r="BQ48" i="150"/>
  <c r="BR48" i="150"/>
  <c r="BS48" i="150"/>
  <c r="BT48" i="150"/>
  <c r="BU48" i="150"/>
  <c r="BV48" i="150"/>
  <c r="BW48" i="150"/>
  <c r="BX48" i="150"/>
  <c r="BY48" i="150"/>
  <c r="BZ48" i="150"/>
  <c r="CA48" i="150"/>
  <c r="CB48" i="150"/>
  <c r="BE49" i="150"/>
  <c r="BF49" i="150"/>
  <c r="BG49" i="150"/>
  <c r="BH49" i="150"/>
  <c r="BI49" i="150"/>
  <c r="BJ49" i="150"/>
  <c r="BK49" i="150"/>
  <c r="BL49" i="150"/>
  <c r="BM49" i="150"/>
  <c r="BN49" i="150"/>
  <c r="BO49" i="150"/>
  <c r="BP49" i="150"/>
  <c r="BQ49" i="150"/>
  <c r="BR49" i="150"/>
  <c r="BS49" i="150"/>
  <c r="BT49" i="150"/>
  <c r="BU49" i="150"/>
  <c r="BV49" i="150"/>
  <c r="BW49" i="150"/>
  <c r="BX49" i="150"/>
  <c r="BY49" i="150"/>
  <c r="BZ49" i="150"/>
  <c r="CA49" i="150"/>
  <c r="CB49" i="150"/>
  <c r="BE50" i="150"/>
  <c r="BF50" i="150"/>
  <c r="BG50" i="150"/>
  <c r="BH50" i="150"/>
  <c r="BI50" i="150"/>
  <c r="BJ50" i="150"/>
  <c r="BK50" i="150"/>
  <c r="BL50" i="150"/>
  <c r="BM50" i="150"/>
  <c r="BN50" i="150"/>
  <c r="BO50" i="150"/>
  <c r="BP50" i="150"/>
  <c r="BQ50" i="150"/>
  <c r="BR50" i="150"/>
  <c r="BS50" i="150"/>
  <c r="BT50" i="150"/>
  <c r="BU50" i="150"/>
  <c r="BV50" i="150"/>
  <c r="BW50" i="150"/>
  <c r="BX50" i="150"/>
  <c r="BY50" i="150"/>
  <c r="BZ50" i="150"/>
  <c r="CA50" i="150"/>
  <c r="CB50" i="150"/>
  <c r="BE51" i="150"/>
  <c r="BF51" i="150"/>
  <c r="BG51" i="150"/>
  <c r="BH51" i="150"/>
  <c r="BI51" i="150"/>
  <c r="BJ51" i="150"/>
  <c r="BK51" i="150"/>
  <c r="BL51" i="150"/>
  <c r="BM51" i="150"/>
  <c r="BN51" i="150"/>
  <c r="BO51" i="150"/>
  <c r="BP51" i="150"/>
  <c r="BQ51" i="150"/>
  <c r="BR51" i="150"/>
  <c r="BS51" i="150"/>
  <c r="BT51" i="150"/>
  <c r="BU51" i="150"/>
  <c r="BV51" i="150"/>
  <c r="BW51" i="150"/>
  <c r="BX51" i="150"/>
  <c r="BY51" i="150"/>
  <c r="BZ51" i="150"/>
  <c r="CA51" i="150"/>
  <c r="CB51" i="150"/>
  <c r="BE52" i="150"/>
  <c r="BF52" i="150"/>
  <c r="BG52" i="150"/>
  <c r="BH52" i="150"/>
  <c r="BI52" i="150"/>
  <c r="BJ52" i="150"/>
  <c r="BK52" i="150"/>
  <c r="BL52" i="150"/>
  <c r="BM52" i="150"/>
  <c r="BN52" i="150"/>
  <c r="BO52" i="150"/>
  <c r="BP52" i="150"/>
  <c r="BQ52" i="150"/>
  <c r="BR52" i="150"/>
  <c r="BS52" i="150"/>
  <c r="BT52" i="150"/>
  <c r="BU52" i="150"/>
  <c r="BV52" i="150"/>
  <c r="BW52" i="150"/>
  <c r="BX52" i="150"/>
  <c r="BY52" i="150"/>
  <c r="BZ52" i="150"/>
  <c r="CA52" i="150"/>
  <c r="CB52" i="150"/>
  <c r="BE53" i="150"/>
  <c r="BF53" i="150"/>
  <c r="BG53" i="150"/>
  <c r="BH53" i="150"/>
  <c r="BI53" i="150"/>
  <c r="BJ53" i="150"/>
  <c r="BK53" i="150"/>
  <c r="BL53" i="150"/>
  <c r="BM53" i="150"/>
  <c r="BN53" i="150"/>
  <c r="BO53" i="150"/>
  <c r="BP53" i="150"/>
  <c r="BQ53" i="150"/>
  <c r="BR53" i="150"/>
  <c r="BS53" i="150"/>
  <c r="BT53" i="150"/>
  <c r="BU53" i="150"/>
  <c r="BV53" i="150"/>
  <c r="BW53" i="150"/>
  <c r="BX53" i="150"/>
  <c r="BY53" i="150"/>
  <c r="BZ53" i="150"/>
  <c r="CA53" i="150"/>
  <c r="CB53" i="150"/>
  <c r="BE54" i="150"/>
  <c r="BF54" i="150"/>
  <c r="BG54" i="150"/>
  <c r="BH54" i="150"/>
  <c r="BI54" i="150"/>
  <c r="BJ54" i="150"/>
  <c r="BK54" i="150"/>
  <c r="BL54" i="150"/>
  <c r="BM54" i="150"/>
  <c r="BN54" i="150"/>
  <c r="BO54" i="150"/>
  <c r="BP54" i="150"/>
  <c r="BQ54" i="150"/>
  <c r="BR54" i="150"/>
  <c r="BS54" i="150"/>
  <c r="BT54" i="150"/>
  <c r="BU54" i="150"/>
  <c r="BV54" i="150"/>
  <c r="BW54" i="150"/>
  <c r="BX54" i="150"/>
  <c r="BY54" i="150"/>
  <c r="BZ54" i="150"/>
  <c r="CA54" i="150"/>
  <c r="CB54" i="150"/>
  <c r="BE55" i="150"/>
  <c r="BF55" i="150"/>
  <c r="BG55" i="150"/>
  <c r="BH55" i="150"/>
  <c r="BI55" i="150"/>
  <c r="BJ55" i="150"/>
  <c r="BK55" i="150"/>
  <c r="BL55" i="150"/>
  <c r="BM55" i="150"/>
  <c r="BN55" i="150"/>
  <c r="BO55" i="150"/>
  <c r="BP55" i="150"/>
  <c r="BQ55" i="150"/>
  <c r="BR55" i="150"/>
  <c r="BS55" i="150"/>
  <c r="BT55" i="150"/>
  <c r="BU55" i="150"/>
  <c r="BV55" i="150"/>
  <c r="BW55" i="150"/>
  <c r="BX55" i="150"/>
  <c r="BY55" i="150"/>
  <c r="BZ55" i="150"/>
  <c r="CA55" i="150"/>
  <c r="CB55" i="150"/>
  <c r="BE56" i="150"/>
  <c r="BF56" i="150"/>
  <c r="BG56" i="150"/>
  <c r="BH56" i="150"/>
  <c r="BI56" i="150"/>
  <c r="BJ56" i="150"/>
  <c r="BK56" i="150"/>
  <c r="BL56" i="150"/>
  <c r="BM56" i="150"/>
  <c r="BN56" i="150"/>
  <c r="BO56" i="150"/>
  <c r="BP56" i="150"/>
  <c r="BQ56" i="150"/>
  <c r="BR56" i="150"/>
  <c r="BS56" i="150"/>
  <c r="BT56" i="150"/>
  <c r="BU56" i="150"/>
  <c r="BV56" i="150"/>
  <c r="BW56" i="150"/>
  <c r="BX56" i="150"/>
  <c r="BY56" i="150"/>
  <c r="BZ56" i="150"/>
  <c r="CA56" i="150"/>
  <c r="CB56" i="150"/>
  <c r="BE57" i="150"/>
  <c r="BF57" i="150"/>
  <c r="BG57" i="150"/>
  <c r="BH57" i="150"/>
  <c r="BI57" i="150"/>
  <c r="BJ57" i="150"/>
  <c r="BK57" i="150"/>
  <c r="BL57" i="150"/>
  <c r="BM57" i="150"/>
  <c r="BN57" i="150"/>
  <c r="BO57" i="150"/>
  <c r="BP57" i="150"/>
  <c r="BQ57" i="150"/>
  <c r="BR57" i="150"/>
  <c r="BS57" i="150"/>
  <c r="BT57" i="150"/>
  <c r="BU57" i="150"/>
  <c r="BV57" i="150"/>
  <c r="BW57" i="150"/>
  <c r="BX57" i="150"/>
  <c r="BY57" i="150"/>
  <c r="BZ57" i="150"/>
  <c r="CA57" i="150"/>
  <c r="CB57" i="150"/>
  <c r="BE58" i="150"/>
  <c r="BF58" i="150"/>
  <c r="BG58" i="150"/>
  <c r="BH58" i="150"/>
  <c r="BI58" i="150"/>
  <c r="BJ58" i="150"/>
  <c r="BK58" i="150"/>
  <c r="BL58" i="150"/>
  <c r="BM58" i="150"/>
  <c r="BN58" i="150"/>
  <c r="BO58" i="150"/>
  <c r="BP58" i="150"/>
  <c r="BQ58" i="150"/>
  <c r="BR58" i="150"/>
  <c r="BS58" i="150"/>
  <c r="BT58" i="150"/>
  <c r="BU58" i="150"/>
  <c r="BV58" i="150"/>
  <c r="BW58" i="150"/>
  <c r="BX58" i="150"/>
  <c r="BY58" i="150"/>
  <c r="BZ58" i="150"/>
  <c r="CA58" i="150"/>
  <c r="CB58" i="150"/>
  <c r="BE59" i="150"/>
  <c r="BF59" i="150"/>
  <c r="BG59" i="150"/>
  <c r="BH59" i="150"/>
  <c r="BI59" i="150"/>
  <c r="BJ59" i="150"/>
  <c r="BK59" i="150"/>
  <c r="BL59" i="150"/>
  <c r="BM59" i="150"/>
  <c r="BN59" i="150"/>
  <c r="BO59" i="150"/>
  <c r="BP59" i="150"/>
  <c r="BQ59" i="150"/>
  <c r="BR59" i="150"/>
  <c r="BS59" i="150"/>
  <c r="BT59" i="150"/>
  <c r="BU59" i="150"/>
  <c r="BV59" i="150"/>
  <c r="BW59" i="150"/>
  <c r="BX59" i="150"/>
  <c r="BY59" i="150"/>
  <c r="BZ59" i="150"/>
  <c r="CA59" i="150"/>
  <c r="CB59" i="150"/>
  <c r="BE60" i="150"/>
  <c r="BF60" i="150"/>
  <c r="BG60" i="150"/>
  <c r="BH60" i="150"/>
  <c r="BI60" i="150"/>
  <c r="BJ60" i="150"/>
  <c r="BK60" i="150"/>
  <c r="BL60" i="150"/>
  <c r="BM60" i="150"/>
  <c r="BN60" i="150"/>
  <c r="BO60" i="150"/>
  <c r="BP60" i="150"/>
  <c r="BQ60" i="150"/>
  <c r="BR60" i="150"/>
  <c r="BS60" i="150"/>
  <c r="BT60" i="150"/>
  <c r="BU60" i="150"/>
  <c r="BV60" i="150"/>
  <c r="BW60" i="150"/>
  <c r="BX60" i="150"/>
  <c r="BY60" i="150"/>
  <c r="BZ60" i="150"/>
  <c r="CA60" i="150"/>
  <c r="CB60" i="150"/>
  <c r="BE61" i="150"/>
  <c r="BF61" i="150"/>
  <c r="BG61" i="150"/>
  <c r="BH61" i="150"/>
  <c r="BI61" i="150"/>
  <c r="BJ61" i="150"/>
  <c r="BK61" i="150"/>
  <c r="BL61" i="150"/>
  <c r="BM61" i="150"/>
  <c r="BN61" i="150"/>
  <c r="BO61" i="150"/>
  <c r="BP61" i="150"/>
  <c r="BQ61" i="150"/>
  <c r="BR61" i="150"/>
  <c r="BS61" i="150"/>
  <c r="BT61" i="150"/>
  <c r="BU61" i="150"/>
  <c r="BV61" i="150"/>
  <c r="BW61" i="150"/>
  <c r="BX61" i="150"/>
  <c r="BY61" i="150"/>
  <c r="BZ61" i="150"/>
  <c r="CA61" i="150"/>
  <c r="CB61" i="150"/>
  <c r="BE62" i="150"/>
  <c r="BF62" i="150"/>
  <c r="BG62" i="150"/>
  <c r="BH62" i="150"/>
  <c r="BI62" i="150"/>
  <c r="BJ62" i="150"/>
  <c r="BK62" i="150"/>
  <c r="BL62" i="150"/>
  <c r="BM62" i="150"/>
  <c r="BN62" i="150"/>
  <c r="BO62" i="150"/>
  <c r="BP62" i="150"/>
  <c r="BQ62" i="150"/>
  <c r="BR62" i="150"/>
  <c r="BS62" i="150"/>
  <c r="BT62" i="150"/>
  <c r="BU62" i="150"/>
  <c r="BV62" i="150"/>
  <c r="BW62" i="150"/>
  <c r="BX62" i="150"/>
  <c r="BY62" i="150"/>
  <c r="BZ62" i="150"/>
  <c r="CA62" i="150"/>
  <c r="CB62" i="150"/>
  <c r="BE63" i="150"/>
  <c r="BF63" i="150"/>
  <c r="BG63" i="150"/>
  <c r="BH63" i="150"/>
  <c r="BI63" i="150"/>
  <c r="BJ63" i="150"/>
  <c r="BK63" i="150"/>
  <c r="BL63" i="150"/>
  <c r="BM63" i="150"/>
  <c r="BN63" i="150"/>
  <c r="BO63" i="150"/>
  <c r="BP63" i="150"/>
  <c r="BQ63" i="150"/>
  <c r="BR63" i="150"/>
  <c r="BS63" i="150"/>
  <c r="BT63" i="150"/>
  <c r="BU63" i="150"/>
  <c r="BV63" i="150"/>
  <c r="BW63" i="150"/>
  <c r="BX63" i="150"/>
  <c r="BY63" i="150"/>
  <c r="BZ63" i="150"/>
  <c r="CA63" i="150"/>
  <c r="CB63" i="150"/>
  <c r="BE64" i="150"/>
  <c r="BF64" i="150"/>
  <c r="BG64" i="150"/>
  <c r="BH64" i="150"/>
  <c r="BI64" i="150"/>
  <c r="BJ64" i="150"/>
  <c r="BK64" i="150"/>
  <c r="BL64" i="150"/>
  <c r="BM64" i="150"/>
  <c r="BN64" i="150"/>
  <c r="BO64" i="150"/>
  <c r="BP64" i="150"/>
  <c r="BQ64" i="150"/>
  <c r="BR64" i="150"/>
  <c r="BS64" i="150"/>
  <c r="BT64" i="150"/>
  <c r="BU64" i="150"/>
  <c r="BV64" i="150"/>
  <c r="BW64" i="150"/>
  <c r="BX64" i="150"/>
  <c r="BY64" i="150"/>
  <c r="BZ64" i="150"/>
  <c r="CA64" i="150"/>
  <c r="CB64" i="150"/>
  <c r="BE65" i="150"/>
  <c r="BF65" i="150"/>
  <c r="BG65" i="150"/>
  <c r="BH65" i="150"/>
  <c r="BI65" i="150"/>
  <c r="BJ65" i="150"/>
  <c r="BK65" i="150"/>
  <c r="BL65" i="150"/>
  <c r="BM65" i="150"/>
  <c r="BN65" i="150"/>
  <c r="BO65" i="150"/>
  <c r="BP65" i="150"/>
  <c r="BQ65" i="150"/>
  <c r="BR65" i="150"/>
  <c r="BS65" i="150"/>
  <c r="BT65" i="150"/>
  <c r="BU65" i="150"/>
  <c r="BV65" i="150"/>
  <c r="BW65" i="150"/>
  <c r="BX65" i="150"/>
  <c r="BY65" i="150"/>
  <c r="BZ65" i="150"/>
  <c r="CA65" i="150"/>
  <c r="CB65" i="150"/>
  <c r="BE66" i="150"/>
  <c r="BF66" i="150"/>
  <c r="BG66" i="150"/>
  <c r="BH66" i="150"/>
  <c r="BI66" i="150"/>
  <c r="BJ66" i="150"/>
  <c r="BK66" i="150"/>
  <c r="BL66" i="150"/>
  <c r="BM66" i="150"/>
  <c r="BN66" i="150"/>
  <c r="BO66" i="150"/>
  <c r="BP66" i="150"/>
  <c r="BQ66" i="150"/>
  <c r="BR66" i="150"/>
  <c r="BS66" i="150"/>
  <c r="BT66" i="150"/>
  <c r="BU66" i="150"/>
  <c r="BV66" i="150"/>
  <c r="BW66" i="150"/>
  <c r="BX66" i="150"/>
  <c r="BY66" i="150"/>
  <c r="BZ66" i="150"/>
  <c r="CA66" i="150"/>
  <c r="CB66" i="150"/>
  <c r="BE67" i="150"/>
  <c r="BF67" i="150"/>
  <c r="BG67" i="150"/>
  <c r="BH67" i="150"/>
  <c r="BI67" i="150"/>
  <c r="BJ67" i="150"/>
  <c r="BK67" i="150"/>
  <c r="BL67" i="150"/>
  <c r="BM67" i="150"/>
  <c r="BN67" i="150"/>
  <c r="BO67" i="150"/>
  <c r="BP67" i="150"/>
  <c r="BQ67" i="150"/>
  <c r="BR67" i="150"/>
  <c r="BS67" i="150"/>
  <c r="BT67" i="150"/>
  <c r="BU67" i="150"/>
  <c r="BV67" i="150"/>
  <c r="BW67" i="150"/>
  <c r="BX67" i="150"/>
  <c r="BY67" i="150"/>
  <c r="BZ67" i="150"/>
  <c r="CA67" i="150"/>
  <c r="CB67" i="150"/>
  <c r="BE68" i="150"/>
  <c r="BF68" i="150"/>
  <c r="BG68" i="150"/>
  <c r="BH68" i="150"/>
  <c r="BI68" i="150"/>
  <c r="BJ68" i="150"/>
  <c r="BK68" i="150"/>
  <c r="BL68" i="150"/>
  <c r="BM68" i="150"/>
  <c r="BN68" i="150"/>
  <c r="BO68" i="150"/>
  <c r="BP68" i="150"/>
  <c r="BQ68" i="150"/>
  <c r="BR68" i="150"/>
  <c r="BS68" i="150"/>
  <c r="BT68" i="150"/>
  <c r="BU68" i="150"/>
  <c r="BV68" i="150"/>
  <c r="BW68" i="150"/>
  <c r="BX68" i="150"/>
  <c r="BY68" i="150"/>
  <c r="BZ68" i="150"/>
  <c r="CA68" i="150"/>
  <c r="CB68" i="150"/>
  <c r="BE69" i="150"/>
  <c r="BF69" i="150"/>
  <c r="BG69" i="150"/>
  <c r="BH69" i="150"/>
  <c r="BI69" i="150"/>
  <c r="BJ69" i="150"/>
  <c r="BK69" i="150"/>
  <c r="BL69" i="150"/>
  <c r="BM69" i="150"/>
  <c r="BN69" i="150"/>
  <c r="BO69" i="150"/>
  <c r="BP69" i="150"/>
  <c r="BQ69" i="150"/>
  <c r="BR69" i="150"/>
  <c r="BS69" i="150"/>
  <c r="BT69" i="150"/>
  <c r="BU69" i="150"/>
  <c r="BV69" i="150"/>
  <c r="BW69" i="150"/>
  <c r="BX69" i="150"/>
  <c r="BY69" i="150"/>
  <c r="BZ69" i="150"/>
  <c r="CA69" i="150"/>
  <c r="CB69" i="150"/>
  <c r="BE70" i="150"/>
  <c r="BF70" i="150"/>
  <c r="BG70" i="150"/>
  <c r="BH70" i="150"/>
  <c r="BI70" i="150"/>
  <c r="BJ70" i="150"/>
  <c r="BK70" i="150"/>
  <c r="BL70" i="150"/>
  <c r="BM70" i="150"/>
  <c r="BN70" i="150"/>
  <c r="BO70" i="150"/>
  <c r="BP70" i="150"/>
  <c r="BQ70" i="150"/>
  <c r="BR70" i="150"/>
  <c r="BS70" i="150"/>
  <c r="BT70" i="150"/>
  <c r="BU70" i="150"/>
  <c r="BV70" i="150"/>
  <c r="BW70" i="150"/>
  <c r="BX70" i="150"/>
  <c r="BY70" i="150"/>
  <c r="BZ70" i="150"/>
  <c r="CA70" i="150"/>
  <c r="CB70" i="150"/>
  <c r="BE71" i="150"/>
  <c r="BF71" i="150"/>
  <c r="BG71" i="150"/>
  <c r="BH71" i="150"/>
  <c r="BI71" i="150"/>
  <c r="BJ71" i="150"/>
  <c r="BK71" i="150"/>
  <c r="BL71" i="150"/>
  <c r="BM71" i="150"/>
  <c r="BN71" i="150"/>
  <c r="BO71" i="150"/>
  <c r="BP71" i="150"/>
  <c r="BQ71" i="150"/>
  <c r="BR71" i="150"/>
  <c r="BS71" i="150"/>
  <c r="BT71" i="150"/>
  <c r="BU71" i="150"/>
  <c r="BV71" i="150"/>
  <c r="BW71" i="150"/>
  <c r="BX71" i="150"/>
  <c r="BY71" i="150"/>
  <c r="BZ71" i="150"/>
  <c r="CA71" i="150"/>
  <c r="CB71" i="150"/>
  <c r="BE72" i="150"/>
  <c r="BF72" i="150"/>
  <c r="BG72" i="150"/>
  <c r="BH72" i="150"/>
  <c r="BI72" i="150"/>
  <c r="BJ72" i="150"/>
  <c r="BK72" i="150"/>
  <c r="BL72" i="150"/>
  <c r="BM72" i="150"/>
  <c r="BN72" i="150"/>
  <c r="BO72" i="150"/>
  <c r="BP72" i="150"/>
  <c r="BQ72" i="150"/>
  <c r="BR72" i="150"/>
  <c r="BS72" i="150"/>
  <c r="BT72" i="150"/>
  <c r="BU72" i="150"/>
  <c r="BV72" i="150"/>
  <c r="BW72" i="150"/>
  <c r="BX72" i="150"/>
  <c r="BY72" i="150"/>
  <c r="BZ72" i="150"/>
  <c r="CA72" i="150"/>
  <c r="CB72" i="150"/>
  <c r="BE73" i="150"/>
  <c r="BF73" i="150"/>
  <c r="BG73" i="150"/>
  <c r="BH73" i="150"/>
  <c r="BI73" i="150"/>
  <c r="BJ73" i="150"/>
  <c r="BK73" i="150"/>
  <c r="BL73" i="150"/>
  <c r="BM73" i="150"/>
  <c r="BN73" i="150"/>
  <c r="BO73" i="150"/>
  <c r="BP73" i="150"/>
  <c r="BQ73" i="150"/>
  <c r="BR73" i="150"/>
  <c r="BS73" i="150"/>
  <c r="BT73" i="150"/>
  <c r="BU73" i="150"/>
  <c r="BV73" i="150"/>
  <c r="BW73" i="150"/>
  <c r="BX73" i="150"/>
  <c r="BY73" i="150"/>
  <c r="BZ73" i="150"/>
  <c r="CA73" i="150"/>
  <c r="CB73" i="150"/>
  <c r="BE74" i="150"/>
  <c r="BF74" i="150"/>
  <c r="BG74" i="150"/>
  <c r="BH74" i="150"/>
  <c r="BI74" i="150"/>
  <c r="BJ74" i="150"/>
  <c r="BK74" i="150"/>
  <c r="BL74" i="150"/>
  <c r="BM74" i="150"/>
  <c r="BN74" i="150"/>
  <c r="BO74" i="150"/>
  <c r="BP74" i="150"/>
  <c r="BQ74" i="150"/>
  <c r="BR74" i="150"/>
  <c r="BS74" i="150"/>
  <c r="BT74" i="150"/>
  <c r="BU74" i="150"/>
  <c r="BV74" i="150"/>
  <c r="BW74" i="150"/>
  <c r="BX74" i="150"/>
  <c r="BY74" i="150"/>
  <c r="BZ74" i="150"/>
  <c r="CA74" i="150"/>
  <c r="CB74" i="150"/>
  <c r="BE75" i="150"/>
  <c r="BF75" i="150"/>
  <c r="BG75" i="150"/>
  <c r="BH75" i="150"/>
  <c r="BI75" i="150"/>
  <c r="BJ75" i="150"/>
  <c r="BK75" i="150"/>
  <c r="BL75" i="150"/>
  <c r="BM75" i="150"/>
  <c r="BN75" i="150"/>
  <c r="BO75" i="150"/>
  <c r="BP75" i="150"/>
  <c r="BQ75" i="150"/>
  <c r="BR75" i="150"/>
  <c r="BS75" i="150"/>
  <c r="BT75" i="150"/>
  <c r="BU75" i="150"/>
  <c r="BV75" i="150"/>
  <c r="BW75" i="150"/>
  <c r="BX75" i="150"/>
  <c r="BY75" i="150"/>
  <c r="BZ75" i="150"/>
  <c r="CA75" i="150"/>
  <c r="CB75" i="150"/>
  <c r="BE76" i="150"/>
  <c r="BF76" i="150"/>
  <c r="BG76" i="150"/>
  <c r="BH76" i="150"/>
  <c r="BI76" i="150"/>
  <c r="BJ76" i="150"/>
  <c r="BK76" i="150"/>
  <c r="BL76" i="150"/>
  <c r="BM76" i="150"/>
  <c r="BN76" i="150"/>
  <c r="BO76" i="150"/>
  <c r="BP76" i="150"/>
  <c r="BQ76" i="150"/>
  <c r="BR76" i="150"/>
  <c r="BS76" i="150"/>
  <c r="BT76" i="150"/>
  <c r="BU76" i="150"/>
  <c r="BV76" i="150"/>
  <c r="BW76" i="150"/>
  <c r="BX76" i="150"/>
  <c r="BY76" i="150"/>
  <c r="BZ76" i="150"/>
  <c r="CA76" i="150"/>
  <c r="CB76" i="150"/>
  <c r="BE77" i="150"/>
  <c r="BF77" i="150"/>
  <c r="BG77" i="150"/>
  <c r="BH77" i="150"/>
  <c r="BI77" i="150"/>
  <c r="BJ77" i="150"/>
  <c r="BK77" i="150"/>
  <c r="BL77" i="150"/>
  <c r="BM77" i="150"/>
  <c r="BN77" i="150"/>
  <c r="BO77" i="150"/>
  <c r="BP77" i="150"/>
  <c r="BQ77" i="150"/>
  <c r="BR77" i="150"/>
  <c r="BS77" i="150"/>
  <c r="BT77" i="150"/>
  <c r="BU77" i="150"/>
  <c r="BV77" i="150"/>
  <c r="BW77" i="150"/>
  <c r="BX77" i="150"/>
  <c r="BY77" i="150"/>
  <c r="BZ77" i="150"/>
  <c r="CA77" i="150"/>
  <c r="CB77" i="150"/>
  <c r="BE78" i="150"/>
  <c r="BF78" i="150"/>
  <c r="BG78" i="150"/>
  <c r="BH78" i="150"/>
  <c r="BI78" i="150"/>
  <c r="BJ78" i="150"/>
  <c r="BK78" i="150"/>
  <c r="BL78" i="150"/>
  <c r="BM78" i="150"/>
  <c r="BN78" i="150"/>
  <c r="BO78" i="150"/>
  <c r="BP78" i="150"/>
  <c r="BQ78" i="150"/>
  <c r="BR78" i="150"/>
  <c r="BS78" i="150"/>
  <c r="BT78" i="150"/>
  <c r="BU78" i="150"/>
  <c r="BV78" i="150"/>
  <c r="BW78" i="150"/>
  <c r="BX78" i="150"/>
  <c r="BY78" i="150"/>
  <c r="BZ78" i="150"/>
  <c r="CA78" i="150"/>
  <c r="CB78" i="150"/>
  <c r="BE79" i="150"/>
  <c r="BF79" i="150"/>
  <c r="BG79" i="150"/>
  <c r="BH79" i="150"/>
  <c r="BI79" i="150"/>
  <c r="BJ79" i="150"/>
  <c r="BK79" i="150"/>
  <c r="BL79" i="150"/>
  <c r="BM79" i="150"/>
  <c r="BN79" i="150"/>
  <c r="BO79" i="150"/>
  <c r="BP79" i="150"/>
  <c r="BQ79" i="150"/>
  <c r="BR79" i="150"/>
  <c r="BS79" i="150"/>
  <c r="BT79" i="150"/>
  <c r="BU79" i="150"/>
  <c r="BV79" i="150"/>
  <c r="BW79" i="150"/>
  <c r="BX79" i="150"/>
  <c r="BY79" i="150"/>
  <c r="BZ79" i="150"/>
  <c r="CA79" i="150"/>
  <c r="CB79" i="150"/>
  <c r="BE80" i="150"/>
  <c r="BF80" i="150"/>
  <c r="BG80" i="150"/>
  <c r="BH80" i="150"/>
  <c r="BI80" i="150"/>
  <c r="BJ80" i="150"/>
  <c r="BK80" i="150"/>
  <c r="BL80" i="150"/>
  <c r="BM80" i="150"/>
  <c r="BN80" i="150"/>
  <c r="BO80" i="150"/>
  <c r="BP80" i="150"/>
  <c r="BQ80" i="150"/>
  <c r="BR80" i="150"/>
  <c r="BS80" i="150"/>
  <c r="BT80" i="150"/>
  <c r="BU80" i="150"/>
  <c r="BV80" i="150"/>
  <c r="BW80" i="150"/>
  <c r="BX80" i="150"/>
  <c r="BY80" i="150"/>
  <c r="BZ80" i="150"/>
  <c r="CA80" i="150"/>
  <c r="CB80" i="150"/>
  <c r="BE81" i="150"/>
  <c r="BF81" i="150"/>
  <c r="BG81" i="150"/>
  <c r="BH81" i="150"/>
  <c r="BI81" i="150"/>
  <c r="BJ81" i="150"/>
  <c r="BK81" i="150"/>
  <c r="BL81" i="150"/>
  <c r="BM81" i="150"/>
  <c r="BN81" i="150"/>
  <c r="BO81" i="150"/>
  <c r="BP81" i="150"/>
  <c r="BQ81" i="150"/>
  <c r="BR81" i="150"/>
  <c r="BS81" i="150"/>
  <c r="BT81" i="150"/>
  <c r="BU81" i="150"/>
  <c r="BV81" i="150"/>
  <c r="BW81" i="150"/>
  <c r="BX81" i="150"/>
  <c r="BY81" i="150"/>
  <c r="BZ81" i="150"/>
  <c r="CA81" i="150"/>
  <c r="CB81" i="150"/>
  <c r="BE82" i="150"/>
  <c r="BF82" i="150"/>
  <c r="BG82" i="150"/>
  <c r="BH82" i="150"/>
  <c r="BI82" i="150"/>
  <c r="BJ82" i="150"/>
  <c r="BK82" i="150"/>
  <c r="BL82" i="150"/>
  <c r="BM82" i="150"/>
  <c r="BN82" i="150"/>
  <c r="BO82" i="150"/>
  <c r="BP82" i="150"/>
  <c r="BQ82" i="150"/>
  <c r="BR82" i="150"/>
  <c r="BS82" i="150"/>
  <c r="BT82" i="150"/>
  <c r="BU82" i="150"/>
  <c r="BV82" i="150"/>
  <c r="BW82" i="150"/>
  <c r="BX82" i="150"/>
  <c r="BY82" i="150"/>
  <c r="BZ82" i="150"/>
  <c r="CA82" i="150"/>
  <c r="CB82" i="150"/>
  <c r="BE83" i="150"/>
  <c r="BF83" i="150"/>
  <c r="BG83" i="150"/>
  <c r="BH83" i="150"/>
  <c r="BI83" i="150"/>
  <c r="BJ83" i="150"/>
  <c r="BK83" i="150"/>
  <c r="BL83" i="150"/>
  <c r="BM83" i="150"/>
  <c r="BN83" i="150"/>
  <c r="BO83" i="150"/>
  <c r="BP83" i="150"/>
  <c r="BQ83" i="150"/>
  <c r="BR83" i="150"/>
  <c r="BS83" i="150"/>
  <c r="BT83" i="150"/>
  <c r="BU83" i="150"/>
  <c r="BV83" i="150"/>
  <c r="BW83" i="150"/>
  <c r="BX83" i="150"/>
  <c r="BY83" i="150"/>
  <c r="BZ83" i="150"/>
  <c r="CA83" i="150"/>
  <c r="CB83" i="150"/>
  <c r="BE84" i="150"/>
  <c r="BF84" i="150"/>
  <c r="BG84" i="150"/>
  <c r="BH84" i="150"/>
  <c r="BI84" i="150"/>
  <c r="BJ84" i="150"/>
  <c r="BK84" i="150"/>
  <c r="BL84" i="150"/>
  <c r="BM84" i="150"/>
  <c r="BN84" i="150"/>
  <c r="BO84" i="150"/>
  <c r="BP84" i="150"/>
  <c r="BQ84" i="150"/>
  <c r="BR84" i="150"/>
  <c r="BS84" i="150"/>
  <c r="BT84" i="150"/>
  <c r="BU84" i="150"/>
  <c r="BV84" i="150"/>
  <c r="BW84" i="150"/>
  <c r="BX84" i="150"/>
  <c r="BY84" i="150"/>
  <c r="BZ84" i="150"/>
  <c r="CA84" i="150"/>
  <c r="CB84" i="150"/>
  <c r="BE85" i="150"/>
  <c r="BF85" i="150"/>
  <c r="BG85" i="150"/>
  <c r="BH85" i="150"/>
  <c r="BI85" i="150"/>
  <c r="BJ85" i="150"/>
  <c r="BK85" i="150"/>
  <c r="BL85" i="150"/>
  <c r="BM85" i="150"/>
  <c r="BN85" i="150"/>
  <c r="BO85" i="150"/>
  <c r="BP85" i="150"/>
  <c r="BQ85" i="150"/>
  <c r="BR85" i="150"/>
  <c r="BS85" i="150"/>
  <c r="BT85" i="150"/>
  <c r="BU85" i="150"/>
  <c r="BV85" i="150"/>
  <c r="BW85" i="150"/>
  <c r="BX85" i="150"/>
  <c r="BY85" i="150"/>
  <c r="BZ85" i="150"/>
  <c r="CA85" i="150"/>
  <c r="CB85" i="150"/>
  <c r="BE86" i="150"/>
  <c r="BF86" i="150"/>
  <c r="BG86" i="150"/>
  <c r="BH86" i="150"/>
  <c r="BI86" i="150"/>
  <c r="BJ86" i="150"/>
  <c r="BK86" i="150"/>
  <c r="BL86" i="150"/>
  <c r="BM86" i="150"/>
  <c r="BN86" i="150"/>
  <c r="BO86" i="150"/>
  <c r="BP86" i="150"/>
  <c r="BQ86" i="150"/>
  <c r="BR86" i="150"/>
  <c r="BS86" i="150"/>
  <c r="BT86" i="150"/>
  <c r="BU86" i="150"/>
  <c r="BV86" i="150"/>
  <c r="BW86" i="150"/>
  <c r="BX86" i="150"/>
  <c r="BY86" i="150"/>
  <c r="BZ86" i="150"/>
  <c r="CA86" i="150"/>
  <c r="CB86" i="150"/>
  <c r="BE87" i="150"/>
  <c r="BF87" i="150"/>
  <c r="BG87" i="150"/>
  <c r="BH87" i="150"/>
  <c r="BI87" i="150"/>
  <c r="BJ87" i="150"/>
  <c r="BK87" i="150"/>
  <c r="BL87" i="150"/>
  <c r="BM87" i="150"/>
  <c r="BN87" i="150"/>
  <c r="BO87" i="150"/>
  <c r="BP87" i="150"/>
  <c r="BQ87" i="150"/>
  <c r="BR87" i="150"/>
  <c r="BS87" i="150"/>
  <c r="BT87" i="150"/>
  <c r="BU87" i="150"/>
  <c r="BV87" i="150"/>
  <c r="BW87" i="150"/>
  <c r="BX87" i="150"/>
  <c r="BY87" i="150"/>
  <c r="BZ87" i="150"/>
  <c r="CA87" i="150"/>
  <c r="CB87" i="150"/>
  <c r="BE88" i="150"/>
  <c r="BF88" i="150"/>
  <c r="BG88" i="150"/>
  <c r="BH88" i="150"/>
  <c r="BI88" i="150"/>
  <c r="BJ88" i="150"/>
  <c r="BK88" i="150"/>
  <c r="BL88" i="150"/>
  <c r="BM88" i="150"/>
  <c r="BN88" i="150"/>
  <c r="BO88" i="150"/>
  <c r="BP88" i="150"/>
  <c r="BQ88" i="150"/>
  <c r="BR88" i="150"/>
  <c r="BS88" i="150"/>
  <c r="BT88" i="150"/>
  <c r="BU88" i="150"/>
  <c r="BV88" i="150"/>
  <c r="BW88" i="150"/>
  <c r="BX88" i="150"/>
  <c r="BY88" i="150"/>
  <c r="BZ88" i="150"/>
  <c r="CA88" i="150"/>
  <c r="CB88" i="150"/>
  <c r="BE89" i="150"/>
  <c r="BF89" i="150"/>
  <c r="BG89" i="150"/>
  <c r="BH89" i="150"/>
  <c r="BI89" i="150"/>
  <c r="BJ89" i="150"/>
  <c r="BK89" i="150"/>
  <c r="BL89" i="150"/>
  <c r="BM89" i="150"/>
  <c r="BN89" i="150"/>
  <c r="BO89" i="150"/>
  <c r="BP89" i="150"/>
  <c r="BQ89" i="150"/>
  <c r="BR89" i="150"/>
  <c r="BS89" i="150"/>
  <c r="BT89" i="150"/>
  <c r="BU89" i="150"/>
  <c r="BV89" i="150"/>
  <c r="BW89" i="150"/>
  <c r="BX89" i="150"/>
  <c r="BY89" i="150"/>
  <c r="BZ89" i="150"/>
  <c r="CA89" i="150"/>
  <c r="CB89" i="150"/>
  <c r="BE90" i="150"/>
  <c r="BF90" i="150"/>
  <c r="BG90" i="150"/>
  <c r="BH90" i="150"/>
  <c r="BI90" i="150"/>
  <c r="BJ90" i="150"/>
  <c r="BK90" i="150"/>
  <c r="BL90" i="150"/>
  <c r="BM90" i="150"/>
  <c r="BN90" i="150"/>
  <c r="BO90" i="150"/>
  <c r="BP90" i="150"/>
  <c r="BQ90" i="150"/>
  <c r="BR90" i="150"/>
  <c r="BS90" i="150"/>
  <c r="BT90" i="150"/>
  <c r="BU90" i="150"/>
  <c r="BV90" i="150"/>
  <c r="BW90" i="150"/>
  <c r="BX90" i="150"/>
  <c r="BY90" i="150"/>
  <c r="BZ90" i="150"/>
  <c r="CA90" i="150"/>
  <c r="CB90" i="150"/>
  <c r="BE91" i="150"/>
  <c r="BF91" i="150"/>
  <c r="BG91" i="150"/>
  <c r="BH91" i="150"/>
  <c r="BI91" i="150"/>
  <c r="BJ91" i="150"/>
  <c r="BK91" i="150"/>
  <c r="BL91" i="150"/>
  <c r="BM91" i="150"/>
  <c r="BN91" i="150"/>
  <c r="BO91" i="150"/>
  <c r="BP91" i="150"/>
  <c r="BQ91" i="150"/>
  <c r="BR91" i="150"/>
  <c r="BS91" i="150"/>
  <c r="BT91" i="150"/>
  <c r="BU91" i="150"/>
  <c r="BV91" i="150"/>
  <c r="BW91" i="150"/>
  <c r="BX91" i="150"/>
  <c r="BY91" i="150"/>
  <c r="BZ91" i="150"/>
  <c r="CA91" i="150"/>
  <c r="CB91" i="150"/>
  <c r="BE92" i="150"/>
  <c r="BF92" i="150"/>
  <c r="BG92" i="150"/>
  <c r="BH92" i="150"/>
  <c r="BI92" i="150"/>
  <c r="BJ92" i="150"/>
  <c r="BK92" i="150"/>
  <c r="BL92" i="150"/>
  <c r="BM92" i="150"/>
  <c r="BN92" i="150"/>
  <c r="BO92" i="150"/>
  <c r="BP92" i="150"/>
  <c r="BQ92" i="150"/>
  <c r="BR92" i="150"/>
  <c r="BS92" i="150"/>
  <c r="BT92" i="150"/>
  <c r="BU92" i="150"/>
  <c r="BV92" i="150"/>
  <c r="BW92" i="150"/>
  <c r="BX92" i="150"/>
  <c r="BY92" i="150"/>
  <c r="BZ92" i="150"/>
  <c r="CA92" i="150"/>
  <c r="CB92" i="150"/>
  <c r="BE93" i="150"/>
  <c r="BF93" i="150"/>
  <c r="BG93" i="150"/>
  <c r="BH93" i="150"/>
  <c r="BI93" i="150"/>
  <c r="BJ93" i="150"/>
  <c r="BK93" i="150"/>
  <c r="BL93" i="150"/>
  <c r="BM93" i="150"/>
  <c r="BN93" i="150"/>
  <c r="BO93" i="150"/>
  <c r="BP93" i="150"/>
  <c r="BQ93" i="150"/>
  <c r="BR93" i="150"/>
  <c r="BS93" i="150"/>
  <c r="BT93" i="150"/>
  <c r="BU93" i="150"/>
  <c r="BV93" i="150"/>
  <c r="BW93" i="150"/>
  <c r="BX93" i="150"/>
  <c r="BY93" i="150"/>
  <c r="BZ93" i="150"/>
  <c r="CA93" i="150"/>
  <c r="CB93" i="150"/>
  <c r="BE94" i="150"/>
  <c r="BF94" i="150"/>
  <c r="BG94" i="150"/>
  <c r="BH94" i="150"/>
  <c r="BI94" i="150"/>
  <c r="BJ94" i="150"/>
  <c r="BK94" i="150"/>
  <c r="BL94" i="150"/>
  <c r="BM94" i="150"/>
  <c r="BN94" i="150"/>
  <c r="BO94" i="150"/>
  <c r="BP94" i="150"/>
  <c r="BQ94" i="150"/>
  <c r="BR94" i="150"/>
  <c r="BS94" i="150"/>
  <c r="BT94" i="150"/>
  <c r="BU94" i="150"/>
  <c r="BV94" i="150"/>
  <c r="BW94" i="150"/>
  <c r="BX94" i="150"/>
  <c r="BY94" i="150"/>
  <c r="BZ94" i="150"/>
  <c r="CA94" i="150"/>
  <c r="CB94" i="150"/>
  <c r="BE95" i="150"/>
  <c r="BF95" i="150"/>
  <c r="BG95" i="150"/>
  <c r="BH95" i="150"/>
  <c r="BI95" i="150"/>
  <c r="BJ95" i="150"/>
  <c r="BK95" i="150"/>
  <c r="BL95" i="150"/>
  <c r="BM95" i="150"/>
  <c r="BN95" i="150"/>
  <c r="BO95" i="150"/>
  <c r="BP95" i="150"/>
  <c r="BQ95" i="150"/>
  <c r="BR95" i="150"/>
  <c r="BS95" i="150"/>
  <c r="BT95" i="150"/>
  <c r="BU95" i="150"/>
  <c r="BV95" i="150"/>
  <c r="BW95" i="150"/>
  <c r="BX95" i="150"/>
  <c r="BY95" i="150"/>
  <c r="BZ95" i="150"/>
  <c r="CA95" i="150"/>
  <c r="CB95" i="150"/>
  <c r="BE96" i="150"/>
  <c r="BF96" i="150"/>
  <c r="BG96" i="150"/>
  <c r="BH96" i="150"/>
  <c r="BI96" i="150"/>
  <c r="BJ96" i="150"/>
  <c r="BK96" i="150"/>
  <c r="BL96" i="150"/>
  <c r="BM96" i="150"/>
  <c r="BN96" i="150"/>
  <c r="BO96" i="150"/>
  <c r="BP96" i="150"/>
  <c r="BQ96" i="150"/>
  <c r="BR96" i="150"/>
  <c r="BS96" i="150"/>
  <c r="BT96" i="150"/>
  <c r="BU96" i="150"/>
  <c r="BV96" i="150"/>
  <c r="BW96" i="150"/>
  <c r="BX96" i="150"/>
  <c r="BY96" i="150"/>
  <c r="BZ96" i="150"/>
  <c r="CA96" i="150"/>
  <c r="CB96" i="150"/>
  <c r="BE97" i="150"/>
  <c r="BF97" i="150"/>
  <c r="BG97" i="150"/>
  <c r="BH97" i="150"/>
  <c r="BI97" i="150"/>
  <c r="BJ97" i="150"/>
  <c r="BK97" i="150"/>
  <c r="BL97" i="150"/>
  <c r="BM97" i="150"/>
  <c r="BN97" i="150"/>
  <c r="BO97" i="150"/>
  <c r="BP97" i="150"/>
  <c r="BQ97" i="150"/>
  <c r="BR97" i="150"/>
  <c r="BS97" i="150"/>
  <c r="BT97" i="150"/>
  <c r="BU97" i="150"/>
  <c r="BV97" i="150"/>
  <c r="BW97" i="150"/>
  <c r="BX97" i="150"/>
  <c r="BY97" i="150"/>
  <c r="BZ97" i="150"/>
  <c r="CA97" i="150"/>
  <c r="CB97" i="150"/>
  <c r="BE98" i="150"/>
  <c r="BF98" i="150"/>
  <c r="BG98" i="150"/>
  <c r="BH98" i="150"/>
  <c r="BI98" i="150"/>
  <c r="BJ98" i="150"/>
  <c r="BK98" i="150"/>
  <c r="BL98" i="150"/>
  <c r="BM98" i="150"/>
  <c r="BN98" i="150"/>
  <c r="BO98" i="150"/>
  <c r="BP98" i="150"/>
  <c r="BQ98" i="150"/>
  <c r="BR98" i="150"/>
  <c r="BS98" i="150"/>
  <c r="BT98" i="150"/>
  <c r="BU98" i="150"/>
  <c r="BV98" i="150"/>
  <c r="BW98" i="150"/>
  <c r="BX98" i="150"/>
  <c r="BY98" i="150"/>
  <c r="BZ98" i="150"/>
  <c r="CA98" i="150"/>
  <c r="CB98" i="150"/>
  <c r="BE99" i="150"/>
  <c r="BF99" i="150"/>
  <c r="BG99" i="150"/>
  <c r="BH99" i="150"/>
  <c r="BI99" i="150"/>
  <c r="BJ99" i="150"/>
  <c r="BK99" i="150"/>
  <c r="BL99" i="150"/>
  <c r="BM99" i="150"/>
  <c r="BN99" i="150"/>
  <c r="BO99" i="150"/>
  <c r="BP99" i="150"/>
  <c r="BQ99" i="150"/>
  <c r="BR99" i="150"/>
  <c r="BS99" i="150"/>
  <c r="BT99" i="150"/>
  <c r="BU99" i="150"/>
  <c r="BV99" i="150"/>
  <c r="BW99" i="150"/>
  <c r="BX99" i="150"/>
  <c r="BY99" i="150"/>
  <c r="BZ99" i="150"/>
  <c r="CA99" i="150"/>
  <c r="CB99" i="150"/>
  <c r="BE100" i="150"/>
  <c r="BF100" i="150"/>
  <c r="BG100" i="150"/>
  <c r="BH100" i="150"/>
  <c r="BI100" i="150"/>
  <c r="BJ100" i="150"/>
  <c r="BK100" i="150"/>
  <c r="BL100" i="150"/>
  <c r="BM100" i="150"/>
  <c r="BN100" i="150"/>
  <c r="BO100" i="150"/>
  <c r="BP100" i="150"/>
  <c r="BQ100" i="150"/>
  <c r="BR100" i="150"/>
  <c r="BS100" i="150"/>
  <c r="BT100" i="150"/>
  <c r="BU100" i="150"/>
  <c r="BV100" i="150"/>
  <c r="BW100" i="150"/>
  <c r="BX100" i="150"/>
  <c r="BY100" i="150"/>
  <c r="BZ100" i="150"/>
  <c r="CA100" i="150"/>
  <c r="CB100" i="150"/>
  <c r="BE101" i="150"/>
  <c r="BF101" i="150"/>
  <c r="BG101" i="150"/>
  <c r="BH101" i="150"/>
  <c r="BI101" i="150"/>
  <c r="BJ101" i="150"/>
  <c r="BK101" i="150"/>
  <c r="BL101" i="150"/>
  <c r="BM101" i="150"/>
  <c r="BN101" i="150"/>
  <c r="BO101" i="150"/>
  <c r="BP101" i="150"/>
  <c r="BQ101" i="150"/>
  <c r="BR101" i="150"/>
  <c r="BS101" i="150"/>
  <c r="BT101" i="150"/>
  <c r="BU101" i="150"/>
  <c r="BV101" i="150"/>
  <c r="BW101" i="150"/>
  <c r="BX101" i="150"/>
  <c r="BY101" i="150"/>
  <c r="BZ101" i="150"/>
  <c r="CA101" i="150"/>
  <c r="CB101" i="150"/>
  <c r="BE102" i="150"/>
  <c r="BF102" i="150"/>
  <c r="BG102" i="150"/>
  <c r="BH102" i="150"/>
  <c r="BI102" i="150"/>
  <c r="BJ102" i="150"/>
  <c r="BK102" i="150"/>
  <c r="BL102" i="150"/>
  <c r="BM102" i="150"/>
  <c r="BN102" i="150"/>
  <c r="BO102" i="150"/>
  <c r="BP102" i="150"/>
  <c r="BQ102" i="150"/>
  <c r="BR102" i="150"/>
  <c r="BS102" i="150"/>
  <c r="BT102" i="150"/>
  <c r="BU102" i="150"/>
  <c r="BV102" i="150"/>
  <c r="BW102" i="150"/>
  <c r="BX102" i="150"/>
  <c r="BY102" i="150"/>
  <c r="BZ102" i="150"/>
  <c r="CA102" i="150"/>
  <c r="CB102" i="150"/>
  <c r="BE103" i="150"/>
  <c r="BF103" i="150"/>
  <c r="BG103" i="150"/>
  <c r="BH103" i="150"/>
  <c r="BI103" i="150"/>
  <c r="BJ103" i="150"/>
  <c r="BK103" i="150"/>
  <c r="BL103" i="150"/>
  <c r="BM103" i="150"/>
  <c r="BN103" i="150"/>
  <c r="BO103" i="150"/>
  <c r="BP103" i="150"/>
  <c r="BQ103" i="150"/>
  <c r="BR103" i="150"/>
  <c r="BS103" i="150"/>
  <c r="BT103" i="150"/>
  <c r="BU103" i="150"/>
  <c r="BV103" i="150"/>
  <c r="BW103" i="150"/>
  <c r="BX103" i="150"/>
  <c r="BY103" i="150"/>
  <c r="BZ103" i="150"/>
  <c r="CA103" i="150"/>
  <c r="CB103" i="150"/>
  <c r="BE104" i="150"/>
  <c r="BF104" i="150"/>
  <c r="BG104" i="150"/>
  <c r="BH104" i="150"/>
  <c r="BI104" i="150"/>
  <c r="BJ104" i="150"/>
  <c r="BK104" i="150"/>
  <c r="BL104" i="150"/>
  <c r="BM104" i="150"/>
  <c r="BN104" i="150"/>
  <c r="BO104" i="150"/>
  <c r="BP104" i="150"/>
  <c r="BQ104" i="150"/>
  <c r="BR104" i="150"/>
  <c r="BS104" i="150"/>
  <c r="BT104" i="150"/>
  <c r="BU104" i="150"/>
  <c r="BV104" i="150"/>
  <c r="BW104" i="150"/>
  <c r="BX104" i="150"/>
  <c r="BY104" i="150"/>
  <c r="BZ104" i="150"/>
  <c r="CA104" i="150"/>
  <c r="CB104" i="150"/>
  <c r="BE105" i="150"/>
  <c r="BF105" i="150"/>
  <c r="BG105" i="150"/>
  <c r="BH105" i="150"/>
  <c r="BI105" i="150"/>
  <c r="BJ105" i="150"/>
  <c r="BK105" i="150"/>
  <c r="BL105" i="150"/>
  <c r="BM105" i="150"/>
  <c r="BN105" i="150"/>
  <c r="BO105" i="150"/>
  <c r="BP105" i="150"/>
  <c r="BQ105" i="150"/>
  <c r="BR105" i="150"/>
  <c r="BS105" i="150"/>
  <c r="BT105" i="150"/>
  <c r="BU105" i="150"/>
  <c r="BV105" i="150"/>
  <c r="BW105" i="150"/>
  <c r="BX105" i="150"/>
  <c r="BY105" i="150"/>
  <c r="BZ105" i="150"/>
  <c r="CA105" i="150"/>
  <c r="CB105" i="150"/>
  <c r="BE106" i="150"/>
  <c r="BF106" i="150"/>
  <c r="BG106" i="150"/>
  <c r="BH106" i="150"/>
  <c r="BI106" i="150"/>
  <c r="BJ106" i="150"/>
  <c r="BK106" i="150"/>
  <c r="BL106" i="150"/>
  <c r="BM106" i="150"/>
  <c r="BN106" i="150"/>
  <c r="BO106" i="150"/>
  <c r="BP106" i="150"/>
  <c r="BQ106" i="150"/>
  <c r="BR106" i="150"/>
  <c r="BS106" i="150"/>
  <c r="BT106" i="150"/>
  <c r="BU106" i="150"/>
  <c r="BV106" i="150"/>
  <c r="BW106" i="150"/>
  <c r="BX106" i="150"/>
  <c r="BY106" i="150"/>
  <c r="BZ106" i="150"/>
  <c r="CA106" i="150"/>
  <c r="CB106" i="150"/>
  <c r="BE107" i="150"/>
  <c r="BF107" i="150"/>
  <c r="BG107" i="150"/>
  <c r="BH107" i="150"/>
  <c r="BI107" i="150"/>
  <c r="BJ107" i="150"/>
  <c r="BK107" i="150"/>
  <c r="BL107" i="150"/>
  <c r="BM107" i="150"/>
  <c r="BN107" i="150"/>
  <c r="BO107" i="150"/>
  <c r="BP107" i="150"/>
  <c r="BQ107" i="150"/>
  <c r="BR107" i="150"/>
  <c r="BS107" i="150"/>
  <c r="BT107" i="150"/>
  <c r="BU107" i="150"/>
  <c r="BV107" i="150"/>
  <c r="BW107" i="150"/>
  <c r="BX107" i="150"/>
  <c r="BY107" i="150"/>
  <c r="BZ107" i="150"/>
  <c r="CA107" i="150"/>
  <c r="CB107" i="150"/>
  <c r="BE108" i="150"/>
  <c r="BF108" i="150"/>
  <c r="BG108" i="150"/>
  <c r="BH108" i="150"/>
  <c r="BI108" i="150"/>
  <c r="BJ108" i="150"/>
  <c r="BK108" i="150"/>
  <c r="BL108" i="150"/>
  <c r="BM108" i="150"/>
  <c r="BN108" i="150"/>
  <c r="BO108" i="150"/>
  <c r="BP108" i="150"/>
  <c r="BQ108" i="150"/>
  <c r="BR108" i="150"/>
  <c r="BS108" i="150"/>
  <c r="BT108" i="150"/>
  <c r="BU108" i="150"/>
  <c r="BV108" i="150"/>
  <c r="BW108" i="150"/>
  <c r="BX108" i="150"/>
  <c r="BY108" i="150"/>
  <c r="BZ108" i="150"/>
  <c r="CA108" i="150"/>
  <c r="CB108" i="150"/>
  <c r="BE109" i="150"/>
  <c r="BF109" i="150"/>
  <c r="BG109" i="150"/>
  <c r="BH109" i="150"/>
  <c r="BI109" i="150"/>
  <c r="BJ109" i="150"/>
  <c r="BK109" i="150"/>
  <c r="BL109" i="150"/>
  <c r="BM109" i="150"/>
  <c r="BN109" i="150"/>
  <c r="BO109" i="150"/>
  <c r="BP109" i="150"/>
  <c r="BQ109" i="150"/>
  <c r="BR109" i="150"/>
  <c r="BS109" i="150"/>
  <c r="BT109" i="150"/>
  <c r="BU109" i="150"/>
  <c r="BV109" i="150"/>
  <c r="BW109" i="150"/>
  <c r="BX109" i="150"/>
  <c r="BY109" i="150"/>
  <c r="BZ109" i="150"/>
  <c r="CA109" i="150"/>
  <c r="CB109" i="150"/>
  <c r="BE110" i="150"/>
  <c r="BF110" i="150"/>
  <c r="BG110" i="150"/>
  <c r="BH110" i="150"/>
  <c r="BI110" i="150"/>
  <c r="BJ110" i="150"/>
  <c r="BK110" i="150"/>
  <c r="BL110" i="150"/>
  <c r="BM110" i="150"/>
  <c r="BN110" i="150"/>
  <c r="BO110" i="150"/>
  <c r="BP110" i="150"/>
  <c r="BQ110" i="150"/>
  <c r="BR110" i="150"/>
  <c r="BS110" i="150"/>
  <c r="BT110" i="150"/>
  <c r="BU110" i="150"/>
  <c r="BV110" i="150"/>
  <c r="BW110" i="150"/>
  <c r="BX110" i="150"/>
  <c r="BY110" i="150"/>
  <c r="BZ110" i="150"/>
  <c r="CA110" i="150"/>
  <c r="CB110" i="150"/>
  <c r="BE111" i="150"/>
  <c r="BF111" i="150"/>
  <c r="BG111" i="150"/>
  <c r="BH111" i="150"/>
  <c r="BI111" i="150"/>
  <c r="BJ111" i="150"/>
  <c r="BK111" i="150"/>
  <c r="BL111" i="150"/>
  <c r="BM111" i="150"/>
  <c r="BN111" i="150"/>
  <c r="BO111" i="150"/>
  <c r="BP111" i="150"/>
  <c r="BQ111" i="150"/>
  <c r="BR111" i="150"/>
  <c r="BS111" i="150"/>
  <c r="BT111" i="150"/>
  <c r="BU111" i="150"/>
  <c r="BV111" i="150"/>
  <c r="BW111" i="150"/>
  <c r="BX111" i="150"/>
  <c r="BY111" i="150"/>
  <c r="BZ111" i="150"/>
  <c r="CA111" i="150"/>
  <c r="CB111" i="150"/>
  <c r="BE112" i="150"/>
  <c r="BF112" i="150"/>
  <c r="BG112" i="150"/>
  <c r="BH112" i="150"/>
  <c r="BI112" i="150"/>
  <c r="BJ112" i="150"/>
  <c r="BK112" i="150"/>
  <c r="BL112" i="150"/>
  <c r="BM112" i="150"/>
  <c r="BN112" i="150"/>
  <c r="BO112" i="150"/>
  <c r="BP112" i="150"/>
  <c r="BQ112" i="150"/>
  <c r="BR112" i="150"/>
  <c r="BS112" i="150"/>
  <c r="BT112" i="150"/>
  <c r="BU112" i="150"/>
  <c r="BV112" i="150"/>
  <c r="BW112" i="150"/>
  <c r="BX112" i="150"/>
  <c r="BY112" i="150"/>
  <c r="BZ112" i="150"/>
  <c r="CA112" i="150"/>
  <c r="CB112" i="150"/>
  <c r="BE113" i="150"/>
  <c r="BF113" i="150"/>
  <c r="BG113" i="150"/>
  <c r="BH113" i="150"/>
  <c r="BI113" i="150"/>
  <c r="BJ113" i="150"/>
  <c r="BK113" i="150"/>
  <c r="BL113" i="150"/>
  <c r="BM113" i="150"/>
  <c r="BN113" i="150"/>
  <c r="BO113" i="150"/>
  <c r="BP113" i="150"/>
  <c r="BQ113" i="150"/>
  <c r="BR113" i="150"/>
  <c r="BS113" i="150"/>
  <c r="BT113" i="150"/>
  <c r="BU113" i="150"/>
  <c r="BV113" i="150"/>
  <c r="BW113" i="150"/>
  <c r="BX113" i="150"/>
  <c r="BY113" i="150"/>
  <c r="BZ113" i="150"/>
  <c r="CA113" i="150"/>
  <c r="CB113" i="150"/>
  <c r="BE114" i="150"/>
  <c r="BF114" i="150"/>
  <c r="BG114" i="150"/>
  <c r="BH114" i="150"/>
  <c r="BI114" i="150"/>
  <c r="BJ114" i="150"/>
  <c r="BK114" i="150"/>
  <c r="BL114" i="150"/>
  <c r="BM114" i="150"/>
  <c r="BN114" i="150"/>
  <c r="BO114" i="150"/>
  <c r="BP114" i="150"/>
  <c r="BQ114" i="150"/>
  <c r="BR114" i="150"/>
  <c r="BS114" i="150"/>
  <c r="BT114" i="150"/>
  <c r="BU114" i="150"/>
  <c r="BV114" i="150"/>
  <c r="BW114" i="150"/>
  <c r="BX114" i="150"/>
  <c r="BY114" i="150"/>
  <c r="BZ114" i="150"/>
  <c r="CA114" i="150"/>
  <c r="CB114" i="150"/>
  <c r="BE115" i="150"/>
  <c r="BF115" i="150"/>
  <c r="BG115" i="150"/>
  <c r="BH115" i="150"/>
  <c r="BI115" i="150"/>
  <c r="BJ115" i="150"/>
  <c r="BK115" i="150"/>
  <c r="BL115" i="150"/>
  <c r="BM115" i="150"/>
  <c r="BN115" i="150"/>
  <c r="BO115" i="150"/>
  <c r="BP115" i="150"/>
  <c r="BQ115" i="150"/>
  <c r="BR115" i="150"/>
  <c r="BS115" i="150"/>
  <c r="BT115" i="150"/>
  <c r="BU115" i="150"/>
  <c r="BV115" i="150"/>
  <c r="BW115" i="150"/>
  <c r="BX115" i="150"/>
  <c r="BY115" i="150"/>
  <c r="BZ115" i="150"/>
  <c r="CA115" i="150"/>
  <c r="CB115" i="150"/>
  <c r="BE116" i="150"/>
  <c r="BF116" i="150"/>
  <c r="BG116" i="150"/>
  <c r="BH116" i="150"/>
  <c r="BI116" i="150"/>
  <c r="BJ116" i="150"/>
  <c r="BK116" i="150"/>
  <c r="BL116" i="150"/>
  <c r="BM116" i="150"/>
  <c r="BN116" i="150"/>
  <c r="BO116" i="150"/>
  <c r="BP116" i="150"/>
  <c r="BQ116" i="150"/>
  <c r="BR116" i="150"/>
  <c r="BS116" i="150"/>
  <c r="BT116" i="150"/>
  <c r="BU116" i="150"/>
  <c r="BV116" i="150"/>
  <c r="BW116" i="150"/>
  <c r="BX116" i="150"/>
  <c r="BY116" i="150"/>
  <c r="BZ116" i="150"/>
  <c r="CA116" i="150"/>
  <c r="CB116" i="150"/>
  <c r="BE117" i="150"/>
  <c r="BF117" i="150"/>
  <c r="BG117" i="150"/>
  <c r="BH117" i="150"/>
  <c r="BI117" i="150"/>
  <c r="BJ117" i="150"/>
  <c r="BK117" i="150"/>
  <c r="BL117" i="150"/>
  <c r="BM117" i="150"/>
  <c r="BN117" i="150"/>
  <c r="BO117" i="150"/>
  <c r="BP117" i="150"/>
  <c r="BQ117" i="150"/>
  <c r="BR117" i="150"/>
  <c r="BS117" i="150"/>
  <c r="BT117" i="150"/>
  <c r="BU117" i="150"/>
  <c r="BV117" i="150"/>
  <c r="BW117" i="150"/>
  <c r="BX117" i="150"/>
  <c r="BY117" i="150"/>
  <c r="BZ117" i="150"/>
  <c r="CA117" i="150"/>
  <c r="CB117" i="150"/>
  <c r="BE118" i="150"/>
  <c r="BF118" i="150"/>
  <c r="BG118" i="150"/>
  <c r="BH118" i="150"/>
  <c r="BI118" i="150"/>
  <c r="BJ118" i="150"/>
  <c r="BK118" i="150"/>
  <c r="BL118" i="150"/>
  <c r="BM118" i="150"/>
  <c r="BN118" i="150"/>
  <c r="BO118" i="150"/>
  <c r="BP118" i="150"/>
  <c r="BQ118" i="150"/>
  <c r="BR118" i="150"/>
  <c r="BS118" i="150"/>
  <c r="BT118" i="150"/>
  <c r="BU118" i="150"/>
  <c r="BV118" i="150"/>
  <c r="BW118" i="150"/>
  <c r="BX118" i="150"/>
  <c r="BY118" i="150"/>
  <c r="BZ118" i="150"/>
  <c r="CA118" i="150"/>
  <c r="CB118" i="150"/>
  <c r="BE119" i="150"/>
  <c r="BF119" i="150"/>
  <c r="BG119" i="150"/>
  <c r="BH119" i="150"/>
  <c r="BI119" i="150"/>
  <c r="BJ119" i="150"/>
  <c r="BK119" i="150"/>
  <c r="BL119" i="150"/>
  <c r="BM119" i="150"/>
  <c r="BN119" i="150"/>
  <c r="BO119" i="150"/>
  <c r="BP119" i="150"/>
  <c r="BQ119" i="150"/>
  <c r="BR119" i="150"/>
  <c r="BS119" i="150"/>
  <c r="BT119" i="150"/>
  <c r="BU119" i="150"/>
  <c r="BV119" i="150"/>
  <c r="BW119" i="150"/>
  <c r="BX119" i="150"/>
  <c r="BY119" i="150"/>
  <c r="BZ119" i="150"/>
  <c r="CA119" i="150"/>
  <c r="CB119" i="150"/>
  <c r="BE120" i="150"/>
  <c r="BF120" i="150"/>
  <c r="BG120" i="150"/>
  <c r="BH120" i="150"/>
  <c r="BI120" i="150"/>
  <c r="BJ120" i="150"/>
  <c r="BK120" i="150"/>
  <c r="BL120" i="150"/>
  <c r="BM120" i="150"/>
  <c r="BN120" i="150"/>
  <c r="BO120" i="150"/>
  <c r="BP120" i="150"/>
  <c r="BQ120" i="150"/>
  <c r="BR120" i="150"/>
  <c r="BS120" i="150"/>
  <c r="BT120" i="150"/>
  <c r="BU120" i="150"/>
  <c r="BV120" i="150"/>
  <c r="BW120" i="150"/>
  <c r="BX120" i="150"/>
  <c r="BY120" i="150"/>
  <c r="BZ120" i="150"/>
  <c r="CA120" i="150"/>
  <c r="CB120" i="150"/>
  <c r="BE121" i="150"/>
  <c r="BF121" i="150"/>
  <c r="BG121" i="150"/>
  <c r="BH121" i="150"/>
  <c r="BI121" i="150"/>
  <c r="BJ121" i="150"/>
  <c r="BK121" i="150"/>
  <c r="BL121" i="150"/>
  <c r="BM121" i="150"/>
  <c r="BN121" i="150"/>
  <c r="BO121" i="150"/>
  <c r="BP121" i="150"/>
  <c r="BQ121" i="150"/>
  <c r="BR121" i="150"/>
  <c r="BS121" i="150"/>
  <c r="BT121" i="150"/>
  <c r="BU121" i="150"/>
  <c r="BV121" i="150"/>
  <c r="BW121" i="150"/>
  <c r="BX121" i="150"/>
  <c r="BY121" i="150"/>
  <c r="BZ121" i="150"/>
  <c r="CA121" i="150"/>
  <c r="CB121" i="150"/>
  <c r="BE122" i="150"/>
  <c r="BF122" i="150"/>
  <c r="BG122" i="150"/>
  <c r="BH122" i="150"/>
  <c r="BI122" i="150"/>
  <c r="BJ122" i="150"/>
  <c r="BK122" i="150"/>
  <c r="BL122" i="150"/>
  <c r="BM122" i="150"/>
  <c r="BN122" i="150"/>
  <c r="BO122" i="150"/>
  <c r="BP122" i="150"/>
  <c r="BQ122" i="150"/>
  <c r="BR122" i="150"/>
  <c r="BS122" i="150"/>
  <c r="BT122" i="150"/>
  <c r="BU122" i="150"/>
  <c r="BV122" i="150"/>
  <c r="BW122" i="150"/>
  <c r="BX122" i="150"/>
  <c r="BY122" i="150"/>
  <c r="BZ122" i="150"/>
  <c r="CA122" i="150"/>
  <c r="CB122" i="150"/>
  <c r="BE123" i="150"/>
  <c r="BF123" i="150"/>
  <c r="BG123" i="150"/>
  <c r="BH123" i="150"/>
  <c r="BI123" i="150"/>
  <c r="BJ123" i="150"/>
  <c r="BK123" i="150"/>
  <c r="BL123" i="150"/>
  <c r="BM123" i="150"/>
  <c r="BN123" i="150"/>
  <c r="BO123" i="150"/>
  <c r="BP123" i="150"/>
  <c r="BQ123" i="150"/>
  <c r="BR123" i="150"/>
  <c r="BS123" i="150"/>
  <c r="BT123" i="150"/>
  <c r="BU123" i="150"/>
  <c r="BV123" i="150"/>
  <c r="BW123" i="150"/>
  <c r="BX123" i="150"/>
  <c r="BY123" i="150"/>
  <c r="BZ123" i="150"/>
  <c r="CA123" i="150"/>
  <c r="CB123" i="150"/>
  <c r="BE124" i="150"/>
  <c r="BF124" i="150"/>
  <c r="BG124" i="150"/>
  <c r="BH124" i="150"/>
  <c r="BI124" i="150"/>
  <c r="BJ124" i="150"/>
  <c r="BK124" i="150"/>
  <c r="BL124" i="150"/>
  <c r="BM124" i="150"/>
  <c r="BN124" i="150"/>
  <c r="BO124" i="150"/>
  <c r="BP124" i="150"/>
  <c r="BQ124" i="150"/>
  <c r="BR124" i="150"/>
  <c r="BS124" i="150"/>
  <c r="BT124" i="150"/>
  <c r="BU124" i="150"/>
  <c r="BV124" i="150"/>
  <c r="BW124" i="150"/>
  <c r="BX124" i="150"/>
  <c r="BY124" i="150"/>
  <c r="BZ124" i="150"/>
  <c r="CA124" i="150"/>
  <c r="CB124" i="150"/>
  <c r="BE125" i="150"/>
  <c r="BF125" i="150"/>
  <c r="BG125" i="150"/>
  <c r="BH125" i="150"/>
  <c r="BI125" i="150"/>
  <c r="BJ125" i="150"/>
  <c r="BK125" i="150"/>
  <c r="BL125" i="150"/>
  <c r="BM125" i="150"/>
  <c r="BN125" i="150"/>
  <c r="BO125" i="150"/>
  <c r="BP125" i="150"/>
  <c r="BQ125" i="150"/>
  <c r="BR125" i="150"/>
  <c r="BS125" i="150"/>
  <c r="BT125" i="150"/>
  <c r="BU125" i="150"/>
  <c r="BV125" i="150"/>
  <c r="BW125" i="150"/>
  <c r="BX125" i="150"/>
  <c r="BY125" i="150"/>
  <c r="BZ125" i="150"/>
  <c r="CA125" i="150"/>
  <c r="CB125" i="150"/>
  <c r="BE131" i="150"/>
  <c r="BF131" i="150"/>
  <c r="BG131" i="150"/>
  <c r="BH131" i="150"/>
  <c r="BI131" i="150"/>
  <c r="BJ131" i="150"/>
  <c r="BK131" i="150"/>
  <c r="BL131" i="150"/>
  <c r="BM131" i="150"/>
  <c r="BN131" i="150"/>
  <c r="BO131" i="150"/>
  <c r="BP131" i="150"/>
  <c r="BQ131" i="150"/>
  <c r="BR131" i="150"/>
  <c r="BS131" i="150"/>
  <c r="BT131" i="150"/>
  <c r="BU131" i="150"/>
  <c r="BV131" i="150"/>
  <c r="BW131" i="150"/>
  <c r="BX131" i="150"/>
  <c r="BY131" i="150"/>
  <c r="BZ131" i="150"/>
  <c r="CA131" i="150"/>
  <c r="CB131" i="150"/>
  <c r="BE132" i="150"/>
  <c r="BF132" i="150"/>
  <c r="BG132" i="150"/>
  <c r="BH132" i="150"/>
  <c r="BI132" i="150"/>
  <c r="BJ132" i="150"/>
  <c r="BK132" i="150"/>
  <c r="BL132" i="150"/>
  <c r="BM132" i="150"/>
  <c r="BN132" i="150"/>
  <c r="BO132" i="150"/>
  <c r="BP132" i="150"/>
  <c r="BQ132" i="150"/>
  <c r="BR132" i="150"/>
  <c r="BS132" i="150"/>
  <c r="BT132" i="150"/>
  <c r="BU132" i="150"/>
  <c r="BV132" i="150"/>
  <c r="BW132" i="150"/>
  <c r="BX132" i="150"/>
  <c r="BY132" i="150"/>
  <c r="BZ132" i="150"/>
  <c r="CA132" i="150"/>
  <c r="CB132" i="150"/>
  <c r="BE133" i="150"/>
  <c r="BF133" i="150"/>
  <c r="BG133" i="150"/>
  <c r="BH133" i="150"/>
  <c r="BI133" i="150"/>
  <c r="BJ133" i="150"/>
  <c r="BK133" i="150"/>
  <c r="BL133" i="150"/>
  <c r="BM133" i="150"/>
  <c r="BN133" i="150"/>
  <c r="BO133" i="150"/>
  <c r="BP133" i="150"/>
  <c r="BQ133" i="150"/>
  <c r="BR133" i="150"/>
  <c r="BS133" i="150"/>
  <c r="BT133" i="150"/>
  <c r="BU133" i="150"/>
  <c r="BV133" i="150"/>
  <c r="BW133" i="150"/>
  <c r="BX133" i="150"/>
  <c r="BY133" i="150"/>
  <c r="BZ133" i="150"/>
  <c r="CA133" i="150"/>
  <c r="CB133" i="150"/>
  <c r="BE138" i="150"/>
  <c r="BF138" i="150"/>
  <c r="BG138" i="150"/>
  <c r="BH138" i="150"/>
  <c r="BI138" i="150"/>
  <c r="BJ138" i="150"/>
  <c r="BK138" i="150"/>
  <c r="BL138" i="150"/>
  <c r="BM138" i="150"/>
  <c r="BN138" i="150"/>
  <c r="BO138" i="150"/>
  <c r="BP138" i="150"/>
  <c r="BQ138" i="150"/>
  <c r="BR138" i="150"/>
  <c r="BS138" i="150"/>
  <c r="BT138" i="150"/>
  <c r="BU138" i="150"/>
  <c r="BV138" i="150"/>
  <c r="BW138" i="150"/>
  <c r="BX138" i="150"/>
  <c r="BY138" i="150"/>
  <c r="BZ138" i="150"/>
  <c r="CA138" i="150"/>
  <c r="CB138" i="150"/>
  <c r="BE139" i="150"/>
  <c r="BF139" i="150"/>
  <c r="BG139" i="150"/>
  <c r="BH139" i="150"/>
  <c r="BI139" i="150"/>
  <c r="BJ139" i="150"/>
  <c r="BK139" i="150"/>
  <c r="BL139" i="150"/>
  <c r="BM139" i="150"/>
  <c r="BN139" i="150"/>
  <c r="BO139" i="150"/>
  <c r="BP139" i="150"/>
  <c r="BQ139" i="150"/>
  <c r="BR139" i="150"/>
  <c r="BS139" i="150"/>
  <c r="BT139" i="150"/>
  <c r="BU139" i="150"/>
  <c r="BV139" i="150"/>
  <c r="BW139" i="150"/>
  <c r="BX139" i="150"/>
  <c r="BY139" i="150"/>
  <c r="BZ139" i="150"/>
  <c r="CA139" i="150"/>
  <c r="CB139" i="150"/>
  <c r="BE140" i="150"/>
  <c r="BF140" i="150"/>
  <c r="BG140" i="150"/>
  <c r="BH140" i="150"/>
  <c r="BI140" i="150"/>
  <c r="BJ140" i="150"/>
  <c r="BK140" i="150"/>
  <c r="BL140" i="150"/>
  <c r="BM140" i="150"/>
  <c r="BN140" i="150"/>
  <c r="BO140" i="150"/>
  <c r="BP140" i="150"/>
  <c r="BQ140" i="150"/>
  <c r="BR140" i="150"/>
  <c r="BS140" i="150"/>
  <c r="BT140" i="150"/>
  <c r="BU140" i="150"/>
  <c r="BV140" i="150"/>
  <c r="BW140" i="150"/>
  <c r="BX140" i="150"/>
  <c r="BY140" i="150"/>
  <c r="BZ140" i="150"/>
  <c r="CA140" i="150"/>
  <c r="CB140" i="150"/>
  <c r="BE141" i="150"/>
  <c r="BF141" i="150"/>
  <c r="BG141" i="150"/>
  <c r="BH141" i="150"/>
  <c r="BI141" i="150"/>
  <c r="BJ141" i="150"/>
  <c r="BK141" i="150"/>
  <c r="BL141" i="150"/>
  <c r="BM141" i="150"/>
  <c r="BN141" i="150"/>
  <c r="BO141" i="150"/>
  <c r="BP141" i="150"/>
  <c r="BQ141" i="150"/>
  <c r="BR141" i="150"/>
  <c r="BS141" i="150"/>
  <c r="BT141" i="150"/>
  <c r="BU141" i="150"/>
  <c r="BV141" i="150"/>
  <c r="BW141" i="150"/>
  <c r="BX141" i="150"/>
  <c r="BY141" i="150"/>
  <c r="BZ141" i="150"/>
  <c r="CA141" i="150"/>
  <c r="CB141" i="150"/>
  <c r="G142" i="150"/>
  <c r="BE145" i="150"/>
  <c r="BF145" i="150"/>
  <c r="BG145" i="150"/>
  <c r="BH145" i="150"/>
  <c r="BI145" i="150"/>
  <c r="BJ145" i="150"/>
  <c r="BK145" i="150"/>
  <c r="BL145" i="150"/>
  <c r="BM145" i="150"/>
  <c r="BN145" i="150"/>
  <c r="BO145" i="150"/>
  <c r="BP145" i="150"/>
  <c r="BQ145" i="150"/>
  <c r="BR145" i="150"/>
  <c r="BS145" i="150"/>
  <c r="BT145" i="150"/>
  <c r="BU145" i="150"/>
  <c r="BV145" i="150"/>
  <c r="BW145" i="150"/>
  <c r="BX145" i="150"/>
  <c r="BY145" i="150"/>
  <c r="BZ145" i="150"/>
  <c r="BE146" i="150"/>
  <c r="BF146" i="150"/>
  <c r="BG146" i="150"/>
  <c r="BH146" i="150"/>
  <c r="BI146" i="150"/>
  <c r="BJ146" i="150"/>
  <c r="BK146" i="150"/>
  <c r="BL146" i="150"/>
  <c r="BM146" i="150"/>
  <c r="BN146" i="150"/>
  <c r="BO146" i="150"/>
  <c r="BP146" i="150"/>
  <c r="BQ146" i="150"/>
  <c r="BR146" i="150"/>
  <c r="BS146" i="150"/>
  <c r="BT146" i="150"/>
  <c r="BU146" i="150"/>
  <c r="BV146" i="150"/>
  <c r="BW146" i="150"/>
  <c r="BX146" i="150"/>
  <c r="BY146" i="150"/>
  <c r="BZ146" i="150"/>
  <c r="BE147" i="150"/>
  <c r="BF147" i="150"/>
  <c r="BG147" i="150"/>
  <c r="BH147" i="150"/>
  <c r="BI147" i="150"/>
  <c r="BJ147" i="150"/>
  <c r="BJ329" i="150" s="1"/>
  <c r="BK147" i="150"/>
  <c r="BL147" i="150"/>
  <c r="BM147" i="150"/>
  <c r="BN147" i="150"/>
  <c r="BO147" i="150"/>
  <c r="BP147" i="150"/>
  <c r="BQ147" i="150"/>
  <c r="BR147" i="150"/>
  <c r="BS147" i="150"/>
  <c r="BT147" i="150"/>
  <c r="BU147" i="150"/>
  <c r="BV147" i="150"/>
  <c r="BW147" i="150"/>
  <c r="BX147" i="150"/>
  <c r="BY147" i="150"/>
  <c r="BZ147" i="150"/>
  <c r="BE148" i="150"/>
  <c r="BF148" i="150"/>
  <c r="BG148" i="150"/>
  <c r="BH148" i="150"/>
  <c r="BI148" i="150"/>
  <c r="BJ148" i="150"/>
  <c r="BK148" i="150"/>
  <c r="BL148" i="150"/>
  <c r="BM148" i="150"/>
  <c r="BN148" i="150"/>
  <c r="BO148" i="150"/>
  <c r="BP148" i="150"/>
  <c r="BQ148" i="150"/>
  <c r="BR148" i="150"/>
  <c r="BS148" i="150"/>
  <c r="BT148" i="150"/>
  <c r="BU148" i="150"/>
  <c r="BV148" i="150"/>
  <c r="BW148" i="150"/>
  <c r="BX148" i="150"/>
  <c r="BY148" i="150"/>
  <c r="BZ148" i="150"/>
  <c r="BE149" i="150"/>
  <c r="BF149" i="150"/>
  <c r="BG149" i="150"/>
  <c r="BH149" i="150"/>
  <c r="BI149" i="150"/>
  <c r="BJ149" i="150"/>
  <c r="BK149" i="150"/>
  <c r="BL149" i="150"/>
  <c r="BM149" i="150"/>
  <c r="BN149" i="150"/>
  <c r="BO149" i="150"/>
  <c r="BP149" i="150"/>
  <c r="BQ149" i="150"/>
  <c r="BR149" i="150"/>
  <c r="BS149" i="150"/>
  <c r="BT149" i="150"/>
  <c r="BU149" i="150"/>
  <c r="BV149" i="150"/>
  <c r="BW149" i="150"/>
  <c r="BX149" i="150"/>
  <c r="BY149" i="150"/>
  <c r="BZ149" i="150"/>
  <c r="CA149" i="150"/>
  <c r="CB149" i="150"/>
  <c r="BE150" i="150"/>
  <c r="BF150" i="150"/>
  <c r="BG150" i="150"/>
  <c r="BH150" i="150"/>
  <c r="BI150" i="150"/>
  <c r="BJ150" i="150"/>
  <c r="BK150" i="150"/>
  <c r="BL150" i="150"/>
  <c r="BM150" i="150"/>
  <c r="BN150" i="150"/>
  <c r="BO150" i="150"/>
  <c r="BP150" i="150"/>
  <c r="BQ150" i="150"/>
  <c r="BR150" i="150"/>
  <c r="BS150" i="150"/>
  <c r="BT150" i="150"/>
  <c r="BU150" i="150"/>
  <c r="BV150" i="150"/>
  <c r="BW150" i="150"/>
  <c r="BX150" i="150"/>
  <c r="BY150" i="150"/>
  <c r="BZ150" i="150"/>
  <c r="CA150" i="150"/>
  <c r="CB150" i="150"/>
  <c r="BE151" i="150"/>
  <c r="BF151" i="150"/>
  <c r="BG151" i="150"/>
  <c r="BH151" i="150"/>
  <c r="BI151" i="150"/>
  <c r="BJ151" i="150"/>
  <c r="BK151" i="150"/>
  <c r="BL151" i="150"/>
  <c r="BM151" i="150"/>
  <c r="BN151" i="150"/>
  <c r="BO151" i="150"/>
  <c r="BP151" i="150"/>
  <c r="BQ151" i="150"/>
  <c r="BR151" i="150"/>
  <c r="BS151" i="150"/>
  <c r="BT151" i="150"/>
  <c r="BU151" i="150"/>
  <c r="BV151" i="150"/>
  <c r="BW151" i="150"/>
  <c r="BX151" i="150"/>
  <c r="BY151" i="150"/>
  <c r="BZ151" i="150"/>
  <c r="CA151" i="150"/>
  <c r="CB151" i="150"/>
  <c r="BE152" i="150"/>
  <c r="BF152" i="150"/>
  <c r="BG152" i="150"/>
  <c r="BH152" i="150"/>
  <c r="BI152" i="150"/>
  <c r="BJ152" i="150"/>
  <c r="BK152" i="150"/>
  <c r="BL152" i="150"/>
  <c r="BM152" i="150"/>
  <c r="BN152" i="150"/>
  <c r="BO152" i="150"/>
  <c r="BP152" i="150"/>
  <c r="BQ152" i="150"/>
  <c r="BR152" i="150"/>
  <c r="BS152" i="150"/>
  <c r="BT152" i="150"/>
  <c r="BU152" i="150"/>
  <c r="BV152" i="150"/>
  <c r="BW152" i="150"/>
  <c r="BX152" i="150"/>
  <c r="BY152" i="150"/>
  <c r="BZ152" i="150"/>
  <c r="CA152" i="150"/>
  <c r="CB152" i="150"/>
  <c r="BE153" i="150"/>
  <c r="BF153" i="150"/>
  <c r="BG153" i="150"/>
  <c r="BH153" i="150"/>
  <c r="BI153" i="150"/>
  <c r="BJ153" i="150"/>
  <c r="BK153" i="150"/>
  <c r="BL153" i="150"/>
  <c r="BM153" i="150"/>
  <c r="BN153" i="150"/>
  <c r="BO153" i="150"/>
  <c r="BP153" i="150"/>
  <c r="BQ153" i="150"/>
  <c r="BR153" i="150"/>
  <c r="BS153" i="150"/>
  <c r="BT153" i="150"/>
  <c r="BU153" i="150"/>
  <c r="BV153" i="150"/>
  <c r="BW153" i="150"/>
  <c r="BX153" i="150"/>
  <c r="BY153" i="150"/>
  <c r="BZ153" i="150"/>
  <c r="CA153" i="150"/>
  <c r="CB153" i="150"/>
  <c r="BE154" i="150"/>
  <c r="BF154" i="150"/>
  <c r="BG154" i="150"/>
  <c r="BH154" i="150"/>
  <c r="BI154" i="150"/>
  <c r="BJ154" i="150"/>
  <c r="BK154" i="150"/>
  <c r="BL154" i="150"/>
  <c r="BM154" i="150"/>
  <c r="BN154" i="150"/>
  <c r="BO154" i="150"/>
  <c r="BP154" i="150"/>
  <c r="BQ154" i="150"/>
  <c r="BR154" i="150"/>
  <c r="BS154" i="150"/>
  <c r="BT154" i="150"/>
  <c r="BU154" i="150"/>
  <c r="BV154" i="150"/>
  <c r="BW154" i="150"/>
  <c r="BX154" i="150"/>
  <c r="BY154" i="150"/>
  <c r="BZ154" i="150"/>
  <c r="CA154" i="150"/>
  <c r="CB154" i="150"/>
  <c r="BE155" i="150"/>
  <c r="BF155" i="150"/>
  <c r="BG155" i="150"/>
  <c r="BH155" i="150"/>
  <c r="BI155" i="150"/>
  <c r="BJ155" i="150"/>
  <c r="BK155" i="150"/>
  <c r="BL155" i="150"/>
  <c r="BM155" i="150"/>
  <c r="BN155" i="150"/>
  <c r="BO155" i="150"/>
  <c r="BP155" i="150"/>
  <c r="BQ155" i="150"/>
  <c r="BR155" i="150"/>
  <c r="BS155" i="150"/>
  <c r="BT155" i="150"/>
  <c r="BU155" i="150"/>
  <c r="BV155" i="150"/>
  <c r="BW155" i="150"/>
  <c r="BX155" i="150"/>
  <c r="BY155" i="150"/>
  <c r="BZ155" i="150"/>
  <c r="CA155" i="150"/>
  <c r="CB155" i="150"/>
  <c r="BE156" i="150"/>
  <c r="BF156" i="150"/>
  <c r="BG156" i="150"/>
  <c r="BH156" i="150"/>
  <c r="BI156" i="150"/>
  <c r="BJ156" i="150"/>
  <c r="BK156" i="150"/>
  <c r="BL156" i="150"/>
  <c r="BM156" i="150"/>
  <c r="BN156" i="150"/>
  <c r="BO156" i="150"/>
  <c r="BP156" i="150"/>
  <c r="BQ156" i="150"/>
  <c r="BR156" i="150"/>
  <c r="BS156" i="150"/>
  <c r="BT156" i="150"/>
  <c r="BU156" i="150"/>
  <c r="BV156" i="150"/>
  <c r="BW156" i="150"/>
  <c r="BX156" i="150"/>
  <c r="BY156" i="150"/>
  <c r="BZ156" i="150"/>
  <c r="CA156" i="150"/>
  <c r="CB156" i="150"/>
  <c r="BE157" i="150"/>
  <c r="BF157" i="150"/>
  <c r="BG157" i="150"/>
  <c r="BH157" i="150"/>
  <c r="BI157" i="150"/>
  <c r="BJ157" i="150"/>
  <c r="BK157" i="150"/>
  <c r="BL157" i="150"/>
  <c r="BM157" i="150"/>
  <c r="BN157" i="150"/>
  <c r="BO157" i="150"/>
  <c r="BP157" i="150"/>
  <c r="BQ157" i="150"/>
  <c r="BR157" i="150"/>
  <c r="BS157" i="150"/>
  <c r="BT157" i="150"/>
  <c r="BU157" i="150"/>
  <c r="BV157" i="150"/>
  <c r="BW157" i="150"/>
  <c r="BX157" i="150"/>
  <c r="BY157" i="150"/>
  <c r="BZ157" i="150"/>
  <c r="CA157" i="150"/>
  <c r="CB157" i="150"/>
  <c r="BE158" i="150"/>
  <c r="BF158" i="150"/>
  <c r="BG158" i="150"/>
  <c r="BH158" i="150"/>
  <c r="BI158" i="150"/>
  <c r="BJ158" i="150"/>
  <c r="BK158" i="150"/>
  <c r="BL158" i="150"/>
  <c r="BM158" i="150"/>
  <c r="BN158" i="150"/>
  <c r="BO158" i="150"/>
  <c r="BP158" i="150"/>
  <c r="BQ158" i="150"/>
  <c r="BR158" i="150"/>
  <c r="BS158" i="150"/>
  <c r="BT158" i="150"/>
  <c r="BU158" i="150"/>
  <c r="BV158" i="150"/>
  <c r="BW158" i="150"/>
  <c r="BX158" i="150"/>
  <c r="BY158" i="150"/>
  <c r="BZ158" i="150"/>
  <c r="CA158" i="150"/>
  <c r="CB158" i="150"/>
  <c r="BE159" i="150"/>
  <c r="BF159" i="150"/>
  <c r="BG159" i="150"/>
  <c r="BH159" i="150"/>
  <c r="BI159" i="150"/>
  <c r="BJ159" i="150"/>
  <c r="BK159" i="150"/>
  <c r="BL159" i="150"/>
  <c r="BM159" i="150"/>
  <c r="BN159" i="150"/>
  <c r="BO159" i="150"/>
  <c r="BP159" i="150"/>
  <c r="BQ159" i="150"/>
  <c r="BR159" i="150"/>
  <c r="BS159" i="150"/>
  <c r="BT159" i="150"/>
  <c r="BU159" i="150"/>
  <c r="BV159" i="150"/>
  <c r="BW159" i="150"/>
  <c r="BX159" i="150"/>
  <c r="BY159" i="150"/>
  <c r="BZ159" i="150"/>
  <c r="CA159" i="150"/>
  <c r="CB159" i="150"/>
  <c r="BE160" i="150"/>
  <c r="BF160" i="150"/>
  <c r="BG160" i="150"/>
  <c r="BH160" i="150"/>
  <c r="BI160" i="150"/>
  <c r="BJ160" i="150"/>
  <c r="BK160" i="150"/>
  <c r="BL160" i="150"/>
  <c r="BM160" i="150"/>
  <c r="BN160" i="150"/>
  <c r="BO160" i="150"/>
  <c r="BP160" i="150"/>
  <c r="BQ160" i="150"/>
  <c r="BR160" i="150"/>
  <c r="BS160" i="150"/>
  <c r="BT160" i="150"/>
  <c r="BU160" i="150"/>
  <c r="BV160" i="150"/>
  <c r="BW160" i="150"/>
  <c r="BX160" i="150"/>
  <c r="BY160" i="150"/>
  <c r="BZ160" i="150"/>
  <c r="CA160" i="150"/>
  <c r="CB160" i="150"/>
  <c r="BE161" i="150"/>
  <c r="BF161" i="150"/>
  <c r="BG161" i="150"/>
  <c r="BH161" i="150"/>
  <c r="BI161" i="150"/>
  <c r="BJ161" i="150"/>
  <c r="BK161" i="150"/>
  <c r="BL161" i="150"/>
  <c r="BM161" i="150"/>
  <c r="BN161" i="150"/>
  <c r="BO161" i="150"/>
  <c r="BP161" i="150"/>
  <c r="BQ161" i="150"/>
  <c r="BR161" i="150"/>
  <c r="BS161" i="150"/>
  <c r="BT161" i="150"/>
  <c r="BU161" i="150"/>
  <c r="BV161" i="150"/>
  <c r="BW161" i="150"/>
  <c r="BX161" i="150"/>
  <c r="BY161" i="150"/>
  <c r="BZ161" i="150"/>
  <c r="CA161" i="150"/>
  <c r="CB161" i="150"/>
  <c r="BE162" i="150"/>
  <c r="BF162" i="150"/>
  <c r="BG162" i="150"/>
  <c r="BH162" i="150"/>
  <c r="BI162" i="150"/>
  <c r="BJ162" i="150"/>
  <c r="BK162" i="150"/>
  <c r="BL162" i="150"/>
  <c r="BM162" i="150"/>
  <c r="BN162" i="150"/>
  <c r="BO162" i="150"/>
  <c r="BP162" i="150"/>
  <c r="BQ162" i="150"/>
  <c r="BR162" i="150"/>
  <c r="BS162" i="150"/>
  <c r="BT162" i="150"/>
  <c r="BU162" i="150"/>
  <c r="BV162" i="150"/>
  <c r="BW162" i="150"/>
  <c r="BX162" i="150"/>
  <c r="BY162" i="150"/>
  <c r="BZ162" i="150"/>
  <c r="CA162" i="150"/>
  <c r="CB162" i="150"/>
  <c r="BE163" i="150"/>
  <c r="BF163" i="150"/>
  <c r="BG163" i="150"/>
  <c r="BH163" i="150"/>
  <c r="BI163" i="150"/>
  <c r="BJ163" i="150"/>
  <c r="BK163" i="150"/>
  <c r="BL163" i="150"/>
  <c r="BM163" i="150"/>
  <c r="BN163" i="150"/>
  <c r="BO163" i="150"/>
  <c r="BP163" i="150"/>
  <c r="BQ163" i="150"/>
  <c r="BR163" i="150"/>
  <c r="BS163" i="150"/>
  <c r="BT163" i="150"/>
  <c r="BU163" i="150"/>
  <c r="BV163" i="150"/>
  <c r="BW163" i="150"/>
  <c r="BX163" i="150"/>
  <c r="BY163" i="150"/>
  <c r="BZ163" i="150"/>
  <c r="CA163" i="150"/>
  <c r="CB163" i="150"/>
  <c r="BE164" i="150"/>
  <c r="BF164" i="150"/>
  <c r="BG164" i="150"/>
  <c r="BH164" i="150"/>
  <c r="BI164" i="150"/>
  <c r="BJ164" i="150"/>
  <c r="BK164" i="150"/>
  <c r="BL164" i="150"/>
  <c r="BM164" i="150"/>
  <c r="BN164" i="150"/>
  <c r="BO164" i="150"/>
  <c r="BP164" i="150"/>
  <c r="BQ164" i="150"/>
  <c r="BR164" i="150"/>
  <c r="BS164" i="150"/>
  <c r="BT164" i="150"/>
  <c r="BU164" i="150"/>
  <c r="BV164" i="150"/>
  <c r="BW164" i="150"/>
  <c r="BX164" i="150"/>
  <c r="BY164" i="150"/>
  <c r="BZ164" i="150"/>
  <c r="CA164" i="150"/>
  <c r="CB164" i="150"/>
  <c r="BE165" i="150"/>
  <c r="BF165" i="150"/>
  <c r="BG165" i="150"/>
  <c r="BH165" i="150"/>
  <c r="BI165" i="150"/>
  <c r="BJ165" i="150"/>
  <c r="BK165" i="150"/>
  <c r="BL165" i="150"/>
  <c r="BM165" i="150"/>
  <c r="BN165" i="150"/>
  <c r="BO165" i="150"/>
  <c r="BP165" i="150"/>
  <c r="BQ165" i="150"/>
  <c r="BR165" i="150"/>
  <c r="BS165" i="150"/>
  <c r="BT165" i="150"/>
  <c r="BU165" i="150"/>
  <c r="BV165" i="150"/>
  <c r="BW165" i="150"/>
  <c r="BX165" i="150"/>
  <c r="BY165" i="150"/>
  <c r="BZ165" i="150"/>
  <c r="CA165" i="150"/>
  <c r="CB165" i="150"/>
  <c r="BE166" i="150"/>
  <c r="BF166" i="150"/>
  <c r="BG166" i="150"/>
  <c r="BH166" i="150"/>
  <c r="BI166" i="150"/>
  <c r="BJ166" i="150"/>
  <c r="BK166" i="150"/>
  <c r="BL166" i="150"/>
  <c r="BM166" i="150"/>
  <c r="BN166" i="150"/>
  <c r="BO166" i="150"/>
  <c r="BP166" i="150"/>
  <c r="BQ166" i="150"/>
  <c r="BR166" i="150"/>
  <c r="BS166" i="150"/>
  <c r="BT166" i="150"/>
  <c r="BU166" i="150"/>
  <c r="BV166" i="150"/>
  <c r="BW166" i="150"/>
  <c r="BX166" i="150"/>
  <c r="BY166" i="150"/>
  <c r="BZ166" i="150"/>
  <c r="CA166" i="150"/>
  <c r="CB166" i="150"/>
  <c r="BE167" i="150"/>
  <c r="BF167" i="150"/>
  <c r="BG167" i="150"/>
  <c r="BH167" i="150"/>
  <c r="BI167" i="150"/>
  <c r="BJ167" i="150"/>
  <c r="BK167" i="150"/>
  <c r="BL167" i="150"/>
  <c r="BM167" i="150"/>
  <c r="BN167" i="150"/>
  <c r="BO167" i="150"/>
  <c r="BP167" i="150"/>
  <c r="BQ167" i="150"/>
  <c r="BR167" i="150"/>
  <c r="BS167" i="150"/>
  <c r="BT167" i="150"/>
  <c r="BU167" i="150"/>
  <c r="BV167" i="150"/>
  <c r="BW167" i="150"/>
  <c r="BX167" i="150"/>
  <c r="BY167" i="150"/>
  <c r="BZ167" i="150"/>
  <c r="CA167" i="150"/>
  <c r="CB167" i="150"/>
  <c r="BE168" i="150"/>
  <c r="BF168" i="150"/>
  <c r="BG168" i="150"/>
  <c r="BH168" i="150"/>
  <c r="BI168" i="150"/>
  <c r="BJ168" i="150"/>
  <c r="BK168" i="150"/>
  <c r="BL168" i="150"/>
  <c r="BM168" i="150"/>
  <c r="BN168" i="150"/>
  <c r="BO168" i="150"/>
  <c r="BP168" i="150"/>
  <c r="BQ168" i="150"/>
  <c r="BR168" i="150"/>
  <c r="BS168" i="150"/>
  <c r="BT168" i="150"/>
  <c r="BU168" i="150"/>
  <c r="BV168" i="150"/>
  <c r="BW168" i="150"/>
  <c r="BX168" i="150"/>
  <c r="BY168" i="150"/>
  <c r="BZ168" i="150"/>
  <c r="CA168" i="150"/>
  <c r="CB168" i="150"/>
  <c r="BE169" i="150"/>
  <c r="BF169" i="150"/>
  <c r="BG169" i="150"/>
  <c r="BH169" i="150"/>
  <c r="BI169" i="150"/>
  <c r="BJ169" i="150"/>
  <c r="BK169" i="150"/>
  <c r="BL169" i="150"/>
  <c r="BM169" i="150"/>
  <c r="BN169" i="150"/>
  <c r="BO169" i="150"/>
  <c r="BP169" i="150"/>
  <c r="BQ169" i="150"/>
  <c r="BR169" i="150"/>
  <c r="BS169" i="150"/>
  <c r="BT169" i="150"/>
  <c r="BU169" i="150"/>
  <c r="BV169" i="150"/>
  <c r="BW169" i="150"/>
  <c r="BX169" i="150"/>
  <c r="BY169" i="150"/>
  <c r="BZ169" i="150"/>
  <c r="CA169" i="150"/>
  <c r="CB169" i="150"/>
  <c r="BE170" i="150"/>
  <c r="BF170" i="150"/>
  <c r="BG170" i="150"/>
  <c r="BH170" i="150"/>
  <c r="BI170" i="150"/>
  <c r="BJ170" i="150"/>
  <c r="BK170" i="150"/>
  <c r="BL170" i="150"/>
  <c r="BM170" i="150"/>
  <c r="BN170" i="150"/>
  <c r="BO170" i="150"/>
  <c r="BP170" i="150"/>
  <c r="BQ170" i="150"/>
  <c r="BR170" i="150"/>
  <c r="BS170" i="150"/>
  <c r="BT170" i="150"/>
  <c r="BU170" i="150"/>
  <c r="BV170" i="150"/>
  <c r="BW170" i="150"/>
  <c r="BX170" i="150"/>
  <c r="BY170" i="150"/>
  <c r="BZ170" i="150"/>
  <c r="CA170" i="150"/>
  <c r="CB170" i="150"/>
  <c r="BE171" i="150"/>
  <c r="BF171" i="150"/>
  <c r="BG171" i="150"/>
  <c r="BH171" i="150"/>
  <c r="BI171" i="150"/>
  <c r="BJ171" i="150"/>
  <c r="BK171" i="150"/>
  <c r="BL171" i="150"/>
  <c r="BM171" i="150"/>
  <c r="BN171" i="150"/>
  <c r="BO171" i="150"/>
  <c r="BP171" i="150"/>
  <c r="BQ171" i="150"/>
  <c r="BR171" i="150"/>
  <c r="BS171" i="150"/>
  <c r="BT171" i="150"/>
  <c r="BU171" i="150"/>
  <c r="BV171" i="150"/>
  <c r="BW171" i="150"/>
  <c r="BX171" i="150"/>
  <c r="BY171" i="150"/>
  <c r="BZ171" i="150"/>
  <c r="CA171" i="150"/>
  <c r="CB171" i="150"/>
  <c r="BE172" i="150"/>
  <c r="BF172" i="150"/>
  <c r="BG172" i="150"/>
  <c r="BH172" i="150"/>
  <c r="BI172" i="150"/>
  <c r="BJ172" i="150"/>
  <c r="BK172" i="150"/>
  <c r="BL172" i="150"/>
  <c r="BM172" i="150"/>
  <c r="BN172" i="150"/>
  <c r="BO172" i="150"/>
  <c r="BP172" i="150"/>
  <c r="BQ172" i="150"/>
  <c r="BR172" i="150"/>
  <c r="BS172" i="150"/>
  <c r="BT172" i="150"/>
  <c r="BU172" i="150"/>
  <c r="BV172" i="150"/>
  <c r="BW172" i="150"/>
  <c r="BX172" i="150"/>
  <c r="BY172" i="150"/>
  <c r="BZ172" i="150"/>
  <c r="CA172" i="150"/>
  <c r="CB172" i="150"/>
  <c r="BE173" i="150"/>
  <c r="BF173" i="150"/>
  <c r="BG173" i="150"/>
  <c r="BH173" i="150"/>
  <c r="BI173" i="150"/>
  <c r="BJ173" i="150"/>
  <c r="BK173" i="150"/>
  <c r="BL173" i="150"/>
  <c r="BM173" i="150"/>
  <c r="BN173" i="150"/>
  <c r="BO173" i="150"/>
  <c r="BP173" i="150"/>
  <c r="BQ173" i="150"/>
  <c r="BR173" i="150"/>
  <c r="BS173" i="150"/>
  <c r="BT173" i="150"/>
  <c r="BU173" i="150"/>
  <c r="BV173" i="150"/>
  <c r="BW173" i="150"/>
  <c r="BX173" i="150"/>
  <c r="BY173" i="150"/>
  <c r="BZ173" i="150"/>
  <c r="CA173" i="150"/>
  <c r="CB173" i="150"/>
  <c r="BE174" i="150"/>
  <c r="BF174" i="150"/>
  <c r="BG174" i="150"/>
  <c r="BH174" i="150"/>
  <c r="BI174" i="150"/>
  <c r="BJ174" i="150"/>
  <c r="BK174" i="150"/>
  <c r="BL174" i="150"/>
  <c r="BM174" i="150"/>
  <c r="BN174" i="150"/>
  <c r="BO174" i="150"/>
  <c r="BP174" i="150"/>
  <c r="BQ174" i="150"/>
  <c r="BR174" i="150"/>
  <c r="BS174" i="150"/>
  <c r="BT174" i="150"/>
  <c r="BU174" i="150"/>
  <c r="BV174" i="150"/>
  <c r="BW174" i="150"/>
  <c r="BX174" i="150"/>
  <c r="BY174" i="150"/>
  <c r="BZ174" i="150"/>
  <c r="CA174" i="150"/>
  <c r="CB174" i="150"/>
  <c r="BE175" i="150"/>
  <c r="BF175" i="150"/>
  <c r="BG175" i="150"/>
  <c r="BH175" i="150"/>
  <c r="BI175" i="150"/>
  <c r="BJ175" i="150"/>
  <c r="BK175" i="150"/>
  <c r="BL175" i="150"/>
  <c r="BM175" i="150"/>
  <c r="BN175" i="150"/>
  <c r="BO175" i="150"/>
  <c r="BP175" i="150"/>
  <c r="BQ175" i="150"/>
  <c r="BR175" i="150"/>
  <c r="BS175" i="150"/>
  <c r="BT175" i="150"/>
  <c r="BU175" i="150"/>
  <c r="BV175" i="150"/>
  <c r="BW175" i="150"/>
  <c r="BX175" i="150"/>
  <c r="BY175" i="150"/>
  <c r="BZ175" i="150"/>
  <c r="CA175" i="150"/>
  <c r="CB175" i="150"/>
  <c r="BE176" i="150"/>
  <c r="BF176" i="150"/>
  <c r="BG176" i="150"/>
  <c r="BH176" i="150"/>
  <c r="BI176" i="150"/>
  <c r="BJ176" i="150"/>
  <c r="BK176" i="150"/>
  <c r="BL176" i="150"/>
  <c r="BM176" i="150"/>
  <c r="BN176" i="150"/>
  <c r="BO176" i="150"/>
  <c r="BP176" i="150"/>
  <c r="BQ176" i="150"/>
  <c r="BR176" i="150"/>
  <c r="BS176" i="150"/>
  <c r="BT176" i="150"/>
  <c r="BU176" i="150"/>
  <c r="BV176" i="150"/>
  <c r="BW176" i="150"/>
  <c r="BX176" i="150"/>
  <c r="BY176" i="150"/>
  <c r="BZ176" i="150"/>
  <c r="CA176" i="150"/>
  <c r="CB176" i="150"/>
  <c r="BE177" i="150"/>
  <c r="BF177" i="150"/>
  <c r="BG177" i="150"/>
  <c r="BH177" i="150"/>
  <c r="BI177" i="150"/>
  <c r="BJ177" i="150"/>
  <c r="BK177" i="150"/>
  <c r="BL177" i="150"/>
  <c r="BM177" i="150"/>
  <c r="BN177" i="150"/>
  <c r="BO177" i="150"/>
  <c r="BP177" i="150"/>
  <c r="BQ177" i="150"/>
  <c r="BR177" i="150"/>
  <c r="BS177" i="150"/>
  <c r="BT177" i="150"/>
  <c r="BU177" i="150"/>
  <c r="BV177" i="150"/>
  <c r="BW177" i="150"/>
  <c r="BX177" i="150"/>
  <c r="BY177" i="150"/>
  <c r="BZ177" i="150"/>
  <c r="CA177" i="150"/>
  <c r="CB177" i="150"/>
  <c r="BE178" i="150"/>
  <c r="BF178" i="150"/>
  <c r="BG178" i="150"/>
  <c r="BH178" i="150"/>
  <c r="BI178" i="150"/>
  <c r="BJ178" i="150"/>
  <c r="BK178" i="150"/>
  <c r="BL178" i="150"/>
  <c r="BM178" i="150"/>
  <c r="BN178" i="150"/>
  <c r="BO178" i="150"/>
  <c r="BP178" i="150"/>
  <c r="BQ178" i="150"/>
  <c r="BR178" i="150"/>
  <c r="BS178" i="150"/>
  <c r="BT178" i="150"/>
  <c r="BU178" i="150"/>
  <c r="BV178" i="150"/>
  <c r="BW178" i="150"/>
  <c r="BX178" i="150"/>
  <c r="BY178" i="150"/>
  <c r="BZ178" i="150"/>
  <c r="CA178" i="150"/>
  <c r="CB178" i="150"/>
  <c r="BE179" i="150"/>
  <c r="BF179" i="150"/>
  <c r="BG179" i="150"/>
  <c r="BH179" i="150"/>
  <c r="BI179" i="150"/>
  <c r="BJ179" i="150"/>
  <c r="BK179" i="150"/>
  <c r="BL179" i="150"/>
  <c r="BM179" i="150"/>
  <c r="BN179" i="150"/>
  <c r="BO179" i="150"/>
  <c r="BP179" i="150"/>
  <c r="BQ179" i="150"/>
  <c r="BR179" i="150"/>
  <c r="BS179" i="150"/>
  <c r="BT179" i="150"/>
  <c r="BU179" i="150"/>
  <c r="BV179" i="150"/>
  <c r="BW179" i="150"/>
  <c r="BX179" i="150"/>
  <c r="BY179" i="150"/>
  <c r="BZ179" i="150"/>
  <c r="CA179" i="150"/>
  <c r="CB179" i="150"/>
  <c r="BE180" i="150"/>
  <c r="BF180" i="150"/>
  <c r="BG180" i="150"/>
  <c r="BH180" i="150"/>
  <c r="BI180" i="150"/>
  <c r="BJ180" i="150"/>
  <c r="BK180" i="150"/>
  <c r="BL180" i="150"/>
  <c r="BM180" i="150"/>
  <c r="BN180" i="150"/>
  <c r="BO180" i="150"/>
  <c r="BP180" i="150"/>
  <c r="BQ180" i="150"/>
  <c r="BR180" i="150"/>
  <c r="BS180" i="150"/>
  <c r="BT180" i="150"/>
  <c r="BU180" i="150"/>
  <c r="BV180" i="150"/>
  <c r="BW180" i="150"/>
  <c r="BX180" i="150"/>
  <c r="BY180" i="150"/>
  <c r="BZ180" i="150"/>
  <c r="CA180" i="150"/>
  <c r="CB180" i="150"/>
  <c r="BE181" i="150"/>
  <c r="BF181" i="150"/>
  <c r="BG181" i="150"/>
  <c r="BH181" i="150"/>
  <c r="BI181" i="150"/>
  <c r="BJ181" i="150"/>
  <c r="BK181" i="150"/>
  <c r="BL181" i="150"/>
  <c r="BM181" i="150"/>
  <c r="BN181" i="150"/>
  <c r="BO181" i="150"/>
  <c r="BP181" i="150"/>
  <c r="BQ181" i="150"/>
  <c r="BR181" i="150"/>
  <c r="BS181" i="150"/>
  <c r="BT181" i="150"/>
  <c r="BU181" i="150"/>
  <c r="BV181" i="150"/>
  <c r="BW181" i="150"/>
  <c r="BX181" i="150"/>
  <c r="BY181" i="150"/>
  <c r="BZ181" i="150"/>
  <c r="CA181" i="150"/>
  <c r="CB181" i="150"/>
  <c r="BE182" i="150"/>
  <c r="BF182" i="150"/>
  <c r="BG182" i="150"/>
  <c r="BH182" i="150"/>
  <c r="BI182" i="150"/>
  <c r="BJ182" i="150"/>
  <c r="BK182" i="150"/>
  <c r="BL182" i="150"/>
  <c r="BM182" i="150"/>
  <c r="BN182" i="150"/>
  <c r="BO182" i="150"/>
  <c r="BP182" i="150"/>
  <c r="BQ182" i="150"/>
  <c r="BR182" i="150"/>
  <c r="BS182" i="150"/>
  <c r="BT182" i="150"/>
  <c r="BU182" i="150"/>
  <c r="BV182" i="150"/>
  <c r="BW182" i="150"/>
  <c r="BX182" i="150"/>
  <c r="BY182" i="150"/>
  <c r="BZ182" i="150"/>
  <c r="CA182" i="150"/>
  <c r="CB182" i="150"/>
  <c r="BE183" i="150"/>
  <c r="BF183" i="150"/>
  <c r="BG183" i="150"/>
  <c r="BH183" i="150"/>
  <c r="BI183" i="150"/>
  <c r="BJ183" i="150"/>
  <c r="BK183" i="150"/>
  <c r="BL183" i="150"/>
  <c r="BM183" i="150"/>
  <c r="BN183" i="150"/>
  <c r="BO183" i="150"/>
  <c r="BP183" i="150"/>
  <c r="BQ183" i="150"/>
  <c r="BR183" i="150"/>
  <c r="BS183" i="150"/>
  <c r="BT183" i="150"/>
  <c r="BU183" i="150"/>
  <c r="BV183" i="150"/>
  <c r="BW183" i="150"/>
  <c r="BX183" i="150"/>
  <c r="BY183" i="150"/>
  <c r="BZ183" i="150"/>
  <c r="CA183" i="150"/>
  <c r="CB183" i="150"/>
  <c r="BE184" i="150"/>
  <c r="BF184" i="150"/>
  <c r="BG184" i="150"/>
  <c r="BH184" i="150"/>
  <c r="BI184" i="150"/>
  <c r="BJ184" i="150"/>
  <c r="BK184" i="150"/>
  <c r="BL184" i="150"/>
  <c r="BM184" i="150"/>
  <c r="BN184" i="150"/>
  <c r="BO184" i="150"/>
  <c r="BP184" i="150"/>
  <c r="BQ184" i="150"/>
  <c r="BR184" i="150"/>
  <c r="BS184" i="150"/>
  <c r="BT184" i="150"/>
  <c r="BU184" i="150"/>
  <c r="BV184" i="150"/>
  <c r="BW184" i="150"/>
  <c r="BX184" i="150"/>
  <c r="BY184" i="150"/>
  <c r="BZ184" i="150"/>
  <c r="CA184" i="150"/>
  <c r="CB184" i="150"/>
  <c r="BE185" i="150"/>
  <c r="BF185" i="150"/>
  <c r="BG185" i="150"/>
  <c r="BH185" i="150"/>
  <c r="BI185" i="150"/>
  <c r="BJ185" i="150"/>
  <c r="BK185" i="150"/>
  <c r="BL185" i="150"/>
  <c r="BM185" i="150"/>
  <c r="BN185" i="150"/>
  <c r="BO185" i="150"/>
  <c r="BP185" i="150"/>
  <c r="BQ185" i="150"/>
  <c r="BR185" i="150"/>
  <c r="BS185" i="150"/>
  <c r="BT185" i="150"/>
  <c r="BU185" i="150"/>
  <c r="BV185" i="150"/>
  <c r="BW185" i="150"/>
  <c r="BX185" i="150"/>
  <c r="BY185" i="150"/>
  <c r="BZ185" i="150"/>
  <c r="CA185" i="150"/>
  <c r="CB185" i="150"/>
  <c r="BE186" i="150"/>
  <c r="BF186" i="150"/>
  <c r="BG186" i="150"/>
  <c r="BH186" i="150"/>
  <c r="BI186" i="150"/>
  <c r="BJ186" i="150"/>
  <c r="BK186" i="150"/>
  <c r="BL186" i="150"/>
  <c r="BM186" i="150"/>
  <c r="BN186" i="150"/>
  <c r="BO186" i="150"/>
  <c r="BP186" i="150"/>
  <c r="BQ186" i="150"/>
  <c r="BR186" i="150"/>
  <c r="BS186" i="150"/>
  <c r="BT186" i="150"/>
  <c r="BU186" i="150"/>
  <c r="BV186" i="150"/>
  <c r="BW186" i="150"/>
  <c r="BX186" i="150"/>
  <c r="BY186" i="150"/>
  <c r="BZ186" i="150"/>
  <c r="CA186" i="150"/>
  <c r="CB186" i="150"/>
  <c r="BE187" i="150"/>
  <c r="BF187" i="150"/>
  <c r="BG187" i="150"/>
  <c r="BH187" i="150"/>
  <c r="BI187" i="150"/>
  <c r="BJ187" i="150"/>
  <c r="BK187" i="150"/>
  <c r="BL187" i="150"/>
  <c r="BM187" i="150"/>
  <c r="BN187" i="150"/>
  <c r="BO187" i="150"/>
  <c r="BP187" i="150"/>
  <c r="BQ187" i="150"/>
  <c r="BR187" i="150"/>
  <c r="BS187" i="150"/>
  <c r="BT187" i="150"/>
  <c r="BU187" i="150"/>
  <c r="BV187" i="150"/>
  <c r="BW187" i="150"/>
  <c r="BX187" i="150"/>
  <c r="BY187" i="150"/>
  <c r="BZ187" i="150"/>
  <c r="CA187" i="150"/>
  <c r="CB187" i="150"/>
  <c r="BE188" i="150"/>
  <c r="BF188" i="150"/>
  <c r="BG188" i="150"/>
  <c r="BH188" i="150"/>
  <c r="BI188" i="150"/>
  <c r="BJ188" i="150"/>
  <c r="BK188" i="150"/>
  <c r="BL188" i="150"/>
  <c r="BM188" i="150"/>
  <c r="BN188" i="150"/>
  <c r="BO188" i="150"/>
  <c r="BP188" i="150"/>
  <c r="BQ188" i="150"/>
  <c r="BR188" i="150"/>
  <c r="BS188" i="150"/>
  <c r="BT188" i="150"/>
  <c r="BU188" i="150"/>
  <c r="BV188" i="150"/>
  <c r="BW188" i="150"/>
  <c r="BX188" i="150"/>
  <c r="BY188" i="150"/>
  <c r="BZ188" i="150"/>
  <c r="CA188" i="150"/>
  <c r="CB188" i="150"/>
  <c r="BE189" i="150"/>
  <c r="BF189" i="150"/>
  <c r="BG189" i="150"/>
  <c r="BH189" i="150"/>
  <c r="BI189" i="150"/>
  <c r="BJ189" i="150"/>
  <c r="BK189" i="150"/>
  <c r="BL189" i="150"/>
  <c r="BM189" i="150"/>
  <c r="BN189" i="150"/>
  <c r="BO189" i="150"/>
  <c r="BP189" i="150"/>
  <c r="BQ189" i="150"/>
  <c r="BR189" i="150"/>
  <c r="BS189" i="150"/>
  <c r="BT189" i="150"/>
  <c r="BU189" i="150"/>
  <c r="BV189" i="150"/>
  <c r="BW189" i="150"/>
  <c r="BX189" i="150"/>
  <c r="BY189" i="150"/>
  <c r="BZ189" i="150"/>
  <c r="CA189" i="150"/>
  <c r="CB189" i="150"/>
  <c r="BE190" i="150"/>
  <c r="BF190" i="150"/>
  <c r="BG190" i="150"/>
  <c r="BH190" i="150"/>
  <c r="BI190" i="150"/>
  <c r="BJ190" i="150"/>
  <c r="BK190" i="150"/>
  <c r="BL190" i="150"/>
  <c r="BM190" i="150"/>
  <c r="BN190" i="150"/>
  <c r="BO190" i="150"/>
  <c r="BP190" i="150"/>
  <c r="BQ190" i="150"/>
  <c r="BR190" i="150"/>
  <c r="BS190" i="150"/>
  <c r="BT190" i="150"/>
  <c r="BU190" i="150"/>
  <c r="BV190" i="150"/>
  <c r="BW190" i="150"/>
  <c r="BX190" i="150"/>
  <c r="BY190" i="150"/>
  <c r="BZ190" i="150"/>
  <c r="CA190" i="150"/>
  <c r="CB190" i="150"/>
  <c r="BE191" i="150"/>
  <c r="BF191" i="150"/>
  <c r="BG191" i="150"/>
  <c r="BH191" i="150"/>
  <c r="BI191" i="150"/>
  <c r="BJ191" i="150"/>
  <c r="BK191" i="150"/>
  <c r="BL191" i="150"/>
  <c r="BM191" i="150"/>
  <c r="BN191" i="150"/>
  <c r="BO191" i="150"/>
  <c r="BP191" i="150"/>
  <c r="BQ191" i="150"/>
  <c r="BR191" i="150"/>
  <c r="BS191" i="150"/>
  <c r="BT191" i="150"/>
  <c r="BU191" i="150"/>
  <c r="BV191" i="150"/>
  <c r="BW191" i="150"/>
  <c r="BX191" i="150"/>
  <c r="BY191" i="150"/>
  <c r="BZ191" i="150"/>
  <c r="CA191" i="150"/>
  <c r="CB191" i="150"/>
  <c r="BE192" i="150"/>
  <c r="BF192" i="150"/>
  <c r="BG192" i="150"/>
  <c r="BH192" i="150"/>
  <c r="BI192" i="150"/>
  <c r="BJ192" i="150"/>
  <c r="BK192" i="150"/>
  <c r="BL192" i="150"/>
  <c r="BM192" i="150"/>
  <c r="BN192" i="150"/>
  <c r="BO192" i="150"/>
  <c r="BP192" i="150"/>
  <c r="BQ192" i="150"/>
  <c r="BR192" i="150"/>
  <c r="BS192" i="150"/>
  <c r="BT192" i="150"/>
  <c r="BU192" i="150"/>
  <c r="BV192" i="150"/>
  <c r="BW192" i="150"/>
  <c r="BX192" i="150"/>
  <c r="BY192" i="150"/>
  <c r="BZ192" i="150"/>
  <c r="CA192" i="150"/>
  <c r="CB192" i="150"/>
  <c r="BE193" i="150"/>
  <c r="BF193" i="150"/>
  <c r="BG193" i="150"/>
  <c r="BH193" i="150"/>
  <c r="BI193" i="150"/>
  <c r="BJ193" i="150"/>
  <c r="BK193" i="150"/>
  <c r="BL193" i="150"/>
  <c r="BM193" i="150"/>
  <c r="BN193" i="150"/>
  <c r="BO193" i="150"/>
  <c r="BP193" i="150"/>
  <c r="BQ193" i="150"/>
  <c r="BR193" i="150"/>
  <c r="BS193" i="150"/>
  <c r="BT193" i="150"/>
  <c r="BU193" i="150"/>
  <c r="BV193" i="150"/>
  <c r="BW193" i="150"/>
  <c r="BX193" i="150"/>
  <c r="BY193" i="150"/>
  <c r="BZ193" i="150"/>
  <c r="CA193" i="150"/>
  <c r="CB193" i="150"/>
  <c r="BE194" i="150"/>
  <c r="BF194" i="150"/>
  <c r="BG194" i="150"/>
  <c r="BH194" i="150"/>
  <c r="BI194" i="150"/>
  <c r="BJ194" i="150"/>
  <c r="BK194" i="150"/>
  <c r="BL194" i="150"/>
  <c r="BM194" i="150"/>
  <c r="BN194" i="150"/>
  <c r="BO194" i="150"/>
  <c r="BP194" i="150"/>
  <c r="BQ194" i="150"/>
  <c r="BR194" i="150"/>
  <c r="BS194" i="150"/>
  <c r="BT194" i="150"/>
  <c r="BU194" i="150"/>
  <c r="BV194" i="150"/>
  <c r="BW194" i="150"/>
  <c r="BX194" i="150"/>
  <c r="BY194" i="150"/>
  <c r="BZ194" i="150"/>
  <c r="CA194" i="150"/>
  <c r="CB194" i="150"/>
  <c r="BE195" i="150"/>
  <c r="BF195" i="150"/>
  <c r="BG195" i="150"/>
  <c r="BH195" i="150"/>
  <c r="BI195" i="150"/>
  <c r="BJ195" i="150"/>
  <c r="BK195" i="150"/>
  <c r="BL195" i="150"/>
  <c r="BM195" i="150"/>
  <c r="BN195" i="150"/>
  <c r="BO195" i="150"/>
  <c r="BP195" i="150"/>
  <c r="BQ195" i="150"/>
  <c r="BR195" i="150"/>
  <c r="BS195" i="150"/>
  <c r="BT195" i="150"/>
  <c r="BU195" i="150"/>
  <c r="BV195" i="150"/>
  <c r="BW195" i="150"/>
  <c r="BX195" i="150"/>
  <c r="BY195" i="150"/>
  <c r="BZ195" i="150"/>
  <c r="CA195" i="150"/>
  <c r="CB195" i="150"/>
  <c r="BE196" i="150"/>
  <c r="BF196" i="150"/>
  <c r="BG196" i="150"/>
  <c r="BH196" i="150"/>
  <c r="BI196" i="150"/>
  <c r="BJ196" i="150"/>
  <c r="BK196" i="150"/>
  <c r="BL196" i="150"/>
  <c r="BM196" i="150"/>
  <c r="BN196" i="150"/>
  <c r="BO196" i="150"/>
  <c r="BP196" i="150"/>
  <c r="BQ196" i="150"/>
  <c r="BR196" i="150"/>
  <c r="BS196" i="150"/>
  <c r="BT196" i="150"/>
  <c r="BU196" i="150"/>
  <c r="BV196" i="150"/>
  <c r="BW196" i="150"/>
  <c r="BX196" i="150"/>
  <c r="BY196" i="150"/>
  <c r="BZ196" i="150"/>
  <c r="CA196" i="150"/>
  <c r="CB196" i="150"/>
  <c r="BE197" i="150"/>
  <c r="BF197" i="150"/>
  <c r="BG197" i="150"/>
  <c r="BH197" i="150"/>
  <c r="BI197" i="150"/>
  <c r="BJ197" i="150"/>
  <c r="BK197" i="150"/>
  <c r="BL197" i="150"/>
  <c r="BM197" i="150"/>
  <c r="BN197" i="150"/>
  <c r="BO197" i="150"/>
  <c r="BP197" i="150"/>
  <c r="BQ197" i="150"/>
  <c r="BR197" i="150"/>
  <c r="BS197" i="150"/>
  <c r="BT197" i="150"/>
  <c r="BU197" i="150"/>
  <c r="BV197" i="150"/>
  <c r="BW197" i="150"/>
  <c r="BX197" i="150"/>
  <c r="BY197" i="150"/>
  <c r="BZ197" i="150"/>
  <c r="CA197" i="150"/>
  <c r="CB197" i="150"/>
  <c r="BE198" i="150"/>
  <c r="BF198" i="150"/>
  <c r="BG198" i="150"/>
  <c r="BH198" i="150"/>
  <c r="BI198" i="150"/>
  <c r="BJ198" i="150"/>
  <c r="BK198" i="150"/>
  <c r="BL198" i="150"/>
  <c r="BM198" i="150"/>
  <c r="BN198" i="150"/>
  <c r="BO198" i="150"/>
  <c r="BP198" i="150"/>
  <c r="BQ198" i="150"/>
  <c r="BR198" i="150"/>
  <c r="BS198" i="150"/>
  <c r="BT198" i="150"/>
  <c r="BU198" i="150"/>
  <c r="BV198" i="150"/>
  <c r="BW198" i="150"/>
  <c r="BX198" i="150"/>
  <c r="BY198" i="150"/>
  <c r="BZ198" i="150"/>
  <c r="CA198" i="150"/>
  <c r="CB198" i="150"/>
  <c r="BE199" i="150"/>
  <c r="BF199" i="150"/>
  <c r="BG199" i="150"/>
  <c r="BH199" i="150"/>
  <c r="BI199" i="150"/>
  <c r="BJ199" i="150"/>
  <c r="BK199" i="150"/>
  <c r="BL199" i="150"/>
  <c r="BM199" i="150"/>
  <c r="BN199" i="150"/>
  <c r="BO199" i="150"/>
  <c r="BP199" i="150"/>
  <c r="BQ199" i="150"/>
  <c r="BR199" i="150"/>
  <c r="BS199" i="150"/>
  <c r="BT199" i="150"/>
  <c r="BU199" i="150"/>
  <c r="BV199" i="150"/>
  <c r="BW199" i="150"/>
  <c r="BX199" i="150"/>
  <c r="BY199" i="150"/>
  <c r="BZ199" i="150"/>
  <c r="CA199" i="150"/>
  <c r="CB199" i="150"/>
  <c r="BE200" i="150"/>
  <c r="BF200" i="150"/>
  <c r="BG200" i="150"/>
  <c r="BH200" i="150"/>
  <c r="BI200" i="150"/>
  <c r="BJ200" i="150"/>
  <c r="BK200" i="150"/>
  <c r="BL200" i="150"/>
  <c r="BM200" i="150"/>
  <c r="BN200" i="150"/>
  <c r="BO200" i="150"/>
  <c r="BP200" i="150"/>
  <c r="BQ200" i="150"/>
  <c r="BR200" i="150"/>
  <c r="BS200" i="150"/>
  <c r="BT200" i="150"/>
  <c r="BU200" i="150"/>
  <c r="BV200" i="150"/>
  <c r="BW200" i="150"/>
  <c r="BX200" i="150"/>
  <c r="BY200" i="150"/>
  <c r="BZ200" i="150"/>
  <c r="CA200" i="150"/>
  <c r="CB200" i="150"/>
  <c r="BE201" i="150"/>
  <c r="BF201" i="150"/>
  <c r="BG201" i="150"/>
  <c r="BH201" i="150"/>
  <c r="BI201" i="150"/>
  <c r="BJ201" i="150"/>
  <c r="BK201" i="150"/>
  <c r="BL201" i="150"/>
  <c r="BM201" i="150"/>
  <c r="BN201" i="150"/>
  <c r="BO201" i="150"/>
  <c r="BP201" i="150"/>
  <c r="BQ201" i="150"/>
  <c r="BR201" i="150"/>
  <c r="BS201" i="150"/>
  <c r="BT201" i="150"/>
  <c r="BU201" i="150"/>
  <c r="BV201" i="150"/>
  <c r="BW201" i="150"/>
  <c r="BX201" i="150"/>
  <c r="BY201" i="150"/>
  <c r="BZ201" i="150"/>
  <c r="CA201" i="150"/>
  <c r="CB201" i="150"/>
  <c r="BE202" i="150"/>
  <c r="BF202" i="150"/>
  <c r="BG202" i="150"/>
  <c r="BH202" i="150"/>
  <c r="BI202" i="150"/>
  <c r="BJ202" i="150"/>
  <c r="BK202" i="150"/>
  <c r="BL202" i="150"/>
  <c r="BM202" i="150"/>
  <c r="BN202" i="150"/>
  <c r="BO202" i="150"/>
  <c r="BP202" i="150"/>
  <c r="BQ202" i="150"/>
  <c r="BR202" i="150"/>
  <c r="BS202" i="150"/>
  <c r="BT202" i="150"/>
  <c r="BU202" i="150"/>
  <c r="BV202" i="150"/>
  <c r="BW202" i="150"/>
  <c r="BX202" i="150"/>
  <c r="BY202" i="150"/>
  <c r="BZ202" i="150"/>
  <c r="CA202" i="150"/>
  <c r="CB202" i="150"/>
  <c r="BE203" i="150"/>
  <c r="BF203" i="150"/>
  <c r="BG203" i="150"/>
  <c r="BH203" i="150"/>
  <c r="BI203" i="150"/>
  <c r="BJ203" i="150"/>
  <c r="BK203" i="150"/>
  <c r="BL203" i="150"/>
  <c r="BM203" i="150"/>
  <c r="BN203" i="150"/>
  <c r="BO203" i="150"/>
  <c r="BP203" i="150"/>
  <c r="BQ203" i="150"/>
  <c r="BR203" i="150"/>
  <c r="BS203" i="150"/>
  <c r="BT203" i="150"/>
  <c r="BU203" i="150"/>
  <c r="BV203" i="150"/>
  <c r="BW203" i="150"/>
  <c r="BX203" i="150"/>
  <c r="BY203" i="150"/>
  <c r="BZ203" i="150"/>
  <c r="CA203" i="150"/>
  <c r="CB203" i="150"/>
  <c r="BE204" i="150"/>
  <c r="BF204" i="150"/>
  <c r="BG204" i="150"/>
  <c r="BH204" i="150"/>
  <c r="BI204" i="150"/>
  <c r="BJ204" i="150"/>
  <c r="BK204" i="150"/>
  <c r="BL204" i="150"/>
  <c r="BM204" i="150"/>
  <c r="BN204" i="150"/>
  <c r="BO204" i="150"/>
  <c r="BP204" i="150"/>
  <c r="BQ204" i="150"/>
  <c r="BR204" i="150"/>
  <c r="BS204" i="150"/>
  <c r="BT204" i="150"/>
  <c r="BU204" i="150"/>
  <c r="BV204" i="150"/>
  <c r="BW204" i="150"/>
  <c r="BX204" i="150"/>
  <c r="BY204" i="150"/>
  <c r="BZ204" i="150"/>
  <c r="CA204" i="150"/>
  <c r="CB204" i="150"/>
  <c r="BE205" i="150"/>
  <c r="BF205" i="150"/>
  <c r="BG205" i="150"/>
  <c r="BH205" i="150"/>
  <c r="BI205" i="150"/>
  <c r="BJ205" i="150"/>
  <c r="BK205" i="150"/>
  <c r="BL205" i="150"/>
  <c r="BM205" i="150"/>
  <c r="BN205" i="150"/>
  <c r="BO205" i="150"/>
  <c r="BP205" i="150"/>
  <c r="BQ205" i="150"/>
  <c r="BR205" i="150"/>
  <c r="BS205" i="150"/>
  <c r="BT205" i="150"/>
  <c r="BU205" i="150"/>
  <c r="BV205" i="150"/>
  <c r="BW205" i="150"/>
  <c r="BX205" i="150"/>
  <c r="BY205" i="150"/>
  <c r="BZ205" i="150"/>
  <c r="CA205" i="150"/>
  <c r="CB205" i="150"/>
  <c r="BE206" i="150"/>
  <c r="BF206" i="150"/>
  <c r="BG206" i="150"/>
  <c r="BH206" i="150"/>
  <c r="BI206" i="150"/>
  <c r="BJ206" i="150"/>
  <c r="BK206" i="150"/>
  <c r="BL206" i="150"/>
  <c r="BM206" i="150"/>
  <c r="BN206" i="150"/>
  <c r="BO206" i="150"/>
  <c r="BP206" i="150"/>
  <c r="BQ206" i="150"/>
  <c r="BR206" i="150"/>
  <c r="BS206" i="150"/>
  <c r="BT206" i="150"/>
  <c r="BU206" i="150"/>
  <c r="BV206" i="150"/>
  <c r="BW206" i="150"/>
  <c r="BX206" i="150"/>
  <c r="BY206" i="150"/>
  <c r="BZ206" i="150"/>
  <c r="CA206" i="150"/>
  <c r="CB206" i="150"/>
  <c r="BE207" i="150"/>
  <c r="BF207" i="150"/>
  <c r="BG207" i="150"/>
  <c r="BH207" i="150"/>
  <c r="BI207" i="150"/>
  <c r="BJ207" i="150"/>
  <c r="BK207" i="150"/>
  <c r="BL207" i="150"/>
  <c r="BM207" i="150"/>
  <c r="BN207" i="150"/>
  <c r="BO207" i="150"/>
  <c r="BP207" i="150"/>
  <c r="BQ207" i="150"/>
  <c r="BR207" i="150"/>
  <c r="BS207" i="150"/>
  <c r="BT207" i="150"/>
  <c r="BU207" i="150"/>
  <c r="BV207" i="150"/>
  <c r="BW207" i="150"/>
  <c r="BX207" i="150"/>
  <c r="BY207" i="150"/>
  <c r="BZ207" i="150"/>
  <c r="CA207" i="150"/>
  <c r="CB207" i="150"/>
  <c r="BE208" i="150"/>
  <c r="BF208" i="150"/>
  <c r="BG208" i="150"/>
  <c r="BH208" i="150"/>
  <c r="BI208" i="150"/>
  <c r="BJ208" i="150"/>
  <c r="BK208" i="150"/>
  <c r="BL208" i="150"/>
  <c r="BM208" i="150"/>
  <c r="BN208" i="150"/>
  <c r="BO208" i="150"/>
  <c r="BP208" i="150"/>
  <c r="BQ208" i="150"/>
  <c r="BR208" i="150"/>
  <c r="BS208" i="150"/>
  <c r="BT208" i="150"/>
  <c r="BU208" i="150"/>
  <c r="BV208" i="150"/>
  <c r="BW208" i="150"/>
  <c r="BX208" i="150"/>
  <c r="BY208" i="150"/>
  <c r="BZ208" i="150"/>
  <c r="CA208" i="150"/>
  <c r="CB208" i="150"/>
  <c r="BE209" i="150"/>
  <c r="BF209" i="150"/>
  <c r="BG209" i="150"/>
  <c r="BH209" i="150"/>
  <c r="BI209" i="150"/>
  <c r="BJ209" i="150"/>
  <c r="BK209" i="150"/>
  <c r="BL209" i="150"/>
  <c r="BM209" i="150"/>
  <c r="BN209" i="150"/>
  <c r="BO209" i="150"/>
  <c r="BP209" i="150"/>
  <c r="BQ209" i="150"/>
  <c r="BR209" i="150"/>
  <c r="BS209" i="150"/>
  <c r="BT209" i="150"/>
  <c r="BU209" i="150"/>
  <c r="BV209" i="150"/>
  <c r="BW209" i="150"/>
  <c r="BX209" i="150"/>
  <c r="BY209" i="150"/>
  <c r="BZ209" i="150"/>
  <c r="CA209" i="150"/>
  <c r="CB209" i="150"/>
  <c r="BE210" i="150"/>
  <c r="BF210" i="150"/>
  <c r="BG210" i="150"/>
  <c r="BH210" i="150"/>
  <c r="BI210" i="150"/>
  <c r="BJ210" i="150"/>
  <c r="BK210" i="150"/>
  <c r="BL210" i="150"/>
  <c r="BM210" i="150"/>
  <c r="BN210" i="150"/>
  <c r="BO210" i="150"/>
  <c r="BP210" i="150"/>
  <c r="BQ210" i="150"/>
  <c r="BR210" i="150"/>
  <c r="BS210" i="150"/>
  <c r="BT210" i="150"/>
  <c r="BU210" i="150"/>
  <c r="BV210" i="150"/>
  <c r="BW210" i="150"/>
  <c r="BX210" i="150"/>
  <c r="BY210" i="150"/>
  <c r="BZ210" i="150"/>
  <c r="CA210" i="150"/>
  <c r="CB210" i="150"/>
  <c r="BE211" i="150"/>
  <c r="BF211" i="150"/>
  <c r="BG211" i="150"/>
  <c r="BH211" i="150"/>
  <c r="BI211" i="150"/>
  <c r="BJ211" i="150"/>
  <c r="BK211" i="150"/>
  <c r="BL211" i="150"/>
  <c r="BM211" i="150"/>
  <c r="BN211" i="150"/>
  <c r="BO211" i="150"/>
  <c r="BP211" i="150"/>
  <c r="BQ211" i="150"/>
  <c r="BR211" i="150"/>
  <c r="BS211" i="150"/>
  <c r="BT211" i="150"/>
  <c r="BU211" i="150"/>
  <c r="BV211" i="150"/>
  <c r="BW211" i="150"/>
  <c r="BX211" i="150"/>
  <c r="BY211" i="150"/>
  <c r="BZ211" i="150"/>
  <c r="CA211" i="150"/>
  <c r="CB211" i="150"/>
  <c r="BE212" i="150"/>
  <c r="BF212" i="150"/>
  <c r="BG212" i="150"/>
  <c r="BH212" i="150"/>
  <c r="BI212" i="150"/>
  <c r="BJ212" i="150"/>
  <c r="BK212" i="150"/>
  <c r="BL212" i="150"/>
  <c r="BM212" i="150"/>
  <c r="BN212" i="150"/>
  <c r="BO212" i="150"/>
  <c r="BP212" i="150"/>
  <c r="BQ212" i="150"/>
  <c r="BR212" i="150"/>
  <c r="BS212" i="150"/>
  <c r="BT212" i="150"/>
  <c r="BU212" i="150"/>
  <c r="BV212" i="150"/>
  <c r="BW212" i="150"/>
  <c r="BX212" i="150"/>
  <c r="BY212" i="150"/>
  <c r="BZ212" i="150"/>
  <c r="CA212" i="150"/>
  <c r="CB212" i="150"/>
  <c r="BE213" i="150"/>
  <c r="BF213" i="150"/>
  <c r="BG213" i="150"/>
  <c r="BH213" i="150"/>
  <c r="BI213" i="150"/>
  <c r="BJ213" i="150"/>
  <c r="BK213" i="150"/>
  <c r="BL213" i="150"/>
  <c r="BM213" i="150"/>
  <c r="BN213" i="150"/>
  <c r="BO213" i="150"/>
  <c r="BP213" i="150"/>
  <c r="BQ213" i="150"/>
  <c r="BR213" i="150"/>
  <c r="BS213" i="150"/>
  <c r="BT213" i="150"/>
  <c r="BU213" i="150"/>
  <c r="BV213" i="150"/>
  <c r="BW213" i="150"/>
  <c r="BX213" i="150"/>
  <c r="BY213" i="150"/>
  <c r="BZ213" i="150"/>
  <c r="CA213" i="150"/>
  <c r="CB213" i="150"/>
  <c r="BE214" i="150"/>
  <c r="BF214" i="150"/>
  <c r="BG214" i="150"/>
  <c r="BH214" i="150"/>
  <c r="BI214" i="150"/>
  <c r="BJ214" i="150"/>
  <c r="BK214" i="150"/>
  <c r="BL214" i="150"/>
  <c r="BM214" i="150"/>
  <c r="BN214" i="150"/>
  <c r="BO214" i="150"/>
  <c r="BP214" i="150"/>
  <c r="BQ214" i="150"/>
  <c r="BR214" i="150"/>
  <c r="BS214" i="150"/>
  <c r="BT214" i="150"/>
  <c r="BU214" i="150"/>
  <c r="BV214" i="150"/>
  <c r="BW214" i="150"/>
  <c r="BX214" i="150"/>
  <c r="BY214" i="150"/>
  <c r="BZ214" i="150"/>
  <c r="CA214" i="150"/>
  <c r="CB214" i="150"/>
  <c r="BE215" i="150"/>
  <c r="BF215" i="150"/>
  <c r="BG215" i="150"/>
  <c r="BH215" i="150"/>
  <c r="BI215" i="150"/>
  <c r="BJ215" i="150"/>
  <c r="BK215" i="150"/>
  <c r="BL215" i="150"/>
  <c r="BM215" i="150"/>
  <c r="BN215" i="150"/>
  <c r="BO215" i="150"/>
  <c r="BP215" i="150"/>
  <c r="BQ215" i="150"/>
  <c r="BR215" i="150"/>
  <c r="BS215" i="150"/>
  <c r="BT215" i="150"/>
  <c r="BU215" i="150"/>
  <c r="BV215" i="150"/>
  <c r="BW215" i="150"/>
  <c r="BX215" i="150"/>
  <c r="BY215" i="150"/>
  <c r="BZ215" i="150"/>
  <c r="CA215" i="150"/>
  <c r="CB215" i="150"/>
  <c r="BE216" i="150"/>
  <c r="BF216" i="150"/>
  <c r="BG216" i="150"/>
  <c r="BH216" i="150"/>
  <c r="BI216" i="150"/>
  <c r="BJ216" i="150"/>
  <c r="BK216" i="150"/>
  <c r="BL216" i="150"/>
  <c r="BM216" i="150"/>
  <c r="BN216" i="150"/>
  <c r="BO216" i="150"/>
  <c r="BP216" i="150"/>
  <c r="BQ216" i="150"/>
  <c r="BR216" i="150"/>
  <c r="BS216" i="150"/>
  <c r="BT216" i="150"/>
  <c r="BU216" i="150"/>
  <c r="BV216" i="150"/>
  <c r="BW216" i="150"/>
  <c r="BX216" i="150"/>
  <c r="BY216" i="150"/>
  <c r="BZ216" i="150"/>
  <c r="CA216" i="150"/>
  <c r="CB216" i="150"/>
  <c r="BE217" i="150"/>
  <c r="BF217" i="150"/>
  <c r="BG217" i="150"/>
  <c r="BH217" i="150"/>
  <c r="BI217" i="150"/>
  <c r="BJ217" i="150"/>
  <c r="BK217" i="150"/>
  <c r="BL217" i="150"/>
  <c r="BM217" i="150"/>
  <c r="BN217" i="150"/>
  <c r="BO217" i="150"/>
  <c r="BP217" i="150"/>
  <c r="BQ217" i="150"/>
  <c r="BR217" i="150"/>
  <c r="BS217" i="150"/>
  <c r="BT217" i="150"/>
  <c r="BU217" i="150"/>
  <c r="BV217" i="150"/>
  <c r="BW217" i="150"/>
  <c r="BX217" i="150"/>
  <c r="BY217" i="150"/>
  <c r="BZ217" i="150"/>
  <c r="CA217" i="150"/>
  <c r="CB217" i="150"/>
  <c r="BE218" i="150"/>
  <c r="BF218" i="150"/>
  <c r="BG218" i="150"/>
  <c r="BH218" i="150"/>
  <c r="BI218" i="150"/>
  <c r="BJ218" i="150"/>
  <c r="BK218" i="150"/>
  <c r="BL218" i="150"/>
  <c r="BM218" i="150"/>
  <c r="BN218" i="150"/>
  <c r="BO218" i="150"/>
  <c r="BP218" i="150"/>
  <c r="BQ218" i="150"/>
  <c r="BR218" i="150"/>
  <c r="BS218" i="150"/>
  <c r="BT218" i="150"/>
  <c r="BU218" i="150"/>
  <c r="BV218" i="150"/>
  <c r="BW218" i="150"/>
  <c r="BX218" i="150"/>
  <c r="BY218" i="150"/>
  <c r="BZ218" i="150"/>
  <c r="CA218" i="150"/>
  <c r="CB218" i="150"/>
  <c r="BE219" i="150"/>
  <c r="BF219" i="150"/>
  <c r="BG219" i="150"/>
  <c r="BH219" i="150"/>
  <c r="BI219" i="150"/>
  <c r="BJ219" i="150"/>
  <c r="BK219" i="150"/>
  <c r="BL219" i="150"/>
  <c r="BM219" i="150"/>
  <c r="BN219" i="150"/>
  <c r="BO219" i="150"/>
  <c r="BP219" i="150"/>
  <c r="BQ219" i="150"/>
  <c r="BR219" i="150"/>
  <c r="BS219" i="150"/>
  <c r="BT219" i="150"/>
  <c r="BU219" i="150"/>
  <c r="BV219" i="150"/>
  <c r="BW219" i="150"/>
  <c r="BX219" i="150"/>
  <c r="BY219" i="150"/>
  <c r="BZ219" i="150"/>
  <c r="CA219" i="150"/>
  <c r="CB219" i="150"/>
  <c r="BE220" i="150"/>
  <c r="BF220" i="150"/>
  <c r="BG220" i="150"/>
  <c r="BH220" i="150"/>
  <c r="BI220" i="150"/>
  <c r="BJ220" i="150"/>
  <c r="BK220" i="150"/>
  <c r="BL220" i="150"/>
  <c r="BM220" i="150"/>
  <c r="BN220" i="150"/>
  <c r="BO220" i="150"/>
  <c r="BP220" i="150"/>
  <c r="BQ220" i="150"/>
  <c r="BR220" i="150"/>
  <c r="BS220" i="150"/>
  <c r="BT220" i="150"/>
  <c r="BU220" i="150"/>
  <c r="BV220" i="150"/>
  <c r="BW220" i="150"/>
  <c r="BX220" i="150"/>
  <c r="BY220" i="150"/>
  <c r="BZ220" i="150"/>
  <c r="CA220" i="150"/>
  <c r="CB220" i="150"/>
  <c r="BE221" i="150"/>
  <c r="BF221" i="150"/>
  <c r="BG221" i="150"/>
  <c r="BH221" i="150"/>
  <c r="BI221" i="150"/>
  <c r="BJ221" i="150"/>
  <c r="BK221" i="150"/>
  <c r="BL221" i="150"/>
  <c r="BM221" i="150"/>
  <c r="BN221" i="150"/>
  <c r="BO221" i="150"/>
  <c r="BP221" i="150"/>
  <c r="BQ221" i="150"/>
  <c r="BR221" i="150"/>
  <c r="BS221" i="150"/>
  <c r="BT221" i="150"/>
  <c r="BU221" i="150"/>
  <c r="BV221" i="150"/>
  <c r="BW221" i="150"/>
  <c r="BX221" i="150"/>
  <c r="BY221" i="150"/>
  <c r="BZ221" i="150"/>
  <c r="CA221" i="150"/>
  <c r="CB221" i="150"/>
  <c r="BE222" i="150"/>
  <c r="BF222" i="150"/>
  <c r="BG222" i="150"/>
  <c r="BH222" i="150"/>
  <c r="BI222" i="150"/>
  <c r="BJ222" i="150"/>
  <c r="BK222" i="150"/>
  <c r="BL222" i="150"/>
  <c r="BM222" i="150"/>
  <c r="BN222" i="150"/>
  <c r="BO222" i="150"/>
  <c r="BP222" i="150"/>
  <c r="BQ222" i="150"/>
  <c r="BR222" i="150"/>
  <c r="BS222" i="150"/>
  <c r="BT222" i="150"/>
  <c r="BU222" i="150"/>
  <c r="BV222" i="150"/>
  <c r="BW222" i="150"/>
  <c r="BX222" i="150"/>
  <c r="BY222" i="150"/>
  <c r="BZ222" i="150"/>
  <c r="CA222" i="150"/>
  <c r="CB222" i="150"/>
  <c r="BE223" i="150"/>
  <c r="BF223" i="150"/>
  <c r="BG223" i="150"/>
  <c r="BH223" i="150"/>
  <c r="BI223" i="150"/>
  <c r="BJ223" i="150"/>
  <c r="BK223" i="150"/>
  <c r="BL223" i="150"/>
  <c r="BM223" i="150"/>
  <c r="BN223" i="150"/>
  <c r="BO223" i="150"/>
  <c r="BP223" i="150"/>
  <c r="BQ223" i="150"/>
  <c r="BR223" i="150"/>
  <c r="BS223" i="150"/>
  <c r="BT223" i="150"/>
  <c r="BU223" i="150"/>
  <c r="BV223" i="150"/>
  <c r="BW223" i="150"/>
  <c r="BX223" i="150"/>
  <c r="BY223" i="150"/>
  <c r="BZ223" i="150"/>
  <c r="CA223" i="150"/>
  <c r="CB223" i="150"/>
  <c r="BE224" i="150"/>
  <c r="BF224" i="150"/>
  <c r="BG224" i="150"/>
  <c r="BH224" i="150"/>
  <c r="BI224" i="150"/>
  <c r="BJ224" i="150"/>
  <c r="BK224" i="150"/>
  <c r="BL224" i="150"/>
  <c r="BM224" i="150"/>
  <c r="BN224" i="150"/>
  <c r="BO224" i="150"/>
  <c r="BP224" i="150"/>
  <c r="BQ224" i="150"/>
  <c r="BR224" i="150"/>
  <c r="BS224" i="150"/>
  <c r="BT224" i="150"/>
  <c r="BU224" i="150"/>
  <c r="BV224" i="150"/>
  <c r="BW224" i="150"/>
  <c r="BX224" i="150"/>
  <c r="BY224" i="150"/>
  <c r="BZ224" i="150"/>
  <c r="CA224" i="150"/>
  <c r="CB224" i="150"/>
  <c r="BE225" i="150"/>
  <c r="BF225" i="150"/>
  <c r="BG225" i="150"/>
  <c r="BH225" i="150"/>
  <c r="BI225" i="150"/>
  <c r="BJ225" i="150"/>
  <c r="BK225" i="150"/>
  <c r="BL225" i="150"/>
  <c r="BM225" i="150"/>
  <c r="BN225" i="150"/>
  <c r="BO225" i="150"/>
  <c r="BP225" i="150"/>
  <c r="BQ225" i="150"/>
  <c r="BR225" i="150"/>
  <c r="BS225" i="150"/>
  <c r="BT225" i="150"/>
  <c r="BU225" i="150"/>
  <c r="BV225" i="150"/>
  <c r="BW225" i="150"/>
  <c r="BX225" i="150"/>
  <c r="BY225" i="150"/>
  <c r="BZ225" i="150"/>
  <c r="CA225" i="150"/>
  <c r="CB225" i="150"/>
  <c r="BE226" i="150"/>
  <c r="BF226" i="150"/>
  <c r="BG226" i="150"/>
  <c r="BH226" i="150"/>
  <c r="BI226" i="150"/>
  <c r="BJ226" i="150"/>
  <c r="BK226" i="150"/>
  <c r="BL226" i="150"/>
  <c r="BM226" i="150"/>
  <c r="BN226" i="150"/>
  <c r="BO226" i="150"/>
  <c r="BP226" i="150"/>
  <c r="BQ226" i="150"/>
  <c r="BR226" i="150"/>
  <c r="BS226" i="150"/>
  <c r="BT226" i="150"/>
  <c r="BU226" i="150"/>
  <c r="BV226" i="150"/>
  <c r="BW226" i="150"/>
  <c r="BX226" i="150"/>
  <c r="BY226" i="150"/>
  <c r="BZ226" i="150"/>
  <c r="CA226" i="150"/>
  <c r="CB226" i="150"/>
  <c r="BE227" i="150"/>
  <c r="BF227" i="150"/>
  <c r="BG227" i="150"/>
  <c r="BH227" i="150"/>
  <c r="BI227" i="150"/>
  <c r="BJ227" i="150"/>
  <c r="BK227" i="150"/>
  <c r="BL227" i="150"/>
  <c r="BM227" i="150"/>
  <c r="BN227" i="150"/>
  <c r="BO227" i="150"/>
  <c r="BP227" i="150"/>
  <c r="BQ227" i="150"/>
  <c r="BR227" i="150"/>
  <c r="BS227" i="150"/>
  <c r="BT227" i="150"/>
  <c r="BU227" i="150"/>
  <c r="BV227" i="150"/>
  <c r="BW227" i="150"/>
  <c r="BX227" i="150"/>
  <c r="BY227" i="150"/>
  <c r="BZ227" i="150"/>
  <c r="CA227" i="150"/>
  <c r="CB227" i="150"/>
  <c r="BE228" i="150"/>
  <c r="BF228" i="150"/>
  <c r="BG228" i="150"/>
  <c r="BH228" i="150"/>
  <c r="BI228" i="150"/>
  <c r="BJ228" i="150"/>
  <c r="BK228" i="150"/>
  <c r="BL228" i="150"/>
  <c r="BM228" i="150"/>
  <c r="BN228" i="150"/>
  <c r="BO228" i="150"/>
  <c r="BP228" i="150"/>
  <c r="BQ228" i="150"/>
  <c r="BR228" i="150"/>
  <c r="BS228" i="150"/>
  <c r="BT228" i="150"/>
  <c r="BU228" i="150"/>
  <c r="BV228" i="150"/>
  <c r="BW228" i="150"/>
  <c r="BX228" i="150"/>
  <c r="BY228" i="150"/>
  <c r="BZ228" i="150"/>
  <c r="CA228" i="150"/>
  <c r="CB228" i="150"/>
  <c r="BE229" i="150"/>
  <c r="BF229" i="150"/>
  <c r="BG229" i="150"/>
  <c r="BH229" i="150"/>
  <c r="BI229" i="150"/>
  <c r="BJ229" i="150"/>
  <c r="BK229" i="150"/>
  <c r="BL229" i="150"/>
  <c r="BM229" i="150"/>
  <c r="BN229" i="150"/>
  <c r="BO229" i="150"/>
  <c r="BP229" i="150"/>
  <c r="BQ229" i="150"/>
  <c r="BR229" i="150"/>
  <c r="BS229" i="150"/>
  <c r="BT229" i="150"/>
  <c r="BU229" i="150"/>
  <c r="BV229" i="150"/>
  <c r="BW229" i="150"/>
  <c r="BX229" i="150"/>
  <c r="BY229" i="150"/>
  <c r="BZ229" i="150"/>
  <c r="CA229" i="150"/>
  <c r="CB229" i="150"/>
  <c r="BE230" i="150"/>
  <c r="BF230" i="150"/>
  <c r="BG230" i="150"/>
  <c r="BH230" i="150"/>
  <c r="BI230" i="150"/>
  <c r="BJ230" i="150"/>
  <c r="BK230" i="150"/>
  <c r="BL230" i="150"/>
  <c r="BM230" i="150"/>
  <c r="BN230" i="150"/>
  <c r="BO230" i="150"/>
  <c r="BP230" i="150"/>
  <c r="BQ230" i="150"/>
  <c r="BR230" i="150"/>
  <c r="BS230" i="150"/>
  <c r="BT230" i="150"/>
  <c r="BU230" i="150"/>
  <c r="BV230" i="150"/>
  <c r="BW230" i="150"/>
  <c r="BX230" i="150"/>
  <c r="BY230" i="150"/>
  <c r="BZ230" i="150"/>
  <c r="CA230" i="150"/>
  <c r="CB230" i="150"/>
  <c r="BE231" i="150"/>
  <c r="BF231" i="150"/>
  <c r="BG231" i="150"/>
  <c r="BH231" i="150"/>
  <c r="BI231" i="150"/>
  <c r="BJ231" i="150"/>
  <c r="BK231" i="150"/>
  <c r="BL231" i="150"/>
  <c r="BM231" i="150"/>
  <c r="BN231" i="150"/>
  <c r="BO231" i="150"/>
  <c r="BP231" i="150"/>
  <c r="BQ231" i="150"/>
  <c r="BR231" i="150"/>
  <c r="BS231" i="150"/>
  <c r="BT231" i="150"/>
  <c r="BU231" i="150"/>
  <c r="BV231" i="150"/>
  <c r="BW231" i="150"/>
  <c r="BX231" i="150"/>
  <c r="BY231" i="150"/>
  <c r="BZ231" i="150"/>
  <c r="CA231" i="150"/>
  <c r="CB231" i="150"/>
  <c r="BE232" i="150"/>
  <c r="BF232" i="150"/>
  <c r="BG232" i="150"/>
  <c r="BH232" i="150"/>
  <c r="BI232" i="150"/>
  <c r="BJ232" i="150"/>
  <c r="BK232" i="150"/>
  <c r="BL232" i="150"/>
  <c r="BM232" i="150"/>
  <c r="BN232" i="150"/>
  <c r="BO232" i="150"/>
  <c r="BP232" i="150"/>
  <c r="BQ232" i="150"/>
  <c r="BR232" i="150"/>
  <c r="BS232" i="150"/>
  <c r="BT232" i="150"/>
  <c r="BU232" i="150"/>
  <c r="BV232" i="150"/>
  <c r="BW232" i="150"/>
  <c r="BX232" i="150"/>
  <c r="BY232" i="150"/>
  <c r="BZ232" i="150"/>
  <c r="CA232" i="150"/>
  <c r="CB232" i="150"/>
  <c r="BE233" i="150"/>
  <c r="BF233" i="150"/>
  <c r="BG233" i="150"/>
  <c r="BH233" i="150"/>
  <c r="BI233" i="150"/>
  <c r="BJ233" i="150"/>
  <c r="BK233" i="150"/>
  <c r="BL233" i="150"/>
  <c r="BM233" i="150"/>
  <c r="BN233" i="150"/>
  <c r="BO233" i="150"/>
  <c r="BP233" i="150"/>
  <c r="BQ233" i="150"/>
  <c r="BR233" i="150"/>
  <c r="BS233" i="150"/>
  <c r="BT233" i="150"/>
  <c r="BU233" i="150"/>
  <c r="BV233" i="150"/>
  <c r="BW233" i="150"/>
  <c r="BX233" i="150"/>
  <c r="BY233" i="150"/>
  <c r="BZ233" i="150"/>
  <c r="CA233" i="150"/>
  <c r="CB233" i="150"/>
  <c r="BE234" i="150"/>
  <c r="BF234" i="150"/>
  <c r="BG234" i="150"/>
  <c r="BH234" i="150"/>
  <c r="BI234" i="150"/>
  <c r="BJ234" i="150"/>
  <c r="BK234" i="150"/>
  <c r="BL234" i="150"/>
  <c r="BM234" i="150"/>
  <c r="BN234" i="150"/>
  <c r="BO234" i="150"/>
  <c r="BP234" i="150"/>
  <c r="BQ234" i="150"/>
  <c r="BR234" i="150"/>
  <c r="BS234" i="150"/>
  <c r="BT234" i="150"/>
  <c r="BU234" i="150"/>
  <c r="BV234" i="150"/>
  <c r="BW234" i="150"/>
  <c r="BX234" i="150"/>
  <c r="BY234" i="150"/>
  <c r="BZ234" i="150"/>
  <c r="CA234" i="150"/>
  <c r="CB234" i="150"/>
  <c r="BE235" i="150"/>
  <c r="BF235" i="150"/>
  <c r="BG235" i="150"/>
  <c r="BH235" i="150"/>
  <c r="BI235" i="150"/>
  <c r="BJ235" i="150"/>
  <c r="BK235" i="150"/>
  <c r="BL235" i="150"/>
  <c r="BM235" i="150"/>
  <c r="BN235" i="150"/>
  <c r="BO235" i="150"/>
  <c r="BP235" i="150"/>
  <c r="BQ235" i="150"/>
  <c r="BR235" i="150"/>
  <c r="BS235" i="150"/>
  <c r="BT235" i="150"/>
  <c r="BU235" i="150"/>
  <c r="BV235" i="150"/>
  <c r="BW235" i="150"/>
  <c r="BX235" i="150"/>
  <c r="BY235" i="150"/>
  <c r="BZ235" i="150"/>
  <c r="CA235" i="150"/>
  <c r="CB235" i="150"/>
  <c r="BE236" i="150"/>
  <c r="BF236" i="150"/>
  <c r="BG236" i="150"/>
  <c r="BH236" i="150"/>
  <c r="BI236" i="150"/>
  <c r="BJ236" i="150"/>
  <c r="BK236" i="150"/>
  <c r="BL236" i="150"/>
  <c r="BM236" i="150"/>
  <c r="BN236" i="150"/>
  <c r="BO236" i="150"/>
  <c r="BP236" i="150"/>
  <c r="BQ236" i="150"/>
  <c r="BR236" i="150"/>
  <c r="BS236" i="150"/>
  <c r="BT236" i="150"/>
  <c r="BU236" i="150"/>
  <c r="BV236" i="150"/>
  <c r="BW236" i="150"/>
  <c r="BX236" i="150"/>
  <c r="BY236" i="150"/>
  <c r="BZ236" i="150"/>
  <c r="CA236" i="150"/>
  <c r="CB236" i="150"/>
  <c r="BE237" i="150"/>
  <c r="BF237" i="150"/>
  <c r="BG237" i="150"/>
  <c r="BH237" i="150"/>
  <c r="BI237" i="150"/>
  <c r="BJ237" i="150"/>
  <c r="BK237" i="150"/>
  <c r="BL237" i="150"/>
  <c r="BM237" i="150"/>
  <c r="BN237" i="150"/>
  <c r="BO237" i="150"/>
  <c r="BP237" i="150"/>
  <c r="BQ237" i="150"/>
  <c r="BR237" i="150"/>
  <c r="BS237" i="150"/>
  <c r="BT237" i="150"/>
  <c r="BU237" i="150"/>
  <c r="BV237" i="150"/>
  <c r="BW237" i="150"/>
  <c r="BX237" i="150"/>
  <c r="BY237" i="150"/>
  <c r="BZ237" i="150"/>
  <c r="CA237" i="150"/>
  <c r="CB237" i="150"/>
  <c r="BE238" i="150"/>
  <c r="BF238" i="150"/>
  <c r="BG238" i="150"/>
  <c r="BH238" i="150"/>
  <c r="BI238" i="150"/>
  <c r="BJ238" i="150"/>
  <c r="BK238" i="150"/>
  <c r="BL238" i="150"/>
  <c r="BM238" i="150"/>
  <c r="BN238" i="150"/>
  <c r="BO238" i="150"/>
  <c r="BP238" i="150"/>
  <c r="BQ238" i="150"/>
  <c r="BR238" i="150"/>
  <c r="BS238" i="150"/>
  <c r="BT238" i="150"/>
  <c r="BU238" i="150"/>
  <c r="BV238" i="150"/>
  <c r="BW238" i="150"/>
  <c r="BX238" i="150"/>
  <c r="BY238" i="150"/>
  <c r="BZ238" i="150"/>
  <c r="CA238" i="150"/>
  <c r="CB238" i="150"/>
  <c r="BE239" i="150"/>
  <c r="BF239" i="150"/>
  <c r="BG239" i="150"/>
  <c r="BH239" i="150"/>
  <c r="BI239" i="150"/>
  <c r="BJ239" i="150"/>
  <c r="BK239" i="150"/>
  <c r="BL239" i="150"/>
  <c r="BM239" i="150"/>
  <c r="BN239" i="150"/>
  <c r="BO239" i="150"/>
  <c r="BP239" i="150"/>
  <c r="BQ239" i="150"/>
  <c r="BR239" i="150"/>
  <c r="BS239" i="150"/>
  <c r="BT239" i="150"/>
  <c r="BU239" i="150"/>
  <c r="BV239" i="150"/>
  <c r="BW239" i="150"/>
  <c r="BX239" i="150"/>
  <c r="BY239" i="150"/>
  <c r="BZ239" i="150"/>
  <c r="CA239" i="150"/>
  <c r="CB239" i="150"/>
  <c r="BE240" i="150"/>
  <c r="BF240" i="150"/>
  <c r="BG240" i="150"/>
  <c r="BH240" i="150"/>
  <c r="BI240" i="150"/>
  <c r="BJ240" i="150"/>
  <c r="BK240" i="150"/>
  <c r="BL240" i="150"/>
  <c r="BM240" i="150"/>
  <c r="BN240" i="150"/>
  <c r="BO240" i="150"/>
  <c r="BP240" i="150"/>
  <c r="BQ240" i="150"/>
  <c r="BR240" i="150"/>
  <c r="BS240" i="150"/>
  <c r="BT240" i="150"/>
  <c r="BU240" i="150"/>
  <c r="BV240" i="150"/>
  <c r="BW240" i="150"/>
  <c r="BX240" i="150"/>
  <c r="BY240" i="150"/>
  <c r="BZ240" i="150"/>
  <c r="CA240" i="150"/>
  <c r="CB240" i="150"/>
  <c r="BE241" i="150"/>
  <c r="BF241" i="150"/>
  <c r="BG241" i="150"/>
  <c r="BH241" i="150"/>
  <c r="BI241" i="150"/>
  <c r="BJ241" i="150"/>
  <c r="BK241" i="150"/>
  <c r="BL241" i="150"/>
  <c r="BM241" i="150"/>
  <c r="BN241" i="150"/>
  <c r="BO241" i="150"/>
  <c r="BP241" i="150"/>
  <c r="BQ241" i="150"/>
  <c r="BR241" i="150"/>
  <c r="BS241" i="150"/>
  <c r="BT241" i="150"/>
  <c r="BU241" i="150"/>
  <c r="BV241" i="150"/>
  <c r="BW241" i="150"/>
  <c r="BX241" i="150"/>
  <c r="BY241" i="150"/>
  <c r="BZ241" i="150"/>
  <c r="CA241" i="150"/>
  <c r="CB241" i="150"/>
  <c r="BE242" i="150"/>
  <c r="BF242" i="150"/>
  <c r="BG242" i="150"/>
  <c r="BH242" i="150"/>
  <c r="BI242" i="150"/>
  <c r="BJ242" i="150"/>
  <c r="BK242" i="150"/>
  <c r="BL242" i="150"/>
  <c r="BM242" i="150"/>
  <c r="BN242" i="150"/>
  <c r="BO242" i="150"/>
  <c r="BP242" i="150"/>
  <c r="BQ242" i="150"/>
  <c r="BR242" i="150"/>
  <c r="BS242" i="150"/>
  <c r="BT242" i="150"/>
  <c r="BU242" i="150"/>
  <c r="BV242" i="150"/>
  <c r="BW242" i="150"/>
  <c r="BX242" i="150"/>
  <c r="BY242" i="150"/>
  <c r="BZ242" i="150"/>
  <c r="CA242" i="150"/>
  <c r="CB242" i="150"/>
  <c r="BE243" i="150"/>
  <c r="BF243" i="150"/>
  <c r="BG243" i="150"/>
  <c r="BH243" i="150"/>
  <c r="BI243" i="150"/>
  <c r="BJ243" i="150"/>
  <c r="BK243" i="150"/>
  <c r="BL243" i="150"/>
  <c r="BM243" i="150"/>
  <c r="BN243" i="150"/>
  <c r="BO243" i="150"/>
  <c r="BP243" i="150"/>
  <c r="BQ243" i="150"/>
  <c r="BR243" i="150"/>
  <c r="BS243" i="150"/>
  <c r="BT243" i="150"/>
  <c r="BU243" i="150"/>
  <c r="BV243" i="150"/>
  <c r="BW243" i="150"/>
  <c r="BX243" i="150"/>
  <c r="BY243" i="150"/>
  <c r="BZ243" i="150"/>
  <c r="CA243" i="150"/>
  <c r="CB243" i="150"/>
  <c r="BE244" i="150"/>
  <c r="BF244" i="150"/>
  <c r="BG244" i="150"/>
  <c r="BH244" i="150"/>
  <c r="BI244" i="150"/>
  <c r="BJ244" i="150"/>
  <c r="BK244" i="150"/>
  <c r="BL244" i="150"/>
  <c r="BM244" i="150"/>
  <c r="BN244" i="150"/>
  <c r="BO244" i="150"/>
  <c r="BP244" i="150"/>
  <c r="BQ244" i="150"/>
  <c r="BR244" i="150"/>
  <c r="BS244" i="150"/>
  <c r="BT244" i="150"/>
  <c r="BU244" i="150"/>
  <c r="BV244" i="150"/>
  <c r="BW244" i="150"/>
  <c r="BX244" i="150"/>
  <c r="BY244" i="150"/>
  <c r="BZ244" i="150"/>
  <c r="CA244" i="150"/>
  <c r="CB244" i="150"/>
  <c r="BE245" i="150"/>
  <c r="BF245" i="150"/>
  <c r="BG245" i="150"/>
  <c r="BH245" i="150"/>
  <c r="BI245" i="150"/>
  <c r="BJ245" i="150"/>
  <c r="BK245" i="150"/>
  <c r="BL245" i="150"/>
  <c r="BM245" i="150"/>
  <c r="BN245" i="150"/>
  <c r="BO245" i="150"/>
  <c r="BP245" i="150"/>
  <c r="BQ245" i="150"/>
  <c r="BR245" i="150"/>
  <c r="BS245" i="150"/>
  <c r="BT245" i="150"/>
  <c r="BU245" i="150"/>
  <c r="BV245" i="150"/>
  <c r="BW245" i="150"/>
  <c r="BX245" i="150"/>
  <c r="BY245" i="150"/>
  <c r="BZ245" i="150"/>
  <c r="CA245" i="150"/>
  <c r="CB245" i="150"/>
  <c r="BE246" i="150"/>
  <c r="BF246" i="150"/>
  <c r="BG246" i="150"/>
  <c r="BH246" i="150"/>
  <c r="BI246" i="150"/>
  <c r="BJ246" i="150"/>
  <c r="BK246" i="150"/>
  <c r="BL246" i="150"/>
  <c r="BM246" i="150"/>
  <c r="BN246" i="150"/>
  <c r="BO246" i="150"/>
  <c r="BP246" i="150"/>
  <c r="BQ246" i="150"/>
  <c r="BR246" i="150"/>
  <c r="BS246" i="150"/>
  <c r="BT246" i="150"/>
  <c r="BU246" i="150"/>
  <c r="BV246" i="150"/>
  <c r="BW246" i="150"/>
  <c r="BX246" i="150"/>
  <c r="BY246" i="150"/>
  <c r="BZ246" i="150"/>
  <c r="CA246" i="150"/>
  <c r="CB246" i="150"/>
  <c r="BE247" i="150"/>
  <c r="BF247" i="150"/>
  <c r="BG247" i="150"/>
  <c r="BH247" i="150"/>
  <c r="BI247" i="150"/>
  <c r="BJ247" i="150"/>
  <c r="BK247" i="150"/>
  <c r="BL247" i="150"/>
  <c r="BM247" i="150"/>
  <c r="BN247" i="150"/>
  <c r="BO247" i="150"/>
  <c r="BP247" i="150"/>
  <c r="BQ247" i="150"/>
  <c r="BR247" i="150"/>
  <c r="BS247" i="150"/>
  <c r="BT247" i="150"/>
  <c r="BU247" i="150"/>
  <c r="BV247" i="150"/>
  <c r="BW247" i="150"/>
  <c r="BX247" i="150"/>
  <c r="BY247" i="150"/>
  <c r="BZ247" i="150"/>
  <c r="CA247" i="150"/>
  <c r="CB247" i="150"/>
  <c r="BE248" i="150"/>
  <c r="BF248" i="150"/>
  <c r="BG248" i="150"/>
  <c r="BH248" i="150"/>
  <c r="BI248" i="150"/>
  <c r="BJ248" i="150"/>
  <c r="BK248" i="150"/>
  <c r="BL248" i="150"/>
  <c r="BM248" i="150"/>
  <c r="BN248" i="150"/>
  <c r="BO248" i="150"/>
  <c r="BP248" i="150"/>
  <c r="BQ248" i="150"/>
  <c r="BR248" i="150"/>
  <c r="BS248" i="150"/>
  <c r="BT248" i="150"/>
  <c r="BU248" i="150"/>
  <c r="BV248" i="150"/>
  <c r="BW248" i="150"/>
  <c r="BX248" i="150"/>
  <c r="BY248" i="150"/>
  <c r="BZ248" i="150"/>
  <c r="CA248" i="150"/>
  <c r="CB248" i="150"/>
  <c r="BE249" i="150"/>
  <c r="BF249" i="150"/>
  <c r="BG249" i="150"/>
  <c r="BH249" i="150"/>
  <c r="BI249" i="150"/>
  <c r="BJ249" i="150"/>
  <c r="BK249" i="150"/>
  <c r="BL249" i="150"/>
  <c r="BM249" i="150"/>
  <c r="BN249" i="150"/>
  <c r="BO249" i="150"/>
  <c r="BP249" i="150"/>
  <c r="BQ249" i="150"/>
  <c r="BR249" i="150"/>
  <c r="BS249" i="150"/>
  <c r="BT249" i="150"/>
  <c r="BU249" i="150"/>
  <c r="BV249" i="150"/>
  <c r="BW249" i="150"/>
  <c r="BX249" i="150"/>
  <c r="BY249" i="150"/>
  <c r="BZ249" i="150"/>
  <c r="CA249" i="150"/>
  <c r="CB249" i="150"/>
  <c r="BE250" i="150"/>
  <c r="BF250" i="150"/>
  <c r="BG250" i="150"/>
  <c r="BH250" i="150"/>
  <c r="BI250" i="150"/>
  <c r="BJ250" i="150"/>
  <c r="BK250" i="150"/>
  <c r="BL250" i="150"/>
  <c r="BM250" i="150"/>
  <c r="BN250" i="150"/>
  <c r="BO250" i="150"/>
  <c r="BP250" i="150"/>
  <c r="BQ250" i="150"/>
  <c r="BR250" i="150"/>
  <c r="BS250" i="150"/>
  <c r="BT250" i="150"/>
  <c r="BU250" i="150"/>
  <c r="BV250" i="150"/>
  <c r="BW250" i="150"/>
  <c r="BX250" i="150"/>
  <c r="BY250" i="150"/>
  <c r="BZ250" i="150"/>
  <c r="CA250" i="150"/>
  <c r="CB250" i="150"/>
  <c r="BE251" i="150"/>
  <c r="BF251" i="150"/>
  <c r="BG251" i="150"/>
  <c r="BH251" i="150"/>
  <c r="BI251" i="150"/>
  <c r="BJ251" i="150"/>
  <c r="BK251" i="150"/>
  <c r="BL251" i="150"/>
  <c r="BM251" i="150"/>
  <c r="BN251" i="150"/>
  <c r="BO251" i="150"/>
  <c r="BP251" i="150"/>
  <c r="BQ251" i="150"/>
  <c r="BR251" i="150"/>
  <c r="BS251" i="150"/>
  <c r="BT251" i="150"/>
  <c r="BU251" i="150"/>
  <c r="BV251" i="150"/>
  <c r="BW251" i="150"/>
  <c r="BX251" i="150"/>
  <c r="BY251" i="150"/>
  <c r="BZ251" i="150"/>
  <c r="CA251" i="150"/>
  <c r="CB251" i="150"/>
  <c r="BE252" i="150"/>
  <c r="BF252" i="150"/>
  <c r="BG252" i="150"/>
  <c r="BH252" i="150"/>
  <c r="BI252" i="150"/>
  <c r="BJ252" i="150"/>
  <c r="BK252" i="150"/>
  <c r="BL252" i="150"/>
  <c r="BM252" i="150"/>
  <c r="BN252" i="150"/>
  <c r="BO252" i="150"/>
  <c r="BP252" i="150"/>
  <c r="BQ252" i="150"/>
  <c r="BR252" i="150"/>
  <c r="BS252" i="150"/>
  <c r="BT252" i="150"/>
  <c r="BU252" i="150"/>
  <c r="BV252" i="150"/>
  <c r="BW252" i="150"/>
  <c r="BX252" i="150"/>
  <c r="BY252" i="150"/>
  <c r="BZ252" i="150"/>
  <c r="CA252" i="150"/>
  <c r="CB252" i="150"/>
  <c r="BE253" i="150"/>
  <c r="BF253" i="150"/>
  <c r="BG253" i="150"/>
  <c r="BH253" i="150"/>
  <c r="BI253" i="150"/>
  <c r="BJ253" i="150"/>
  <c r="BK253" i="150"/>
  <c r="BL253" i="150"/>
  <c r="BM253" i="150"/>
  <c r="BN253" i="150"/>
  <c r="BO253" i="150"/>
  <c r="BP253" i="150"/>
  <c r="BQ253" i="150"/>
  <c r="BR253" i="150"/>
  <c r="BS253" i="150"/>
  <c r="BT253" i="150"/>
  <c r="BU253" i="150"/>
  <c r="BV253" i="150"/>
  <c r="BW253" i="150"/>
  <c r="BX253" i="150"/>
  <c r="BY253" i="150"/>
  <c r="BZ253" i="150"/>
  <c r="CA253" i="150"/>
  <c r="CB253" i="150"/>
  <c r="BE254" i="150"/>
  <c r="BF254" i="150"/>
  <c r="BG254" i="150"/>
  <c r="BH254" i="150"/>
  <c r="BI254" i="150"/>
  <c r="BJ254" i="150"/>
  <c r="BK254" i="150"/>
  <c r="BL254" i="150"/>
  <c r="BM254" i="150"/>
  <c r="BN254" i="150"/>
  <c r="BO254" i="150"/>
  <c r="BP254" i="150"/>
  <c r="BQ254" i="150"/>
  <c r="BR254" i="150"/>
  <c r="BS254" i="150"/>
  <c r="BT254" i="150"/>
  <c r="BU254" i="150"/>
  <c r="BV254" i="150"/>
  <c r="BW254" i="150"/>
  <c r="BX254" i="150"/>
  <c r="BY254" i="150"/>
  <c r="BZ254" i="150"/>
  <c r="CA254" i="150"/>
  <c r="CB254" i="150"/>
  <c r="BE255" i="150"/>
  <c r="BF255" i="150"/>
  <c r="BG255" i="150"/>
  <c r="BH255" i="150"/>
  <c r="BI255" i="150"/>
  <c r="BJ255" i="150"/>
  <c r="BK255" i="150"/>
  <c r="BL255" i="150"/>
  <c r="BM255" i="150"/>
  <c r="BN255" i="150"/>
  <c r="BO255" i="150"/>
  <c r="BP255" i="150"/>
  <c r="BQ255" i="150"/>
  <c r="BR255" i="150"/>
  <c r="BS255" i="150"/>
  <c r="BT255" i="150"/>
  <c r="BU255" i="150"/>
  <c r="BV255" i="150"/>
  <c r="BW255" i="150"/>
  <c r="BX255" i="150"/>
  <c r="BY255" i="150"/>
  <c r="BZ255" i="150"/>
  <c r="CA255" i="150"/>
  <c r="CB255" i="150"/>
  <c r="BE256" i="150"/>
  <c r="BF256" i="150"/>
  <c r="BG256" i="150"/>
  <c r="BH256" i="150"/>
  <c r="BI256" i="150"/>
  <c r="BJ256" i="150"/>
  <c r="BK256" i="150"/>
  <c r="BL256" i="150"/>
  <c r="BM256" i="150"/>
  <c r="BN256" i="150"/>
  <c r="BO256" i="150"/>
  <c r="BP256" i="150"/>
  <c r="BQ256" i="150"/>
  <c r="BR256" i="150"/>
  <c r="BS256" i="150"/>
  <c r="BT256" i="150"/>
  <c r="BU256" i="150"/>
  <c r="BV256" i="150"/>
  <c r="BW256" i="150"/>
  <c r="BX256" i="150"/>
  <c r="BY256" i="150"/>
  <c r="BZ256" i="150"/>
  <c r="CA256" i="150"/>
  <c r="CB256" i="150"/>
  <c r="BE257" i="150"/>
  <c r="BF257" i="150"/>
  <c r="BG257" i="150"/>
  <c r="BH257" i="150"/>
  <c r="BI257" i="150"/>
  <c r="BJ257" i="150"/>
  <c r="BK257" i="150"/>
  <c r="BL257" i="150"/>
  <c r="BM257" i="150"/>
  <c r="BN257" i="150"/>
  <c r="BO257" i="150"/>
  <c r="BP257" i="150"/>
  <c r="BQ257" i="150"/>
  <c r="BR257" i="150"/>
  <c r="BS257" i="150"/>
  <c r="BT257" i="150"/>
  <c r="BU257" i="150"/>
  <c r="BV257" i="150"/>
  <c r="BW257" i="150"/>
  <c r="BX257" i="150"/>
  <c r="BY257" i="150"/>
  <c r="BZ257" i="150"/>
  <c r="CA257" i="150"/>
  <c r="CB257" i="150"/>
  <c r="BE258" i="150"/>
  <c r="BF258" i="150"/>
  <c r="BG258" i="150"/>
  <c r="BH258" i="150"/>
  <c r="BI258" i="150"/>
  <c r="BJ258" i="150"/>
  <c r="BK258" i="150"/>
  <c r="BL258" i="150"/>
  <c r="BM258" i="150"/>
  <c r="BN258" i="150"/>
  <c r="BO258" i="150"/>
  <c r="BP258" i="150"/>
  <c r="BQ258" i="150"/>
  <c r="BR258" i="150"/>
  <c r="BS258" i="150"/>
  <c r="BT258" i="150"/>
  <c r="BU258" i="150"/>
  <c r="BV258" i="150"/>
  <c r="BW258" i="150"/>
  <c r="BX258" i="150"/>
  <c r="BY258" i="150"/>
  <c r="BZ258" i="150"/>
  <c r="CA258" i="150"/>
  <c r="CB258" i="150"/>
  <c r="BE259" i="150"/>
  <c r="BF259" i="150"/>
  <c r="BG259" i="150"/>
  <c r="BH259" i="150"/>
  <c r="BI259" i="150"/>
  <c r="BJ259" i="150"/>
  <c r="BK259" i="150"/>
  <c r="BL259" i="150"/>
  <c r="BM259" i="150"/>
  <c r="BN259" i="150"/>
  <c r="BO259" i="150"/>
  <c r="BP259" i="150"/>
  <c r="BQ259" i="150"/>
  <c r="BR259" i="150"/>
  <c r="BS259" i="150"/>
  <c r="BT259" i="150"/>
  <c r="BU259" i="150"/>
  <c r="BV259" i="150"/>
  <c r="BW259" i="150"/>
  <c r="BX259" i="150"/>
  <c r="BY259" i="150"/>
  <c r="BZ259" i="150"/>
  <c r="CA259" i="150"/>
  <c r="CB259" i="150"/>
  <c r="BE260" i="150"/>
  <c r="BF260" i="150"/>
  <c r="BG260" i="150"/>
  <c r="BH260" i="150"/>
  <c r="BI260" i="150"/>
  <c r="BJ260" i="150"/>
  <c r="BK260" i="150"/>
  <c r="BL260" i="150"/>
  <c r="BM260" i="150"/>
  <c r="BN260" i="150"/>
  <c r="BO260" i="150"/>
  <c r="BP260" i="150"/>
  <c r="BQ260" i="150"/>
  <c r="BR260" i="150"/>
  <c r="BS260" i="150"/>
  <c r="BT260" i="150"/>
  <c r="BU260" i="150"/>
  <c r="BV260" i="150"/>
  <c r="BW260" i="150"/>
  <c r="BX260" i="150"/>
  <c r="BY260" i="150"/>
  <c r="BZ260" i="150"/>
  <c r="CA260" i="150"/>
  <c r="CB260" i="150"/>
  <c r="BE261" i="150"/>
  <c r="BF261" i="150"/>
  <c r="BG261" i="150"/>
  <c r="BH261" i="150"/>
  <c r="BI261" i="150"/>
  <c r="BJ261" i="150"/>
  <c r="BK261" i="150"/>
  <c r="BL261" i="150"/>
  <c r="BM261" i="150"/>
  <c r="BN261" i="150"/>
  <c r="BO261" i="150"/>
  <c r="BP261" i="150"/>
  <c r="BQ261" i="150"/>
  <c r="BR261" i="150"/>
  <c r="BS261" i="150"/>
  <c r="BT261" i="150"/>
  <c r="BU261" i="150"/>
  <c r="BV261" i="150"/>
  <c r="BW261" i="150"/>
  <c r="BX261" i="150"/>
  <c r="BY261" i="150"/>
  <c r="BZ261" i="150"/>
  <c r="CA261" i="150"/>
  <c r="CB261" i="150"/>
  <c r="BE262" i="150"/>
  <c r="BF262" i="150"/>
  <c r="BG262" i="150"/>
  <c r="BH262" i="150"/>
  <c r="BI262" i="150"/>
  <c r="BJ262" i="150"/>
  <c r="BK262" i="150"/>
  <c r="BL262" i="150"/>
  <c r="BM262" i="150"/>
  <c r="BN262" i="150"/>
  <c r="BO262" i="150"/>
  <c r="BP262" i="150"/>
  <c r="BQ262" i="150"/>
  <c r="BR262" i="150"/>
  <c r="BS262" i="150"/>
  <c r="BT262" i="150"/>
  <c r="BU262" i="150"/>
  <c r="BV262" i="150"/>
  <c r="BW262" i="150"/>
  <c r="BX262" i="150"/>
  <c r="BY262" i="150"/>
  <c r="BZ262" i="150"/>
  <c r="CA262" i="150"/>
  <c r="CB262" i="150"/>
  <c r="BE263" i="150"/>
  <c r="BF263" i="150"/>
  <c r="BG263" i="150"/>
  <c r="BH263" i="150"/>
  <c r="BI263" i="150"/>
  <c r="BJ263" i="150"/>
  <c r="BK263" i="150"/>
  <c r="BL263" i="150"/>
  <c r="BM263" i="150"/>
  <c r="BN263" i="150"/>
  <c r="BO263" i="150"/>
  <c r="BP263" i="150"/>
  <c r="BQ263" i="150"/>
  <c r="BR263" i="150"/>
  <c r="BS263" i="150"/>
  <c r="BT263" i="150"/>
  <c r="BU263" i="150"/>
  <c r="BV263" i="150"/>
  <c r="BW263" i="150"/>
  <c r="BX263" i="150"/>
  <c r="BY263" i="150"/>
  <c r="BZ263" i="150"/>
  <c r="CA263" i="150"/>
  <c r="CB263" i="150"/>
  <c r="BE264" i="150"/>
  <c r="BF264" i="150"/>
  <c r="BG264" i="150"/>
  <c r="BH264" i="150"/>
  <c r="BI264" i="150"/>
  <c r="BJ264" i="150"/>
  <c r="BK264" i="150"/>
  <c r="BL264" i="150"/>
  <c r="BM264" i="150"/>
  <c r="BN264" i="150"/>
  <c r="BO264" i="150"/>
  <c r="BP264" i="150"/>
  <c r="BQ264" i="150"/>
  <c r="BR264" i="150"/>
  <c r="BS264" i="150"/>
  <c r="BT264" i="150"/>
  <c r="BU264" i="150"/>
  <c r="BV264" i="150"/>
  <c r="BW264" i="150"/>
  <c r="BX264" i="150"/>
  <c r="BY264" i="150"/>
  <c r="BZ264" i="150"/>
  <c r="CA264" i="150"/>
  <c r="CB264" i="150"/>
  <c r="BE265" i="150"/>
  <c r="BF265" i="150"/>
  <c r="BG265" i="150"/>
  <c r="BH265" i="150"/>
  <c r="BI265" i="150"/>
  <c r="BJ265" i="150"/>
  <c r="BK265" i="150"/>
  <c r="BL265" i="150"/>
  <c r="BM265" i="150"/>
  <c r="BN265" i="150"/>
  <c r="BO265" i="150"/>
  <c r="BP265" i="150"/>
  <c r="BQ265" i="150"/>
  <c r="BR265" i="150"/>
  <c r="BS265" i="150"/>
  <c r="BT265" i="150"/>
  <c r="BU265" i="150"/>
  <c r="BV265" i="150"/>
  <c r="BW265" i="150"/>
  <c r="BX265" i="150"/>
  <c r="BY265" i="150"/>
  <c r="BZ265" i="150"/>
  <c r="CA265" i="150"/>
  <c r="CB265" i="150"/>
  <c r="BE266" i="150"/>
  <c r="BF266" i="150"/>
  <c r="BG266" i="150"/>
  <c r="BH266" i="150"/>
  <c r="BI266" i="150"/>
  <c r="BJ266" i="150"/>
  <c r="BK266" i="150"/>
  <c r="BL266" i="150"/>
  <c r="BM266" i="150"/>
  <c r="BN266" i="150"/>
  <c r="BO266" i="150"/>
  <c r="BP266" i="150"/>
  <c r="BQ266" i="150"/>
  <c r="BR266" i="150"/>
  <c r="BS266" i="150"/>
  <c r="BT266" i="150"/>
  <c r="BU266" i="150"/>
  <c r="BV266" i="150"/>
  <c r="BW266" i="150"/>
  <c r="BX266" i="150"/>
  <c r="BY266" i="150"/>
  <c r="BZ266" i="150"/>
  <c r="CA266" i="150"/>
  <c r="CB266" i="150"/>
  <c r="BE267" i="150"/>
  <c r="BF267" i="150"/>
  <c r="BG267" i="150"/>
  <c r="BH267" i="150"/>
  <c r="BI267" i="150"/>
  <c r="BJ267" i="150"/>
  <c r="BK267" i="150"/>
  <c r="BL267" i="150"/>
  <c r="BM267" i="150"/>
  <c r="BN267" i="150"/>
  <c r="BO267" i="150"/>
  <c r="BP267" i="150"/>
  <c r="BQ267" i="150"/>
  <c r="BR267" i="150"/>
  <c r="BS267" i="150"/>
  <c r="BT267" i="150"/>
  <c r="BU267" i="150"/>
  <c r="BV267" i="150"/>
  <c r="BW267" i="150"/>
  <c r="BX267" i="150"/>
  <c r="BY267" i="150"/>
  <c r="BZ267" i="150"/>
  <c r="CA267" i="150"/>
  <c r="CB267" i="150"/>
  <c r="BE268" i="150"/>
  <c r="BF268" i="150"/>
  <c r="BG268" i="150"/>
  <c r="BH268" i="150"/>
  <c r="BI268" i="150"/>
  <c r="BJ268" i="150"/>
  <c r="BK268" i="150"/>
  <c r="BL268" i="150"/>
  <c r="BM268" i="150"/>
  <c r="BN268" i="150"/>
  <c r="BO268" i="150"/>
  <c r="BP268" i="150"/>
  <c r="BQ268" i="150"/>
  <c r="BR268" i="150"/>
  <c r="BS268" i="150"/>
  <c r="BT268" i="150"/>
  <c r="BU268" i="150"/>
  <c r="BV268" i="150"/>
  <c r="BW268" i="150"/>
  <c r="BX268" i="150"/>
  <c r="BY268" i="150"/>
  <c r="BZ268" i="150"/>
  <c r="CA268" i="150"/>
  <c r="CB268" i="150"/>
  <c r="BE269" i="150"/>
  <c r="BF269" i="150"/>
  <c r="BG269" i="150"/>
  <c r="BH269" i="150"/>
  <c r="BI269" i="150"/>
  <c r="BJ269" i="150"/>
  <c r="BK269" i="150"/>
  <c r="BL269" i="150"/>
  <c r="BM269" i="150"/>
  <c r="BN269" i="150"/>
  <c r="BO269" i="150"/>
  <c r="BP269" i="150"/>
  <c r="BQ269" i="150"/>
  <c r="BR269" i="150"/>
  <c r="BS269" i="150"/>
  <c r="BT269" i="150"/>
  <c r="BU269" i="150"/>
  <c r="BV269" i="150"/>
  <c r="BW269" i="150"/>
  <c r="BX269" i="150"/>
  <c r="BY269" i="150"/>
  <c r="BZ269" i="150"/>
  <c r="CA269" i="150"/>
  <c r="CB269" i="150"/>
  <c r="BE270" i="150"/>
  <c r="BF270" i="150"/>
  <c r="BG270" i="150"/>
  <c r="BH270" i="150"/>
  <c r="BI270" i="150"/>
  <c r="BJ270" i="150"/>
  <c r="BK270" i="150"/>
  <c r="BL270" i="150"/>
  <c r="BM270" i="150"/>
  <c r="BN270" i="150"/>
  <c r="BO270" i="150"/>
  <c r="BP270" i="150"/>
  <c r="BQ270" i="150"/>
  <c r="BR270" i="150"/>
  <c r="BS270" i="150"/>
  <c r="BT270" i="150"/>
  <c r="BU270" i="150"/>
  <c r="BV270" i="150"/>
  <c r="BW270" i="150"/>
  <c r="BX270" i="150"/>
  <c r="BY270" i="150"/>
  <c r="BZ270" i="150"/>
  <c r="CA270" i="150"/>
  <c r="CB270" i="150"/>
  <c r="BE271" i="150"/>
  <c r="BF271" i="150"/>
  <c r="BG271" i="150"/>
  <c r="BH271" i="150"/>
  <c r="BI271" i="150"/>
  <c r="BJ271" i="150"/>
  <c r="BK271" i="150"/>
  <c r="BL271" i="150"/>
  <c r="BM271" i="150"/>
  <c r="BN271" i="150"/>
  <c r="BO271" i="150"/>
  <c r="BP271" i="150"/>
  <c r="BQ271" i="150"/>
  <c r="BR271" i="150"/>
  <c r="BS271" i="150"/>
  <c r="BT271" i="150"/>
  <c r="BU271" i="150"/>
  <c r="BV271" i="150"/>
  <c r="BW271" i="150"/>
  <c r="BX271" i="150"/>
  <c r="BY271" i="150"/>
  <c r="BZ271" i="150"/>
  <c r="CA271" i="150"/>
  <c r="CB271" i="150"/>
  <c r="BE272" i="150"/>
  <c r="BF272" i="150"/>
  <c r="BG272" i="150"/>
  <c r="BH272" i="150"/>
  <c r="BI272" i="150"/>
  <c r="BJ272" i="150"/>
  <c r="BK272" i="150"/>
  <c r="BL272" i="150"/>
  <c r="BM272" i="150"/>
  <c r="BN272" i="150"/>
  <c r="BO272" i="150"/>
  <c r="BP272" i="150"/>
  <c r="BQ272" i="150"/>
  <c r="BR272" i="150"/>
  <c r="BS272" i="150"/>
  <c r="BT272" i="150"/>
  <c r="BU272" i="150"/>
  <c r="BV272" i="150"/>
  <c r="BW272" i="150"/>
  <c r="BX272" i="150"/>
  <c r="BY272" i="150"/>
  <c r="BZ272" i="150"/>
  <c r="CA272" i="150"/>
  <c r="CB272" i="150"/>
  <c r="BE273" i="150"/>
  <c r="BF273" i="150"/>
  <c r="BG273" i="150"/>
  <c r="BH273" i="150"/>
  <c r="BI273" i="150"/>
  <c r="BJ273" i="150"/>
  <c r="BK273" i="150"/>
  <c r="BL273" i="150"/>
  <c r="BM273" i="150"/>
  <c r="BN273" i="150"/>
  <c r="BO273" i="150"/>
  <c r="BP273" i="150"/>
  <c r="BQ273" i="150"/>
  <c r="BR273" i="150"/>
  <c r="BS273" i="150"/>
  <c r="BT273" i="150"/>
  <c r="BU273" i="150"/>
  <c r="BV273" i="150"/>
  <c r="BW273" i="150"/>
  <c r="BX273" i="150"/>
  <c r="BY273" i="150"/>
  <c r="BZ273" i="150"/>
  <c r="CA273" i="150"/>
  <c r="CB273" i="150"/>
  <c r="BE274" i="150"/>
  <c r="BF274" i="150"/>
  <c r="BG274" i="150"/>
  <c r="BH274" i="150"/>
  <c r="BI274" i="150"/>
  <c r="BJ274" i="150"/>
  <c r="BK274" i="150"/>
  <c r="BL274" i="150"/>
  <c r="BM274" i="150"/>
  <c r="BN274" i="150"/>
  <c r="BO274" i="150"/>
  <c r="BP274" i="150"/>
  <c r="BQ274" i="150"/>
  <c r="BR274" i="150"/>
  <c r="BS274" i="150"/>
  <c r="BT274" i="150"/>
  <c r="BU274" i="150"/>
  <c r="BV274" i="150"/>
  <c r="BW274" i="150"/>
  <c r="BX274" i="150"/>
  <c r="BY274" i="150"/>
  <c r="BZ274" i="150"/>
  <c r="CA274" i="150"/>
  <c r="CB274" i="150"/>
  <c r="BE275" i="150"/>
  <c r="BF275" i="150"/>
  <c r="BG275" i="150"/>
  <c r="BH275" i="150"/>
  <c r="BI275" i="150"/>
  <c r="BJ275" i="150"/>
  <c r="BK275" i="150"/>
  <c r="BL275" i="150"/>
  <c r="BM275" i="150"/>
  <c r="BN275" i="150"/>
  <c r="BO275" i="150"/>
  <c r="BP275" i="150"/>
  <c r="BQ275" i="150"/>
  <c r="BR275" i="150"/>
  <c r="BS275" i="150"/>
  <c r="BT275" i="150"/>
  <c r="BU275" i="150"/>
  <c r="BV275" i="150"/>
  <c r="BW275" i="150"/>
  <c r="BX275" i="150"/>
  <c r="BY275" i="150"/>
  <c r="BZ275" i="150"/>
  <c r="CA275" i="150"/>
  <c r="CB275" i="150"/>
  <c r="BE276" i="150"/>
  <c r="BF276" i="150"/>
  <c r="BG276" i="150"/>
  <c r="BH276" i="150"/>
  <c r="BI276" i="150"/>
  <c r="BJ276" i="150"/>
  <c r="BK276" i="150"/>
  <c r="BL276" i="150"/>
  <c r="BM276" i="150"/>
  <c r="BN276" i="150"/>
  <c r="BO276" i="150"/>
  <c r="BP276" i="150"/>
  <c r="BQ276" i="150"/>
  <c r="BR276" i="150"/>
  <c r="BS276" i="150"/>
  <c r="BT276" i="150"/>
  <c r="BU276" i="150"/>
  <c r="BV276" i="150"/>
  <c r="BW276" i="150"/>
  <c r="BX276" i="150"/>
  <c r="BY276" i="150"/>
  <c r="BZ276" i="150"/>
  <c r="CA276" i="150"/>
  <c r="CB276" i="150"/>
  <c r="BE277" i="150"/>
  <c r="BF277" i="150"/>
  <c r="BG277" i="150"/>
  <c r="BH277" i="150"/>
  <c r="BI277" i="150"/>
  <c r="BJ277" i="150"/>
  <c r="BK277" i="150"/>
  <c r="BL277" i="150"/>
  <c r="BM277" i="150"/>
  <c r="BN277" i="150"/>
  <c r="BO277" i="150"/>
  <c r="BP277" i="150"/>
  <c r="BQ277" i="150"/>
  <c r="BR277" i="150"/>
  <c r="BS277" i="150"/>
  <c r="BT277" i="150"/>
  <c r="BU277" i="150"/>
  <c r="BV277" i="150"/>
  <c r="BW277" i="150"/>
  <c r="BX277" i="150"/>
  <c r="BY277" i="150"/>
  <c r="BZ277" i="150"/>
  <c r="CA277" i="150"/>
  <c r="CB277" i="150"/>
  <c r="BE278" i="150"/>
  <c r="BF278" i="150"/>
  <c r="BG278" i="150"/>
  <c r="BH278" i="150"/>
  <c r="BI278" i="150"/>
  <c r="BJ278" i="150"/>
  <c r="BK278" i="150"/>
  <c r="BL278" i="150"/>
  <c r="BM278" i="150"/>
  <c r="BN278" i="150"/>
  <c r="BO278" i="150"/>
  <c r="BP278" i="150"/>
  <c r="BQ278" i="150"/>
  <c r="BR278" i="150"/>
  <c r="BS278" i="150"/>
  <c r="BT278" i="150"/>
  <c r="BU278" i="150"/>
  <c r="BV278" i="150"/>
  <c r="BW278" i="150"/>
  <c r="BX278" i="150"/>
  <c r="BY278" i="150"/>
  <c r="BZ278" i="150"/>
  <c r="CA278" i="150"/>
  <c r="CB278" i="150"/>
  <c r="BE279" i="150"/>
  <c r="BF279" i="150"/>
  <c r="BG279" i="150"/>
  <c r="BH279" i="150"/>
  <c r="BI279" i="150"/>
  <c r="BJ279" i="150"/>
  <c r="BK279" i="150"/>
  <c r="BL279" i="150"/>
  <c r="BM279" i="150"/>
  <c r="BN279" i="150"/>
  <c r="BO279" i="150"/>
  <c r="BP279" i="150"/>
  <c r="BQ279" i="150"/>
  <c r="BR279" i="150"/>
  <c r="BS279" i="150"/>
  <c r="BT279" i="150"/>
  <c r="BU279" i="150"/>
  <c r="BV279" i="150"/>
  <c r="BW279" i="150"/>
  <c r="BX279" i="150"/>
  <c r="BY279" i="150"/>
  <c r="BZ279" i="150"/>
  <c r="CA279" i="150"/>
  <c r="CB279" i="150"/>
  <c r="BE280" i="150"/>
  <c r="BF280" i="150"/>
  <c r="BG280" i="150"/>
  <c r="BH280" i="150"/>
  <c r="BI280" i="150"/>
  <c r="BJ280" i="150"/>
  <c r="BK280" i="150"/>
  <c r="BL280" i="150"/>
  <c r="BM280" i="150"/>
  <c r="BN280" i="150"/>
  <c r="BO280" i="150"/>
  <c r="BP280" i="150"/>
  <c r="BQ280" i="150"/>
  <c r="BR280" i="150"/>
  <c r="BS280" i="150"/>
  <c r="BT280" i="150"/>
  <c r="BU280" i="150"/>
  <c r="BV280" i="150"/>
  <c r="BW280" i="150"/>
  <c r="BX280" i="150"/>
  <c r="BY280" i="150"/>
  <c r="BZ280" i="150"/>
  <c r="CA280" i="150"/>
  <c r="CB280" i="150"/>
  <c r="BE281" i="150"/>
  <c r="BF281" i="150"/>
  <c r="BG281" i="150"/>
  <c r="BH281" i="150"/>
  <c r="BI281" i="150"/>
  <c r="BJ281" i="150"/>
  <c r="BK281" i="150"/>
  <c r="BL281" i="150"/>
  <c r="BM281" i="150"/>
  <c r="BN281" i="150"/>
  <c r="BO281" i="150"/>
  <c r="BP281" i="150"/>
  <c r="BQ281" i="150"/>
  <c r="BR281" i="150"/>
  <c r="BS281" i="150"/>
  <c r="BT281" i="150"/>
  <c r="BU281" i="150"/>
  <c r="BV281" i="150"/>
  <c r="BW281" i="150"/>
  <c r="BX281" i="150"/>
  <c r="BY281" i="150"/>
  <c r="BZ281" i="150"/>
  <c r="CA281" i="150"/>
  <c r="CB281" i="150"/>
  <c r="BE282" i="150"/>
  <c r="BF282" i="150"/>
  <c r="BG282" i="150"/>
  <c r="BH282" i="150"/>
  <c r="BI282" i="150"/>
  <c r="BJ282" i="150"/>
  <c r="BK282" i="150"/>
  <c r="BL282" i="150"/>
  <c r="BM282" i="150"/>
  <c r="BN282" i="150"/>
  <c r="BO282" i="150"/>
  <c r="BP282" i="150"/>
  <c r="BQ282" i="150"/>
  <c r="BR282" i="150"/>
  <c r="BS282" i="150"/>
  <c r="BT282" i="150"/>
  <c r="BU282" i="150"/>
  <c r="BV282" i="150"/>
  <c r="BW282" i="150"/>
  <c r="BX282" i="150"/>
  <c r="BY282" i="150"/>
  <c r="BZ282" i="150"/>
  <c r="CA282" i="150"/>
  <c r="CB282" i="150"/>
  <c r="BE283" i="150"/>
  <c r="BF283" i="150"/>
  <c r="BG283" i="150"/>
  <c r="BH283" i="150"/>
  <c r="BI283" i="150"/>
  <c r="BJ283" i="150"/>
  <c r="BK283" i="150"/>
  <c r="BL283" i="150"/>
  <c r="BM283" i="150"/>
  <c r="BN283" i="150"/>
  <c r="BO283" i="150"/>
  <c r="BP283" i="150"/>
  <c r="BQ283" i="150"/>
  <c r="BR283" i="150"/>
  <c r="BS283" i="150"/>
  <c r="BT283" i="150"/>
  <c r="BU283" i="150"/>
  <c r="BV283" i="150"/>
  <c r="BW283" i="150"/>
  <c r="BX283" i="150"/>
  <c r="BY283" i="150"/>
  <c r="BZ283" i="150"/>
  <c r="CA283" i="150"/>
  <c r="CB283" i="150"/>
  <c r="BE284" i="150"/>
  <c r="BF284" i="150"/>
  <c r="BG284" i="150"/>
  <c r="BH284" i="150"/>
  <c r="BI284" i="150"/>
  <c r="BJ284" i="150"/>
  <c r="BK284" i="150"/>
  <c r="BL284" i="150"/>
  <c r="BM284" i="150"/>
  <c r="BN284" i="150"/>
  <c r="BO284" i="150"/>
  <c r="BP284" i="150"/>
  <c r="BQ284" i="150"/>
  <c r="BR284" i="150"/>
  <c r="BS284" i="150"/>
  <c r="BT284" i="150"/>
  <c r="BU284" i="150"/>
  <c r="BV284" i="150"/>
  <c r="BW284" i="150"/>
  <c r="BX284" i="150"/>
  <c r="BY284" i="150"/>
  <c r="BZ284" i="150"/>
  <c r="CA284" i="150"/>
  <c r="CB284" i="150"/>
  <c r="BE285" i="150"/>
  <c r="BF285" i="150"/>
  <c r="BG285" i="150"/>
  <c r="BH285" i="150"/>
  <c r="BI285" i="150"/>
  <c r="BJ285" i="150"/>
  <c r="BK285" i="150"/>
  <c r="BL285" i="150"/>
  <c r="BM285" i="150"/>
  <c r="BN285" i="150"/>
  <c r="BO285" i="150"/>
  <c r="BP285" i="150"/>
  <c r="BQ285" i="150"/>
  <c r="BR285" i="150"/>
  <c r="BS285" i="150"/>
  <c r="BT285" i="150"/>
  <c r="BU285" i="150"/>
  <c r="BV285" i="150"/>
  <c r="BW285" i="150"/>
  <c r="BX285" i="150"/>
  <c r="BY285" i="150"/>
  <c r="BZ285" i="150"/>
  <c r="CA285" i="150"/>
  <c r="CB285" i="150"/>
  <c r="BE286" i="150"/>
  <c r="BF286" i="150"/>
  <c r="BG286" i="150"/>
  <c r="BH286" i="150"/>
  <c r="BI286" i="150"/>
  <c r="BJ286" i="150"/>
  <c r="BK286" i="150"/>
  <c r="BL286" i="150"/>
  <c r="BM286" i="150"/>
  <c r="BN286" i="150"/>
  <c r="BO286" i="150"/>
  <c r="BP286" i="150"/>
  <c r="BQ286" i="150"/>
  <c r="BR286" i="150"/>
  <c r="BS286" i="150"/>
  <c r="BT286" i="150"/>
  <c r="BU286" i="150"/>
  <c r="BV286" i="150"/>
  <c r="BW286" i="150"/>
  <c r="BX286" i="150"/>
  <c r="BY286" i="150"/>
  <c r="BZ286" i="150"/>
  <c r="CA286" i="150"/>
  <c r="CB286" i="150"/>
  <c r="BE287" i="150"/>
  <c r="BF287" i="150"/>
  <c r="BG287" i="150"/>
  <c r="BH287" i="150"/>
  <c r="BI287" i="150"/>
  <c r="BJ287" i="150"/>
  <c r="BK287" i="150"/>
  <c r="BL287" i="150"/>
  <c r="BM287" i="150"/>
  <c r="BN287" i="150"/>
  <c r="BO287" i="150"/>
  <c r="BP287" i="150"/>
  <c r="BQ287" i="150"/>
  <c r="BR287" i="150"/>
  <c r="BS287" i="150"/>
  <c r="BT287" i="150"/>
  <c r="BU287" i="150"/>
  <c r="BV287" i="150"/>
  <c r="BW287" i="150"/>
  <c r="BX287" i="150"/>
  <c r="BY287" i="150"/>
  <c r="BZ287" i="150"/>
  <c r="CA287" i="150"/>
  <c r="CB287" i="150"/>
  <c r="BE288" i="150"/>
  <c r="BF288" i="150"/>
  <c r="BG288" i="150"/>
  <c r="BH288" i="150"/>
  <c r="BI288" i="150"/>
  <c r="BJ288" i="150"/>
  <c r="BK288" i="150"/>
  <c r="BL288" i="150"/>
  <c r="BM288" i="150"/>
  <c r="BN288" i="150"/>
  <c r="BO288" i="150"/>
  <c r="BP288" i="150"/>
  <c r="BQ288" i="150"/>
  <c r="BR288" i="150"/>
  <c r="BS288" i="150"/>
  <c r="BT288" i="150"/>
  <c r="BU288" i="150"/>
  <c r="BV288" i="150"/>
  <c r="BW288" i="150"/>
  <c r="BX288" i="150"/>
  <c r="BY288" i="150"/>
  <c r="BZ288" i="150"/>
  <c r="CA288" i="150"/>
  <c r="CB288" i="150"/>
  <c r="BE289" i="150"/>
  <c r="BF289" i="150"/>
  <c r="BG289" i="150"/>
  <c r="BH289" i="150"/>
  <c r="BI289" i="150"/>
  <c r="BJ289" i="150"/>
  <c r="BK289" i="150"/>
  <c r="BL289" i="150"/>
  <c r="BM289" i="150"/>
  <c r="BN289" i="150"/>
  <c r="BO289" i="150"/>
  <c r="BP289" i="150"/>
  <c r="BQ289" i="150"/>
  <c r="BR289" i="150"/>
  <c r="BS289" i="150"/>
  <c r="BT289" i="150"/>
  <c r="BU289" i="150"/>
  <c r="BV289" i="150"/>
  <c r="BW289" i="150"/>
  <c r="BX289" i="150"/>
  <c r="BY289" i="150"/>
  <c r="BZ289" i="150"/>
  <c r="CA289" i="150"/>
  <c r="CB289" i="150"/>
  <c r="BE290" i="150"/>
  <c r="BF290" i="150"/>
  <c r="BG290" i="150"/>
  <c r="BH290" i="150"/>
  <c r="BI290" i="150"/>
  <c r="BJ290" i="150"/>
  <c r="BK290" i="150"/>
  <c r="BL290" i="150"/>
  <c r="BM290" i="150"/>
  <c r="BN290" i="150"/>
  <c r="BO290" i="150"/>
  <c r="BP290" i="150"/>
  <c r="BQ290" i="150"/>
  <c r="BR290" i="150"/>
  <c r="BS290" i="150"/>
  <c r="BT290" i="150"/>
  <c r="BU290" i="150"/>
  <c r="BV290" i="150"/>
  <c r="BW290" i="150"/>
  <c r="BX290" i="150"/>
  <c r="BY290" i="150"/>
  <c r="BZ290" i="150"/>
  <c r="CA290" i="150"/>
  <c r="CB290" i="150"/>
  <c r="BE291" i="150"/>
  <c r="BF291" i="150"/>
  <c r="BG291" i="150"/>
  <c r="BH291" i="150"/>
  <c r="BI291" i="150"/>
  <c r="BJ291" i="150"/>
  <c r="BK291" i="150"/>
  <c r="BL291" i="150"/>
  <c r="BM291" i="150"/>
  <c r="BN291" i="150"/>
  <c r="BO291" i="150"/>
  <c r="BP291" i="150"/>
  <c r="BQ291" i="150"/>
  <c r="BR291" i="150"/>
  <c r="BS291" i="150"/>
  <c r="BT291" i="150"/>
  <c r="BU291" i="150"/>
  <c r="BV291" i="150"/>
  <c r="BW291" i="150"/>
  <c r="BX291" i="150"/>
  <c r="BY291" i="150"/>
  <c r="BZ291" i="150"/>
  <c r="CA291" i="150"/>
  <c r="CB291" i="150"/>
  <c r="BE292" i="150"/>
  <c r="BF292" i="150"/>
  <c r="BG292" i="150"/>
  <c r="BH292" i="150"/>
  <c r="BI292" i="150"/>
  <c r="BJ292" i="150"/>
  <c r="BK292" i="150"/>
  <c r="BL292" i="150"/>
  <c r="BM292" i="150"/>
  <c r="BN292" i="150"/>
  <c r="BO292" i="150"/>
  <c r="BP292" i="150"/>
  <c r="BQ292" i="150"/>
  <c r="BR292" i="150"/>
  <c r="BS292" i="150"/>
  <c r="BT292" i="150"/>
  <c r="BU292" i="150"/>
  <c r="BV292" i="150"/>
  <c r="BW292" i="150"/>
  <c r="BX292" i="150"/>
  <c r="BY292" i="150"/>
  <c r="BZ292" i="150"/>
  <c r="CA292" i="150"/>
  <c r="CB292" i="150"/>
  <c r="BE293" i="150"/>
  <c r="BF293" i="150"/>
  <c r="BG293" i="150"/>
  <c r="BH293" i="150"/>
  <c r="BI293" i="150"/>
  <c r="BJ293" i="150"/>
  <c r="BK293" i="150"/>
  <c r="BL293" i="150"/>
  <c r="BM293" i="150"/>
  <c r="BN293" i="150"/>
  <c r="BO293" i="150"/>
  <c r="BP293" i="150"/>
  <c r="BQ293" i="150"/>
  <c r="BR293" i="150"/>
  <c r="BS293" i="150"/>
  <c r="BT293" i="150"/>
  <c r="BU293" i="150"/>
  <c r="BV293" i="150"/>
  <c r="BW293" i="150"/>
  <c r="BX293" i="150"/>
  <c r="BY293" i="150"/>
  <c r="BZ293" i="150"/>
  <c r="CA293" i="150"/>
  <c r="CB293" i="150"/>
  <c r="BE294" i="150"/>
  <c r="BF294" i="150"/>
  <c r="BG294" i="150"/>
  <c r="BH294" i="150"/>
  <c r="BI294" i="150"/>
  <c r="BJ294" i="150"/>
  <c r="BK294" i="150"/>
  <c r="BL294" i="150"/>
  <c r="BM294" i="150"/>
  <c r="BN294" i="150"/>
  <c r="BO294" i="150"/>
  <c r="BP294" i="150"/>
  <c r="BQ294" i="150"/>
  <c r="BR294" i="150"/>
  <c r="BS294" i="150"/>
  <c r="BT294" i="150"/>
  <c r="BU294" i="150"/>
  <c r="BV294" i="150"/>
  <c r="BW294" i="150"/>
  <c r="BX294" i="150"/>
  <c r="BY294" i="150"/>
  <c r="BZ294" i="150"/>
  <c r="CA294" i="150"/>
  <c r="CB294" i="150"/>
  <c r="BE295" i="150"/>
  <c r="BF295" i="150"/>
  <c r="BG295" i="150"/>
  <c r="BH295" i="150"/>
  <c r="BI295" i="150"/>
  <c r="BJ295" i="150"/>
  <c r="BK295" i="150"/>
  <c r="BL295" i="150"/>
  <c r="BM295" i="150"/>
  <c r="BN295" i="150"/>
  <c r="BO295" i="150"/>
  <c r="BP295" i="150"/>
  <c r="BQ295" i="150"/>
  <c r="BR295" i="150"/>
  <c r="BS295" i="150"/>
  <c r="BT295" i="150"/>
  <c r="BU295" i="150"/>
  <c r="BV295" i="150"/>
  <c r="BW295" i="150"/>
  <c r="BX295" i="150"/>
  <c r="BY295" i="150"/>
  <c r="BZ295" i="150"/>
  <c r="CA295" i="150"/>
  <c r="CB295" i="150"/>
  <c r="BE296" i="150"/>
  <c r="BF296" i="150"/>
  <c r="BG296" i="150"/>
  <c r="BH296" i="150"/>
  <c r="BI296" i="150"/>
  <c r="BJ296" i="150"/>
  <c r="BK296" i="150"/>
  <c r="BL296" i="150"/>
  <c r="BM296" i="150"/>
  <c r="BN296" i="150"/>
  <c r="BO296" i="150"/>
  <c r="BP296" i="150"/>
  <c r="BQ296" i="150"/>
  <c r="BR296" i="150"/>
  <c r="BS296" i="150"/>
  <c r="BT296" i="150"/>
  <c r="BU296" i="150"/>
  <c r="BV296" i="150"/>
  <c r="BW296" i="150"/>
  <c r="BX296" i="150"/>
  <c r="BY296" i="150"/>
  <c r="BZ296" i="150"/>
  <c r="CA296" i="150"/>
  <c r="CB296" i="150"/>
  <c r="BE297" i="150"/>
  <c r="BF297" i="150"/>
  <c r="BG297" i="150"/>
  <c r="BH297" i="150"/>
  <c r="BI297" i="150"/>
  <c r="BJ297" i="150"/>
  <c r="BK297" i="150"/>
  <c r="BL297" i="150"/>
  <c r="BM297" i="150"/>
  <c r="BN297" i="150"/>
  <c r="BO297" i="150"/>
  <c r="BP297" i="150"/>
  <c r="BQ297" i="150"/>
  <c r="BR297" i="150"/>
  <c r="BS297" i="150"/>
  <c r="BT297" i="150"/>
  <c r="BU297" i="150"/>
  <c r="BV297" i="150"/>
  <c r="BW297" i="150"/>
  <c r="BX297" i="150"/>
  <c r="BY297" i="150"/>
  <c r="BZ297" i="150"/>
  <c r="CA297" i="150"/>
  <c r="CB297" i="150"/>
  <c r="BE298" i="150"/>
  <c r="BF298" i="150"/>
  <c r="BG298" i="150"/>
  <c r="BH298" i="150"/>
  <c r="BI298" i="150"/>
  <c r="BJ298" i="150"/>
  <c r="BK298" i="150"/>
  <c r="BL298" i="150"/>
  <c r="BM298" i="150"/>
  <c r="BN298" i="150"/>
  <c r="BO298" i="150"/>
  <c r="BP298" i="150"/>
  <c r="BQ298" i="150"/>
  <c r="BR298" i="150"/>
  <c r="BS298" i="150"/>
  <c r="BT298" i="150"/>
  <c r="BU298" i="150"/>
  <c r="BV298" i="150"/>
  <c r="BW298" i="150"/>
  <c r="BX298" i="150"/>
  <c r="BY298" i="150"/>
  <c r="BZ298" i="150"/>
  <c r="CA298" i="150"/>
  <c r="CB298" i="150"/>
  <c r="BE299" i="150"/>
  <c r="BF299" i="150"/>
  <c r="BG299" i="150"/>
  <c r="BH299" i="150"/>
  <c r="BI299" i="150"/>
  <c r="BJ299" i="150"/>
  <c r="BK299" i="150"/>
  <c r="BL299" i="150"/>
  <c r="BM299" i="150"/>
  <c r="BN299" i="150"/>
  <c r="BO299" i="150"/>
  <c r="BP299" i="150"/>
  <c r="BQ299" i="150"/>
  <c r="BR299" i="150"/>
  <c r="BS299" i="150"/>
  <c r="BT299" i="150"/>
  <c r="BU299" i="150"/>
  <c r="BV299" i="150"/>
  <c r="BW299" i="150"/>
  <c r="BX299" i="150"/>
  <c r="BY299" i="150"/>
  <c r="BZ299" i="150"/>
  <c r="CA299" i="150"/>
  <c r="CB299" i="150"/>
  <c r="BE300" i="150"/>
  <c r="BF300" i="150"/>
  <c r="BG300" i="150"/>
  <c r="BH300" i="150"/>
  <c r="BI300" i="150"/>
  <c r="BJ300" i="150"/>
  <c r="BK300" i="150"/>
  <c r="BL300" i="150"/>
  <c r="BM300" i="150"/>
  <c r="BN300" i="150"/>
  <c r="BO300" i="150"/>
  <c r="BP300" i="150"/>
  <c r="BQ300" i="150"/>
  <c r="BR300" i="150"/>
  <c r="BS300" i="150"/>
  <c r="BT300" i="150"/>
  <c r="BU300" i="150"/>
  <c r="BV300" i="150"/>
  <c r="BW300" i="150"/>
  <c r="BX300" i="150"/>
  <c r="BY300" i="150"/>
  <c r="BZ300" i="150"/>
  <c r="CA300" i="150"/>
  <c r="CB300" i="150"/>
  <c r="BE301" i="150"/>
  <c r="BF301" i="150"/>
  <c r="BG301" i="150"/>
  <c r="BH301" i="150"/>
  <c r="BI301" i="150"/>
  <c r="BJ301" i="150"/>
  <c r="BK301" i="150"/>
  <c r="BL301" i="150"/>
  <c r="BM301" i="150"/>
  <c r="BN301" i="150"/>
  <c r="BO301" i="150"/>
  <c r="BP301" i="150"/>
  <c r="BQ301" i="150"/>
  <c r="BR301" i="150"/>
  <c r="BS301" i="150"/>
  <c r="BT301" i="150"/>
  <c r="BU301" i="150"/>
  <c r="BV301" i="150"/>
  <c r="BW301" i="150"/>
  <c r="BX301" i="150"/>
  <c r="BY301" i="150"/>
  <c r="BZ301" i="150"/>
  <c r="CA301" i="150"/>
  <c r="CB301" i="150"/>
  <c r="BE302" i="150"/>
  <c r="BF302" i="150"/>
  <c r="BG302" i="150"/>
  <c r="BH302" i="150"/>
  <c r="BI302" i="150"/>
  <c r="BJ302" i="150"/>
  <c r="BK302" i="150"/>
  <c r="BL302" i="150"/>
  <c r="BM302" i="150"/>
  <c r="BN302" i="150"/>
  <c r="BO302" i="150"/>
  <c r="BP302" i="150"/>
  <c r="BQ302" i="150"/>
  <c r="BR302" i="150"/>
  <c r="BS302" i="150"/>
  <c r="BT302" i="150"/>
  <c r="BU302" i="150"/>
  <c r="BV302" i="150"/>
  <c r="BW302" i="150"/>
  <c r="BX302" i="150"/>
  <c r="BY302" i="150"/>
  <c r="BZ302" i="150"/>
  <c r="CA302" i="150"/>
  <c r="CB302" i="150"/>
  <c r="BE303" i="150"/>
  <c r="BF303" i="150"/>
  <c r="BG303" i="150"/>
  <c r="BH303" i="150"/>
  <c r="BI303" i="150"/>
  <c r="BJ303" i="150"/>
  <c r="BK303" i="150"/>
  <c r="BL303" i="150"/>
  <c r="BM303" i="150"/>
  <c r="BN303" i="150"/>
  <c r="BO303" i="150"/>
  <c r="BP303" i="150"/>
  <c r="BQ303" i="150"/>
  <c r="BR303" i="150"/>
  <c r="BS303" i="150"/>
  <c r="BT303" i="150"/>
  <c r="BU303" i="150"/>
  <c r="BV303" i="150"/>
  <c r="BW303" i="150"/>
  <c r="BX303" i="150"/>
  <c r="BY303" i="150"/>
  <c r="BZ303" i="150"/>
  <c r="CA303" i="150"/>
  <c r="CB303" i="150"/>
  <c r="BE304" i="150"/>
  <c r="BF304" i="150"/>
  <c r="BG304" i="150"/>
  <c r="BH304" i="150"/>
  <c r="BI304" i="150"/>
  <c r="BJ304" i="150"/>
  <c r="BK304" i="150"/>
  <c r="BL304" i="150"/>
  <c r="BM304" i="150"/>
  <c r="BN304" i="150"/>
  <c r="BO304" i="150"/>
  <c r="BP304" i="150"/>
  <c r="BQ304" i="150"/>
  <c r="BR304" i="150"/>
  <c r="BS304" i="150"/>
  <c r="BT304" i="150"/>
  <c r="BU304" i="150"/>
  <c r="BV304" i="150"/>
  <c r="BW304" i="150"/>
  <c r="BX304" i="150"/>
  <c r="BY304" i="150"/>
  <c r="BZ304" i="150"/>
  <c r="CA304" i="150"/>
  <c r="CB304" i="150"/>
  <c r="BE305" i="150"/>
  <c r="BF305" i="150"/>
  <c r="BG305" i="150"/>
  <c r="BH305" i="150"/>
  <c r="BI305" i="150"/>
  <c r="BJ305" i="150"/>
  <c r="BK305" i="150"/>
  <c r="BL305" i="150"/>
  <c r="BM305" i="150"/>
  <c r="BN305" i="150"/>
  <c r="BO305" i="150"/>
  <c r="BP305" i="150"/>
  <c r="BQ305" i="150"/>
  <c r="BR305" i="150"/>
  <c r="BS305" i="150"/>
  <c r="BT305" i="150"/>
  <c r="BU305" i="150"/>
  <c r="BV305" i="150"/>
  <c r="BW305" i="150"/>
  <c r="BX305" i="150"/>
  <c r="BY305" i="150"/>
  <c r="BZ305" i="150"/>
  <c r="CA305" i="150"/>
  <c r="CB305" i="150"/>
  <c r="BE306" i="150"/>
  <c r="BF306" i="150"/>
  <c r="BG306" i="150"/>
  <c r="BH306" i="150"/>
  <c r="BI306" i="150"/>
  <c r="BJ306" i="150"/>
  <c r="BK306" i="150"/>
  <c r="BL306" i="150"/>
  <c r="BM306" i="150"/>
  <c r="BN306" i="150"/>
  <c r="BO306" i="150"/>
  <c r="BP306" i="150"/>
  <c r="BQ306" i="150"/>
  <c r="BR306" i="150"/>
  <c r="BS306" i="150"/>
  <c r="BT306" i="150"/>
  <c r="BU306" i="150"/>
  <c r="BV306" i="150"/>
  <c r="BW306" i="150"/>
  <c r="BX306" i="150"/>
  <c r="BY306" i="150"/>
  <c r="BZ306" i="150"/>
  <c r="CA306" i="150"/>
  <c r="CB306" i="150"/>
  <c r="BE307" i="150"/>
  <c r="BF307" i="150"/>
  <c r="BG307" i="150"/>
  <c r="BH307" i="150"/>
  <c r="BI307" i="150"/>
  <c r="BJ307" i="150"/>
  <c r="BK307" i="150"/>
  <c r="BL307" i="150"/>
  <c r="BM307" i="150"/>
  <c r="BN307" i="150"/>
  <c r="BO307" i="150"/>
  <c r="BP307" i="150"/>
  <c r="BQ307" i="150"/>
  <c r="BR307" i="150"/>
  <c r="BS307" i="150"/>
  <c r="BT307" i="150"/>
  <c r="BU307" i="150"/>
  <c r="BV307" i="150"/>
  <c r="BW307" i="150"/>
  <c r="BX307" i="150"/>
  <c r="BY307" i="150"/>
  <c r="BZ307" i="150"/>
  <c r="CA307" i="150"/>
  <c r="CB307" i="150"/>
  <c r="BE308" i="150"/>
  <c r="BF308" i="150"/>
  <c r="BG308" i="150"/>
  <c r="BH308" i="150"/>
  <c r="BI308" i="150"/>
  <c r="BJ308" i="150"/>
  <c r="BK308" i="150"/>
  <c r="BL308" i="150"/>
  <c r="BM308" i="150"/>
  <c r="BN308" i="150"/>
  <c r="BO308" i="150"/>
  <c r="BP308" i="150"/>
  <c r="BQ308" i="150"/>
  <c r="BR308" i="150"/>
  <c r="BS308" i="150"/>
  <c r="BT308" i="150"/>
  <c r="BU308" i="150"/>
  <c r="BV308" i="150"/>
  <c r="BW308" i="150"/>
  <c r="BX308" i="150"/>
  <c r="BY308" i="150"/>
  <c r="BZ308" i="150"/>
  <c r="CA308" i="150"/>
  <c r="CB308" i="150"/>
  <c r="BE309" i="150"/>
  <c r="BF309" i="150"/>
  <c r="BG309" i="150"/>
  <c r="BH309" i="150"/>
  <c r="BI309" i="150"/>
  <c r="BJ309" i="150"/>
  <c r="BK309" i="150"/>
  <c r="BL309" i="150"/>
  <c r="BM309" i="150"/>
  <c r="BN309" i="150"/>
  <c r="BO309" i="150"/>
  <c r="BP309" i="150"/>
  <c r="BQ309" i="150"/>
  <c r="BR309" i="150"/>
  <c r="BS309" i="150"/>
  <c r="BT309" i="150"/>
  <c r="BU309" i="150"/>
  <c r="BV309" i="150"/>
  <c r="BW309" i="150"/>
  <c r="BX309" i="150"/>
  <c r="BY309" i="150"/>
  <c r="BZ309" i="150"/>
  <c r="CA309" i="150"/>
  <c r="CB309" i="150"/>
  <c r="BE310" i="150"/>
  <c r="BF310" i="150"/>
  <c r="BG310" i="150"/>
  <c r="BH310" i="150"/>
  <c r="BI310" i="150"/>
  <c r="BJ310" i="150"/>
  <c r="BK310" i="150"/>
  <c r="BL310" i="150"/>
  <c r="BM310" i="150"/>
  <c r="BN310" i="150"/>
  <c r="BO310" i="150"/>
  <c r="BP310" i="150"/>
  <c r="BQ310" i="150"/>
  <c r="BR310" i="150"/>
  <c r="BS310" i="150"/>
  <c r="BT310" i="150"/>
  <c r="BU310" i="150"/>
  <c r="BV310" i="150"/>
  <c r="BW310" i="150"/>
  <c r="BX310" i="150"/>
  <c r="BY310" i="150"/>
  <c r="BZ310" i="150"/>
  <c r="CA310" i="150"/>
  <c r="CB310" i="150"/>
  <c r="BE311" i="150"/>
  <c r="BF311" i="150"/>
  <c r="BG311" i="150"/>
  <c r="BH311" i="150"/>
  <c r="BI311" i="150"/>
  <c r="BJ311" i="150"/>
  <c r="BK311" i="150"/>
  <c r="BL311" i="150"/>
  <c r="BM311" i="150"/>
  <c r="BN311" i="150"/>
  <c r="BO311" i="150"/>
  <c r="BP311" i="150"/>
  <c r="BQ311" i="150"/>
  <c r="BR311" i="150"/>
  <c r="BS311" i="150"/>
  <c r="BT311" i="150"/>
  <c r="BU311" i="150"/>
  <c r="BV311" i="150"/>
  <c r="BW311" i="150"/>
  <c r="BX311" i="150"/>
  <c r="BY311" i="150"/>
  <c r="BZ311" i="150"/>
  <c r="CA311" i="150"/>
  <c r="CB311" i="150"/>
  <c r="BE312" i="150"/>
  <c r="BF312" i="150"/>
  <c r="BG312" i="150"/>
  <c r="BH312" i="150"/>
  <c r="BI312" i="150"/>
  <c r="BJ312" i="150"/>
  <c r="BK312" i="150"/>
  <c r="BL312" i="150"/>
  <c r="BM312" i="150"/>
  <c r="BN312" i="150"/>
  <c r="BO312" i="150"/>
  <c r="BP312" i="150"/>
  <c r="BQ312" i="150"/>
  <c r="BR312" i="150"/>
  <c r="BS312" i="150"/>
  <c r="BT312" i="150"/>
  <c r="BU312" i="150"/>
  <c r="BV312" i="150"/>
  <c r="BW312" i="150"/>
  <c r="BX312" i="150"/>
  <c r="BY312" i="150"/>
  <c r="BZ312" i="150"/>
  <c r="CA312" i="150"/>
  <c r="CB312" i="150"/>
  <c r="BE313" i="150"/>
  <c r="BF313" i="150"/>
  <c r="BG313" i="150"/>
  <c r="BH313" i="150"/>
  <c r="BI313" i="150"/>
  <c r="BJ313" i="150"/>
  <c r="BK313" i="150"/>
  <c r="BL313" i="150"/>
  <c r="BM313" i="150"/>
  <c r="BN313" i="150"/>
  <c r="BO313" i="150"/>
  <c r="BP313" i="150"/>
  <c r="BQ313" i="150"/>
  <c r="BR313" i="150"/>
  <c r="BS313" i="150"/>
  <c r="BT313" i="150"/>
  <c r="BU313" i="150"/>
  <c r="BV313" i="150"/>
  <c r="BW313" i="150"/>
  <c r="BX313" i="150"/>
  <c r="BY313" i="150"/>
  <c r="BZ313" i="150"/>
  <c r="CA313" i="150"/>
  <c r="CB313" i="150"/>
  <c r="BE314" i="150"/>
  <c r="BF314" i="150"/>
  <c r="BG314" i="150"/>
  <c r="BH314" i="150"/>
  <c r="BI314" i="150"/>
  <c r="BJ314" i="150"/>
  <c r="BK314" i="150"/>
  <c r="BL314" i="150"/>
  <c r="BM314" i="150"/>
  <c r="BN314" i="150"/>
  <c r="BO314" i="150"/>
  <c r="BP314" i="150"/>
  <c r="BQ314" i="150"/>
  <c r="BR314" i="150"/>
  <c r="BS314" i="150"/>
  <c r="BT314" i="150"/>
  <c r="BU314" i="150"/>
  <c r="BV314" i="150"/>
  <c r="BW314" i="150"/>
  <c r="BX314" i="150"/>
  <c r="BY314" i="150"/>
  <c r="BZ314" i="150"/>
  <c r="CA314" i="150"/>
  <c r="CB314" i="150"/>
  <c r="BE315" i="150"/>
  <c r="BF315" i="150"/>
  <c r="BG315" i="150"/>
  <c r="BH315" i="150"/>
  <c r="BI315" i="150"/>
  <c r="BJ315" i="150"/>
  <c r="BK315" i="150"/>
  <c r="BL315" i="150"/>
  <c r="BM315" i="150"/>
  <c r="BN315" i="150"/>
  <c r="BO315" i="150"/>
  <c r="BP315" i="150"/>
  <c r="BQ315" i="150"/>
  <c r="BR315" i="150"/>
  <c r="BS315" i="150"/>
  <c r="BT315" i="150"/>
  <c r="BU315" i="150"/>
  <c r="BV315" i="150"/>
  <c r="BW315" i="150"/>
  <c r="BX315" i="150"/>
  <c r="BY315" i="150"/>
  <c r="BZ315" i="150"/>
  <c r="CA315" i="150"/>
  <c r="CB315" i="150"/>
  <c r="BE316" i="150"/>
  <c r="BF316" i="150"/>
  <c r="BG316" i="150"/>
  <c r="BH316" i="150"/>
  <c r="BI316" i="150"/>
  <c r="BJ316" i="150"/>
  <c r="BK316" i="150"/>
  <c r="BL316" i="150"/>
  <c r="BM316" i="150"/>
  <c r="BN316" i="150"/>
  <c r="BO316" i="150"/>
  <c r="BP316" i="150"/>
  <c r="BQ316" i="150"/>
  <c r="BR316" i="150"/>
  <c r="BS316" i="150"/>
  <c r="BT316" i="150"/>
  <c r="BU316" i="150"/>
  <c r="BV316" i="150"/>
  <c r="BW316" i="150"/>
  <c r="BX316" i="150"/>
  <c r="BY316" i="150"/>
  <c r="BZ316" i="150"/>
  <c r="CA316" i="150"/>
  <c r="CB316" i="150"/>
  <c r="BE317" i="150"/>
  <c r="BF317" i="150"/>
  <c r="BG317" i="150"/>
  <c r="BH317" i="150"/>
  <c r="BI317" i="150"/>
  <c r="BJ317" i="150"/>
  <c r="BK317" i="150"/>
  <c r="BL317" i="150"/>
  <c r="BM317" i="150"/>
  <c r="BN317" i="150"/>
  <c r="BO317" i="150"/>
  <c r="BP317" i="150"/>
  <c r="BQ317" i="150"/>
  <c r="BR317" i="150"/>
  <c r="BS317" i="150"/>
  <c r="BT317" i="150"/>
  <c r="BU317" i="150"/>
  <c r="BV317" i="150"/>
  <c r="BW317" i="150"/>
  <c r="BX317" i="150"/>
  <c r="BY317" i="150"/>
  <c r="BZ317" i="150"/>
  <c r="CA317" i="150"/>
  <c r="CB317" i="150"/>
  <c r="BE318" i="150"/>
  <c r="BF318" i="150"/>
  <c r="BG318" i="150"/>
  <c r="BH318" i="150"/>
  <c r="BI318" i="150"/>
  <c r="BJ318" i="150"/>
  <c r="BK318" i="150"/>
  <c r="BL318" i="150"/>
  <c r="BM318" i="150"/>
  <c r="BN318" i="150"/>
  <c r="BO318" i="150"/>
  <c r="BP318" i="150"/>
  <c r="BQ318" i="150"/>
  <c r="BR318" i="150"/>
  <c r="BS318" i="150"/>
  <c r="BT318" i="150"/>
  <c r="BU318" i="150"/>
  <c r="BV318" i="150"/>
  <c r="BW318" i="150"/>
  <c r="BX318" i="150"/>
  <c r="BY318" i="150"/>
  <c r="BZ318" i="150"/>
  <c r="CA318" i="150"/>
  <c r="CB318" i="150"/>
  <c r="BE319" i="150"/>
  <c r="BF319" i="150"/>
  <c r="BG319" i="150"/>
  <c r="BH319" i="150"/>
  <c r="BI319" i="150"/>
  <c r="BJ319" i="150"/>
  <c r="BK319" i="150"/>
  <c r="BL319" i="150"/>
  <c r="BM319" i="150"/>
  <c r="BN319" i="150"/>
  <c r="BO319" i="150"/>
  <c r="BP319" i="150"/>
  <c r="BQ319" i="150"/>
  <c r="BR319" i="150"/>
  <c r="BS319" i="150"/>
  <c r="BT319" i="150"/>
  <c r="BU319" i="150"/>
  <c r="BV319" i="150"/>
  <c r="BW319" i="150"/>
  <c r="BX319" i="150"/>
  <c r="BY319" i="150"/>
  <c r="BZ319" i="150"/>
  <c r="CA319" i="150"/>
  <c r="CB319" i="150"/>
  <c r="BE320" i="150"/>
  <c r="BF320" i="150"/>
  <c r="BG320" i="150"/>
  <c r="BH320" i="150"/>
  <c r="BI320" i="150"/>
  <c r="BJ320" i="150"/>
  <c r="BK320" i="150"/>
  <c r="BL320" i="150"/>
  <c r="BM320" i="150"/>
  <c r="BN320" i="150"/>
  <c r="BO320" i="150"/>
  <c r="BP320" i="150"/>
  <c r="BQ320" i="150"/>
  <c r="BR320" i="150"/>
  <c r="BS320" i="150"/>
  <c r="BT320" i="150"/>
  <c r="BU320" i="150"/>
  <c r="BV320" i="150"/>
  <c r="BW320" i="150"/>
  <c r="BX320" i="150"/>
  <c r="BY320" i="150"/>
  <c r="BZ320" i="150"/>
  <c r="CA320" i="150"/>
  <c r="CB320" i="150"/>
  <c r="BE321" i="150"/>
  <c r="BF321" i="150"/>
  <c r="BG321" i="150"/>
  <c r="BH321" i="150"/>
  <c r="BI321" i="150"/>
  <c r="BJ321" i="150"/>
  <c r="BK321" i="150"/>
  <c r="BL321" i="150"/>
  <c r="BM321" i="150"/>
  <c r="BN321" i="150"/>
  <c r="BO321" i="150"/>
  <c r="BP321" i="150"/>
  <c r="BQ321" i="150"/>
  <c r="BR321" i="150"/>
  <c r="BS321" i="150"/>
  <c r="BT321" i="150"/>
  <c r="BU321" i="150"/>
  <c r="BV321" i="150"/>
  <c r="BW321" i="150"/>
  <c r="BX321" i="150"/>
  <c r="BY321" i="150"/>
  <c r="BZ321" i="150"/>
  <c r="CA321" i="150"/>
  <c r="CB321" i="150"/>
  <c r="BE322" i="150"/>
  <c r="BF322" i="150"/>
  <c r="BG322" i="150"/>
  <c r="BH322" i="150"/>
  <c r="BI322" i="150"/>
  <c r="BJ322" i="150"/>
  <c r="BK322" i="150"/>
  <c r="BL322" i="150"/>
  <c r="BM322" i="150"/>
  <c r="BN322" i="150"/>
  <c r="BO322" i="150"/>
  <c r="BP322" i="150"/>
  <c r="BQ322" i="150"/>
  <c r="BR322" i="150"/>
  <c r="BS322" i="150"/>
  <c r="BT322" i="150"/>
  <c r="BU322" i="150"/>
  <c r="BV322" i="150"/>
  <c r="BW322" i="150"/>
  <c r="BX322" i="150"/>
  <c r="BY322" i="150"/>
  <c r="BZ322" i="150"/>
  <c r="CA322" i="150"/>
  <c r="CB322" i="150"/>
  <c r="BE323" i="150"/>
  <c r="BF323" i="150"/>
  <c r="BG323" i="150"/>
  <c r="BH323" i="150"/>
  <c r="BI323" i="150"/>
  <c r="BJ323" i="150"/>
  <c r="BK323" i="150"/>
  <c r="BL323" i="150"/>
  <c r="BM323" i="150"/>
  <c r="BN323" i="150"/>
  <c r="BO323" i="150"/>
  <c r="BP323" i="150"/>
  <c r="BQ323" i="150"/>
  <c r="BR323" i="150"/>
  <c r="BS323" i="150"/>
  <c r="BT323" i="150"/>
  <c r="BU323" i="150"/>
  <c r="BV323" i="150"/>
  <c r="BW323" i="150"/>
  <c r="BX323" i="150"/>
  <c r="BY323" i="150"/>
  <c r="BZ323" i="150"/>
  <c r="CA323" i="150"/>
  <c r="CB323" i="150"/>
  <c r="BE324" i="150"/>
  <c r="BF324" i="150"/>
  <c r="BG324" i="150"/>
  <c r="BH324" i="150"/>
  <c r="BI324" i="150"/>
  <c r="BJ324" i="150"/>
  <c r="BK324" i="150"/>
  <c r="BL324" i="150"/>
  <c r="BM324" i="150"/>
  <c r="BN324" i="150"/>
  <c r="BO324" i="150"/>
  <c r="BP324" i="150"/>
  <c r="BQ324" i="150"/>
  <c r="BR324" i="150"/>
  <c r="BS324" i="150"/>
  <c r="BT324" i="150"/>
  <c r="BU324" i="150"/>
  <c r="BV324" i="150"/>
  <c r="BW324" i="150"/>
  <c r="BX324" i="150"/>
  <c r="BY324" i="150"/>
  <c r="BZ324" i="150"/>
  <c r="CA324" i="150"/>
  <c r="CB324" i="150"/>
  <c r="BE325" i="150"/>
  <c r="BF325" i="150"/>
  <c r="BG325" i="150"/>
  <c r="BH325" i="150"/>
  <c r="BI325" i="150"/>
  <c r="BJ325" i="150"/>
  <c r="BK325" i="150"/>
  <c r="BL325" i="150"/>
  <c r="BM325" i="150"/>
  <c r="BN325" i="150"/>
  <c r="BO325" i="150"/>
  <c r="BP325" i="150"/>
  <c r="BQ325" i="150"/>
  <c r="BR325" i="150"/>
  <c r="BS325" i="150"/>
  <c r="BT325" i="150"/>
  <c r="BU325" i="150"/>
  <c r="BV325" i="150"/>
  <c r="BW325" i="150"/>
  <c r="BX325" i="150"/>
  <c r="BY325" i="150"/>
  <c r="BZ325" i="150"/>
  <c r="CA325" i="150"/>
  <c r="CB325" i="150"/>
  <c r="BE326" i="150"/>
  <c r="BF326" i="150"/>
  <c r="BG326" i="150"/>
  <c r="BH326" i="150"/>
  <c r="BI326" i="150"/>
  <c r="BJ326" i="150"/>
  <c r="BK326" i="150"/>
  <c r="BL326" i="150"/>
  <c r="BM326" i="150"/>
  <c r="BN326" i="150"/>
  <c r="BO326" i="150"/>
  <c r="BP326" i="150"/>
  <c r="BQ326" i="150"/>
  <c r="BR326" i="150"/>
  <c r="BS326" i="150"/>
  <c r="BT326" i="150"/>
  <c r="BU326" i="150"/>
  <c r="BV326" i="150"/>
  <c r="BW326" i="150"/>
  <c r="BX326" i="150"/>
  <c r="BY326" i="150"/>
  <c r="BZ326" i="150"/>
  <c r="CA326" i="150"/>
  <c r="CB326" i="150"/>
  <c r="BE327" i="150"/>
  <c r="BF327" i="150"/>
  <c r="BG327" i="150"/>
  <c r="BH327" i="150"/>
  <c r="BI327" i="150"/>
  <c r="BJ327" i="150"/>
  <c r="BK327" i="150"/>
  <c r="BL327" i="150"/>
  <c r="BM327" i="150"/>
  <c r="BN327" i="150"/>
  <c r="BO327" i="150"/>
  <c r="BP327" i="150"/>
  <c r="BQ327" i="150"/>
  <c r="BR327" i="150"/>
  <c r="BS327" i="150"/>
  <c r="BT327" i="150"/>
  <c r="BU327" i="150"/>
  <c r="BV327" i="150"/>
  <c r="BW327" i="150"/>
  <c r="BX327" i="150"/>
  <c r="BY327" i="150"/>
  <c r="BZ327" i="150"/>
  <c r="CA327" i="150"/>
  <c r="CB327" i="150"/>
  <c r="BE328" i="150"/>
  <c r="BF328" i="150"/>
  <c r="BG328" i="150"/>
  <c r="BH328" i="150"/>
  <c r="BI328" i="150"/>
  <c r="BJ328" i="150"/>
  <c r="BK328" i="150"/>
  <c r="BL328" i="150"/>
  <c r="BM328" i="150"/>
  <c r="BN328" i="150"/>
  <c r="BO328" i="150"/>
  <c r="BP328" i="150"/>
  <c r="BQ328" i="150"/>
  <c r="BR328" i="150"/>
  <c r="BS328" i="150"/>
  <c r="BT328" i="150"/>
  <c r="BU328" i="150"/>
  <c r="BV328" i="150"/>
  <c r="BW328" i="150"/>
  <c r="BX328" i="150"/>
  <c r="BY328" i="150"/>
  <c r="BZ328" i="150"/>
  <c r="CA328" i="150"/>
  <c r="G329" i="150"/>
  <c r="U329" i="150"/>
  <c r="U331" i="150" s="1"/>
  <c r="W329" i="150"/>
  <c r="X329" i="150"/>
  <c r="Y329" i="150"/>
  <c r="Z329" i="150"/>
  <c r="AA329" i="150"/>
  <c r="AB329" i="150"/>
  <c r="AC329" i="150"/>
  <c r="AD329" i="150"/>
  <c r="AE329" i="150"/>
  <c r="AF329" i="150"/>
  <c r="AS329" i="150"/>
  <c r="AT329" i="150"/>
  <c r="AU329" i="150"/>
  <c r="AU331" i="150" s="1"/>
  <c r="AV329" i="150"/>
  <c r="AW329" i="150"/>
  <c r="AX329" i="150"/>
  <c r="AY329" i="150"/>
  <c r="AY331" i="150" s="1"/>
  <c r="AZ329" i="150"/>
  <c r="AZ331" i="150" s="1"/>
  <c r="BA329" i="150"/>
  <c r="BB329" i="150"/>
  <c r="BB331" i="150" s="1"/>
  <c r="BC329" i="150"/>
  <c r="BC331" i="150" s="1"/>
  <c r="BD329" i="150"/>
  <c r="B11" i="151"/>
  <c r="C11" i="151"/>
  <c r="D11" i="151"/>
  <c r="AA12" i="151"/>
  <c r="J12" i="151" s="1"/>
  <c r="A15" i="151"/>
  <c r="A16" i="151" s="1"/>
  <c r="A17" i="151" s="1"/>
  <c r="A18" i="151" s="1"/>
  <c r="A19" i="151" s="1"/>
  <c r="A20" i="151" s="1"/>
  <c r="A21" i="151" s="1"/>
  <c r="A22" i="151" s="1"/>
  <c r="A23" i="151" s="1"/>
  <c r="A24" i="151" s="1"/>
  <c r="A25" i="151" s="1"/>
  <c r="A26" i="151" s="1"/>
  <c r="A27" i="151" s="1"/>
  <c r="A28" i="151" s="1"/>
  <c r="A29" i="151" s="1"/>
  <c r="A30" i="151" s="1"/>
  <c r="A31" i="151" s="1"/>
  <c r="A32" i="151" s="1"/>
  <c r="H143" i="151"/>
  <c r="P329" i="151"/>
  <c r="H330" i="151"/>
  <c r="H332" i="151" s="1"/>
  <c r="T330" i="151"/>
  <c r="D11" i="152"/>
  <c r="H11" i="152"/>
  <c r="D12" i="152"/>
  <c r="H12" i="152"/>
  <c r="D13" i="152"/>
  <c r="D15" i="152" s="1"/>
  <c r="H13" i="152"/>
  <c r="D14" i="152"/>
  <c r="H14" i="152"/>
  <c r="B15" i="152"/>
  <c r="C15" i="152"/>
  <c r="F15" i="152"/>
  <c r="G15" i="152"/>
  <c r="K15" i="152"/>
  <c r="D18" i="152"/>
  <c r="H18" i="152"/>
  <c r="D19" i="152"/>
  <c r="H19" i="152"/>
  <c r="B20" i="152"/>
  <c r="C20" i="152"/>
  <c r="F20" i="152"/>
  <c r="G20" i="152"/>
  <c r="K20" i="152"/>
  <c r="K22" i="152" s="1"/>
  <c r="D31" i="152"/>
  <c r="H31" i="152"/>
  <c r="D34" i="152"/>
  <c r="H34" i="152"/>
  <c r="D35" i="152"/>
  <c r="H35" i="152"/>
  <c r="D36" i="152"/>
  <c r="H36" i="152"/>
  <c r="B37" i="152"/>
  <c r="C37" i="152"/>
  <c r="F37" i="152"/>
  <c r="G37" i="152"/>
  <c r="K37" i="152"/>
  <c r="B4" i="141"/>
  <c r="B5" i="141" s="1"/>
  <c r="F11" i="141" s="1"/>
  <c r="C12" i="141" s="1"/>
  <c r="E12" i="141" s="1"/>
  <c r="B4" i="140"/>
  <c r="B4" i="145"/>
  <c r="X32" i="121"/>
  <c r="G22" i="121"/>
  <c r="X22" i="121" s="1"/>
  <c r="Z14" i="121"/>
  <c r="AD14" i="121" s="1"/>
  <c r="G19" i="121"/>
  <c r="Z19" i="121" s="1"/>
  <c r="Z21" i="121"/>
  <c r="G16" i="121"/>
  <c r="G20" i="121"/>
  <c r="B3" i="145" s="1"/>
  <c r="V16" i="121"/>
  <c r="V20" i="121"/>
  <c r="V19" i="121"/>
  <c r="L16" i="145"/>
  <c r="A36" i="145"/>
  <c r="A37" i="145" s="1"/>
  <c r="A38" i="145" s="1"/>
  <c r="A39" i="145" s="1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A56" i="145" s="1"/>
  <c r="A57" i="145" s="1"/>
  <c r="A58" i="145" s="1"/>
  <c r="A59" i="145" s="1"/>
  <c r="E16" i="121"/>
  <c r="E11" i="121"/>
  <c r="E24" i="121" s="1"/>
  <c r="T53" i="121"/>
  <c r="AD53" i="121" s="1"/>
  <c r="R52" i="143"/>
  <c r="R22" i="143"/>
  <c r="R67" i="143"/>
  <c r="R82" i="143"/>
  <c r="N55" i="143"/>
  <c r="N56" i="143" s="1"/>
  <c r="N85" i="143"/>
  <c r="N86" i="143" s="1"/>
  <c r="N87" i="143" s="1"/>
  <c r="N40" i="143"/>
  <c r="N41" i="143" s="1"/>
  <c r="N42" i="143" s="1"/>
  <c r="P67" i="143"/>
  <c r="P82" i="143"/>
  <c r="P97" i="143"/>
  <c r="P22" i="143"/>
  <c r="P52" i="143"/>
  <c r="T67" i="143"/>
  <c r="T82" i="143"/>
  <c r="T97" i="143"/>
  <c r="T22" i="143"/>
  <c r="T52" i="143"/>
  <c r="L97" i="143"/>
  <c r="J97" i="143"/>
  <c r="H97" i="143"/>
  <c r="F97" i="143"/>
  <c r="J137" i="143"/>
  <c r="J138" i="143"/>
  <c r="A3" i="143"/>
  <c r="H127" i="143"/>
  <c r="I127" i="143" s="1"/>
  <c r="H128" i="143"/>
  <c r="H129" i="143"/>
  <c r="H130" i="143"/>
  <c r="H131" i="143"/>
  <c r="H132" i="143"/>
  <c r="H133" i="143"/>
  <c r="H134" i="143"/>
  <c r="H135" i="143"/>
  <c r="H136" i="143"/>
  <c r="H137" i="143"/>
  <c r="H138" i="143"/>
  <c r="F128" i="143"/>
  <c r="F129" i="143"/>
  <c r="F130" i="143"/>
  <c r="F131" i="143"/>
  <c r="F132" i="143"/>
  <c r="F133" i="143"/>
  <c r="F134" i="143"/>
  <c r="F135" i="143"/>
  <c r="F136" i="143"/>
  <c r="F137" i="143"/>
  <c r="F138" i="143"/>
  <c r="G127" i="143"/>
  <c r="L82" i="143"/>
  <c r="J82" i="143"/>
  <c r="H82" i="143"/>
  <c r="F82" i="143"/>
  <c r="L67" i="143"/>
  <c r="J67" i="143"/>
  <c r="H67" i="143"/>
  <c r="F67" i="143"/>
  <c r="L52" i="143"/>
  <c r="J52" i="143"/>
  <c r="H52" i="143"/>
  <c r="F52" i="143"/>
  <c r="J22" i="143"/>
  <c r="H22" i="143"/>
  <c r="F22" i="143"/>
  <c r="F24" i="121"/>
  <c r="Q59" i="121"/>
  <c r="T59" i="121" s="1"/>
  <c r="AD59" i="121" s="1"/>
  <c r="Q65" i="121"/>
  <c r="T65" i="121" s="1"/>
  <c r="AD65" i="121" s="1"/>
  <c r="S74" i="121"/>
  <c r="U74" i="121"/>
  <c r="W74" i="121"/>
  <c r="Y74" i="121"/>
  <c r="AC74" i="121"/>
  <c r="T24" i="121"/>
  <c r="R24" i="121"/>
  <c r="O22" i="121"/>
  <c r="M11" i="121"/>
  <c r="O11" i="121" s="1"/>
  <c r="M16" i="121"/>
  <c r="O16" i="121" s="1"/>
  <c r="O20" i="121"/>
  <c r="A3" i="147"/>
  <c r="AC35" i="121"/>
  <c r="Y35" i="121"/>
  <c r="L16" i="140"/>
  <c r="L16" i="141"/>
  <c r="A36" i="14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3" i="5"/>
  <c r="A3" i="111"/>
  <c r="A3" i="121"/>
  <c r="R49" i="121"/>
  <c r="T49" i="121"/>
  <c r="A3" i="10"/>
  <c r="M85" i="143"/>
  <c r="O85" i="143"/>
  <c r="Q85" i="143" s="1"/>
  <c r="U85" i="143" s="1"/>
  <c r="CZ4" i="166"/>
  <c r="I9" i="165"/>
  <c r="M99" i="143"/>
  <c r="M100" i="143" s="1"/>
  <c r="BM13" i="150"/>
  <c r="AJ46" i="166"/>
  <c r="AS46" i="166" s="1"/>
  <c r="BB46" i="166" s="1"/>
  <c r="BK46" i="166" s="1"/>
  <c r="BT46" i="166" s="1"/>
  <c r="CC46" i="166" s="1"/>
  <c r="CL46" i="166" s="1"/>
  <c r="CU46" i="166" s="1"/>
  <c r="DD46" i="166" s="1"/>
  <c r="DM46" i="166" s="1"/>
  <c r="DQ46" i="166" s="1"/>
  <c r="CH4" i="166"/>
  <c r="AT8" i="161"/>
  <c r="BP8" i="160" s="1"/>
  <c r="BG42" i="166"/>
  <c r="BG56" i="166" s="1"/>
  <c r="AS23" i="166"/>
  <c r="BB23" i="166" s="1"/>
  <c r="BK23" i="166" s="1"/>
  <c r="BT23" i="166" s="1"/>
  <c r="CC23" i="166" s="1"/>
  <c r="CL23" i="166" s="1"/>
  <c r="CU23" i="166" s="1"/>
  <c r="DD23" i="166" s="1"/>
  <c r="DM23" i="166" s="1"/>
  <c r="DQ23" i="166" s="1"/>
  <c r="DR42" i="160"/>
  <c r="DR56" i="160" s="1"/>
  <c r="DA14" i="166"/>
  <c r="DR42" i="166"/>
  <c r="N20" i="172"/>
  <c r="I7" i="172"/>
  <c r="DJ5" i="160"/>
  <c r="DJ6" i="160" s="1"/>
  <c r="DJ7" i="160" s="1"/>
  <c r="CI5" i="160"/>
  <c r="CI6" i="160" s="1"/>
  <c r="CI7" i="160" s="1"/>
  <c r="O45" i="166"/>
  <c r="S45" i="166" s="1"/>
  <c r="Q45" i="166"/>
  <c r="Q19" i="166"/>
  <c r="Z19" i="166" s="1"/>
  <c r="O18" i="160"/>
  <c r="S18" i="160" s="1"/>
  <c r="Q22" i="160"/>
  <c r="Z22" i="160" s="1"/>
  <c r="CI45" i="160"/>
  <c r="X16" i="166"/>
  <c r="CI15" i="166"/>
  <c r="DA45" i="166"/>
  <c r="I18" i="166"/>
  <c r="DJ18" i="166"/>
  <c r="I23" i="160"/>
  <c r="Q18" i="166"/>
  <c r="Z18" i="166" s="1"/>
  <c r="AI18" i="166" s="1"/>
  <c r="AR18" i="166" s="1"/>
  <c r="I17" i="160"/>
  <c r="BH45" i="166"/>
  <c r="BH45" i="160"/>
  <c r="I18" i="160"/>
  <c r="DJ18" i="160"/>
  <c r="AG45" i="166"/>
  <c r="DA15" i="166"/>
  <c r="DJ48" i="166"/>
  <c r="DJ48" i="160"/>
  <c r="DJ15" i="166"/>
  <c r="I15" i="166"/>
  <c r="I17" i="166"/>
  <c r="AG14" i="160"/>
  <c r="I48" i="166"/>
  <c r="I48" i="160"/>
  <c r="AG15" i="166"/>
  <c r="CR17" i="166"/>
  <c r="O17" i="160"/>
  <c r="S17" i="160" s="1"/>
  <c r="DJ15" i="160"/>
  <c r="DJ17" i="166"/>
  <c r="CI18" i="160"/>
  <c r="DA5" i="160"/>
  <c r="DA6" i="160" s="1"/>
  <c r="DA7" i="160" s="1"/>
  <c r="X5" i="160"/>
  <c r="X6" i="160" s="1"/>
  <c r="DA5" i="166"/>
  <c r="AW46" i="166"/>
  <c r="AY46" i="166" s="1"/>
  <c r="CG46" i="166"/>
  <c r="BH5" i="166"/>
  <c r="BH6" i="166" s="1"/>
  <c r="BH7" i="166" s="1"/>
  <c r="BZ5" i="160"/>
  <c r="BZ6" i="160" s="1"/>
  <c r="BZ7" i="160" s="1"/>
  <c r="BQ7" i="166"/>
  <c r="Z18" i="160"/>
  <c r="AB18" i="160" s="1"/>
  <c r="DJ14" i="166"/>
  <c r="I14" i="166"/>
  <c r="DJ19" i="166"/>
  <c r="AA21" i="160"/>
  <c r="AJ21" i="160" s="1"/>
  <c r="AS21" i="160" s="1"/>
  <c r="BB21" i="160" s="1"/>
  <c r="BK21" i="160" s="1"/>
  <c r="BT21" i="160" s="1"/>
  <c r="CC21" i="160" s="1"/>
  <c r="CL21" i="160" s="1"/>
  <c r="CU21" i="160" s="1"/>
  <c r="DD21" i="160" s="1"/>
  <c r="DM21" i="160" s="1"/>
  <c r="DQ21" i="160" s="1"/>
  <c r="G12" i="143"/>
  <c r="M12" i="143" s="1"/>
  <c r="CI31" i="166"/>
  <c r="AS25" i="166"/>
  <c r="BB25" i="166" s="1"/>
  <c r="AG34" i="166"/>
  <c r="AG30" i="166"/>
  <c r="AG26" i="166"/>
  <c r="X28" i="160"/>
  <c r="X24" i="160"/>
  <c r="AJ45" i="166"/>
  <c r="AP17" i="166"/>
  <c r="CG22" i="166"/>
  <c r="CI22" i="166" s="1"/>
  <c r="CE42" i="166"/>
  <c r="Z47" i="160"/>
  <c r="AB47" i="160" s="1"/>
  <c r="BZ5" i="166"/>
  <c r="BZ6" i="166" s="1"/>
  <c r="BZ7" i="166" s="1"/>
  <c r="AW16" i="166"/>
  <c r="AY16" i="166" s="1"/>
  <c r="AY19" i="166"/>
  <c r="BK25" i="166"/>
  <c r="BT25" i="166" s="1"/>
  <c r="CC25" i="166" s="1"/>
  <c r="CL25" i="166" s="1"/>
  <c r="CU25" i="166" s="1"/>
  <c r="DD25" i="166" s="1"/>
  <c r="DM25" i="166" s="1"/>
  <c r="DQ25" i="166" s="1"/>
  <c r="E33" i="111"/>
  <c r="AS30" i="160"/>
  <c r="BB30" i="160" s="1"/>
  <c r="BK30" i="160" s="1"/>
  <c r="BT30" i="160" s="1"/>
  <c r="CC30" i="160" s="1"/>
  <c r="CL30" i="160" s="1"/>
  <c r="CU30" i="160" s="1"/>
  <c r="DD30" i="160" s="1"/>
  <c r="DM30" i="160" s="1"/>
  <c r="DQ30" i="160" s="1"/>
  <c r="BH23" i="160"/>
  <c r="BX19" i="160"/>
  <c r="BZ19" i="160" s="1"/>
  <c r="CI47" i="160"/>
  <c r="CG17" i="160"/>
  <c r="CI17" i="160" s="1"/>
  <c r="DH14" i="160"/>
  <c r="DJ14" i="160" s="1"/>
  <c r="O31" i="166"/>
  <c r="S31" i="166" s="1"/>
  <c r="Q31" i="166"/>
  <c r="Z31" i="166" s="1"/>
  <c r="AI31" i="166" s="1"/>
  <c r="AR31" i="166" s="1"/>
  <c r="BA31" i="166" s="1"/>
  <c r="Q27" i="166"/>
  <c r="Z27" i="166" s="1"/>
  <c r="O27" i="166"/>
  <c r="S27" i="166" s="1"/>
  <c r="AN15" i="166"/>
  <c r="AP15" i="166" s="1"/>
  <c r="AL42" i="166"/>
  <c r="BQ45" i="166"/>
  <c r="CP45" i="166"/>
  <c r="CN54" i="166"/>
  <c r="CR24" i="166"/>
  <c r="N11" i="143"/>
  <c r="AJ18" i="160"/>
  <c r="AS18" i="160"/>
  <c r="BB18" i="160" s="1"/>
  <c r="BK18" i="160" s="1"/>
  <c r="BT18" i="160" s="1"/>
  <c r="CC18" i="160" s="1"/>
  <c r="CL18" i="160" s="1"/>
  <c r="CU18" i="160" s="1"/>
  <c r="DD18" i="160" s="1"/>
  <c r="DM18" i="160" s="1"/>
  <c r="DQ18" i="160" s="1"/>
  <c r="AI337" i="150"/>
  <c r="AI331" i="150"/>
  <c r="AI338" i="150" s="1"/>
  <c r="D12" i="151"/>
  <c r="A12" i="150"/>
  <c r="G13" i="151" s="1"/>
  <c r="S13" i="151" s="1"/>
  <c r="B12" i="151"/>
  <c r="G12" i="151"/>
  <c r="M337" i="150"/>
  <c r="J337" i="150"/>
  <c r="V337" i="150"/>
  <c r="J331" i="150"/>
  <c r="J338" i="150" s="1"/>
  <c r="V21" i="166"/>
  <c r="BO14" i="166"/>
  <c r="BQ14" i="166" s="1"/>
  <c r="CY19" i="166"/>
  <c r="DA19" i="166" s="1"/>
  <c r="I20" i="166"/>
  <c r="DJ20" i="166"/>
  <c r="AG18" i="160"/>
  <c r="AY5" i="160"/>
  <c r="AY6" i="160" s="1"/>
  <c r="AY7" i="160" s="1"/>
  <c r="AG5" i="160"/>
  <c r="AG6" i="160" s="1"/>
  <c r="AG7" i="160" s="1"/>
  <c r="AI51" i="166"/>
  <c r="AK51" i="166" s="1"/>
  <c r="F11" i="151"/>
  <c r="I341" i="150"/>
  <c r="V341" i="150"/>
  <c r="O56" i="143"/>
  <c r="Q56" i="143" s="1"/>
  <c r="AJ28" i="166"/>
  <c r="AS28" i="166" s="1"/>
  <c r="W4" i="166"/>
  <c r="W5" i="166" s="1"/>
  <c r="W6" i="166" s="1"/>
  <c r="W7" i="166" s="1"/>
  <c r="AW45" i="160"/>
  <c r="AS337" i="150"/>
  <c r="AS341" i="150"/>
  <c r="Q55" i="143"/>
  <c r="U55" i="143" s="1"/>
  <c r="AN337" i="150"/>
  <c r="S331" i="150"/>
  <c r="S338" i="150" s="1"/>
  <c r="Q40" i="143"/>
  <c r="U40" i="143" s="1"/>
  <c r="AA4" i="160"/>
  <c r="Q24" i="160"/>
  <c r="Z24" i="160" s="1"/>
  <c r="BP14" i="150"/>
  <c r="X331" i="150"/>
  <c r="X337" i="150"/>
  <c r="CZ56" i="160"/>
  <c r="R54" i="160"/>
  <c r="AZ5" i="161"/>
  <c r="BY4" i="166"/>
  <c r="BY5" i="166" s="1"/>
  <c r="BY6" i="166" s="1"/>
  <c r="BY7" i="166" s="1"/>
  <c r="O18" i="166"/>
  <c r="S18" i="166" s="1"/>
  <c r="CP21" i="160"/>
  <c r="CR21" i="160" s="1"/>
  <c r="AE46" i="166"/>
  <c r="DJ45" i="166"/>
  <c r="I45" i="166"/>
  <c r="I37" i="166"/>
  <c r="DJ37" i="166"/>
  <c r="CF56" i="166"/>
  <c r="CG20" i="166"/>
  <c r="CI20" i="166" s="1"/>
  <c r="G20" i="174"/>
  <c r="G21" i="174" s="1"/>
  <c r="G34" i="174" s="1"/>
  <c r="CE54" i="166"/>
  <c r="AM56" i="166"/>
  <c r="CL26" i="160"/>
  <c r="CU26" i="160" s="1"/>
  <c r="DD26" i="160" s="1"/>
  <c r="DM26" i="160" s="1"/>
  <c r="DQ26" i="160" s="1"/>
  <c r="AJ48" i="160"/>
  <c r="AS48" i="160" s="1"/>
  <c r="BB48" i="160" s="1"/>
  <c r="BK48" i="160" s="1"/>
  <c r="BT48" i="160" s="1"/>
  <c r="BQ6" i="160"/>
  <c r="BQ7" i="160" s="1"/>
  <c r="AJ26" i="166"/>
  <c r="AS26" i="166" s="1"/>
  <c r="BB26" i="166" s="1"/>
  <c r="BK26" i="166" s="1"/>
  <c r="BT26" i="166" s="1"/>
  <c r="CC26" i="166" s="1"/>
  <c r="CL26" i="166" s="1"/>
  <c r="CU26" i="166" s="1"/>
  <c r="CR5" i="166"/>
  <c r="CR6" i="166" s="1"/>
  <c r="CR7" i="166" s="1"/>
  <c r="I9" i="172"/>
  <c r="G20" i="172"/>
  <c r="K20" i="172"/>
  <c r="P8" i="172"/>
  <c r="P20" i="172" s="1"/>
  <c r="P25" i="172" s="1"/>
  <c r="AJ14" i="166"/>
  <c r="AS14" i="166" s="1"/>
  <c r="BB14" i="166" s="1"/>
  <c r="BK14" i="166" s="1"/>
  <c r="BT14" i="166" s="1"/>
  <c r="CC14" i="166" s="1"/>
  <c r="CL14" i="166" s="1"/>
  <c r="CU14" i="166" s="1"/>
  <c r="DD14" i="166" s="1"/>
  <c r="DM14" i="166" s="1"/>
  <c r="DQ14" i="166" s="1"/>
  <c r="BX5" i="161"/>
  <c r="W42" i="166"/>
  <c r="M16" i="160"/>
  <c r="Q16" i="160" s="1"/>
  <c r="Z16" i="160" s="1"/>
  <c r="O20" i="160"/>
  <c r="S20" i="160" s="1"/>
  <c r="Q20" i="160"/>
  <c r="Z20" i="160" s="1"/>
  <c r="AI20" i="160" s="1"/>
  <c r="AR20" i="160" s="1"/>
  <c r="V17" i="160"/>
  <c r="X17" i="160" s="1"/>
  <c r="AP17" i="160"/>
  <c r="AW46" i="160"/>
  <c r="AY46" i="160" s="1"/>
  <c r="AU54" i="160"/>
  <c r="AW16" i="160"/>
  <c r="AY16" i="160" s="1"/>
  <c r="BF14" i="160"/>
  <c r="BH14" i="160" s="1"/>
  <c r="DH45" i="160"/>
  <c r="DH54" i="160" s="1"/>
  <c r="DF54" i="160"/>
  <c r="DJ36" i="160"/>
  <c r="I36" i="160"/>
  <c r="DJ28" i="160"/>
  <c r="DH21" i="160"/>
  <c r="DJ21" i="160" s="1"/>
  <c r="BF21" i="166"/>
  <c r="BH21" i="166" s="1"/>
  <c r="BX19" i="166"/>
  <c r="BV42" i="166"/>
  <c r="CI21" i="166"/>
  <c r="CR48" i="166"/>
  <c r="CP16" i="166"/>
  <c r="CR16" i="166" s="1"/>
  <c r="CN42" i="166"/>
  <c r="I47" i="166"/>
  <c r="DJ47" i="166"/>
  <c r="I31" i="166"/>
  <c r="DJ31" i="166"/>
  <c r="I28" i="166"/>
  <c r="DJ28" i="166"/>
  <c r="I25" i="166"/>
  <c r="DJ25" i="166"/>
  <c r="DH22" i="166"/>
  <c r="I22" i="166" s="1"/>
  <c r="DF42" i="166"/>
  <c r="AS45" i="166"/>
  <c r="BB45" i="166" s="1"/>
  <c r="BK45" i="166" s="1"/>
  <c r="BT45" i="166" s="1"/>
  <c r="CC45" i="166" s="1"/>
  <c r="AI49" i="160"/>
  <c r="AR49" i="160" s="1"/>
  <c r="BA49" i="160" s="1"/>
  <c r="Q46" i="160"/>
  <c r="Z46" i="160" s="1"/>
  <c r="AJ19" i="160"/>
  <c r="AS19" i="160" s="1"/>
  <c r="BB19" i="160" s="1"/>
  <c r="BK19" i="160" s="1"/>
  <c r="BT19" i="160" s="1"/>
  <c r="CC19" i="160" s="1"/>
  <c r="CL19" i="160" s="1"/>
  <c r="CU19" i="160" s="1"/>
  <c r="DD19" i="160" s="1"/>
  <c r="DM19" i="160" s="1"/>
  <c r="DQ19" i="160" s="1"/>
  <c r="BB38" i="166"/>
  <c r="BK38" i="166" s="1"/>
  <c r="BT38" i="166" s="1"/>
  <c r="CC38" i="166" s="1"/>
  <c r="CL38" i="166" s="1"/>
  <c r="CU38" i="166" s="1"/>
  <c r="DD38" i="166" s="1"/>
  <c r="DM38" i="166" s="1"/>
  <c r="DQ38" i="166" s="1"/>
  <c r="AG19" i="166"/>
  <c r="I27" i="143"/>
  <c r="N26" i="143"/>
  <c r="Q15" i="160"/>
  <c r="O15" i="160"/>
  <c r="S15" i="160" s="1"/>
  <c r="S46" i="160"/>
  <c r="X25" i="160"/>
  <c r="AN20" i="160"/>
  <c r="AP20" i="160" s="1"/>
  <c r="BF48" i="160"/>
  <c r="BQ14" i="160"/>
  <c r="CP46" i="160"/>
  <c r="CR46" i="160" s="1"/>
  <c r="CW42" i="160"/>
  <c r="DJ34" i="160"/>
  <c r="I34" i="160"/>
  <c r="DJ30" i="160"/>
  <c r="I22" i="160"/>
  <c r="DJ22" i="160"/>
  <c r="BH16" i="166"/>
  <c r="BH14" i="166"/>
  <c r="BO48" i="166"/>
  <c r="BQ39" i="166"/>
  <c r="BQ17" i="166"/>
  <c r="BX47" i="166"/>
  <c r="BZ47" i="166" s="1"/>
  <c r="BV54" i="166"/>
  <c r="CI28" i="166"/>
  <c r="CY48" i="166"/>
  <c r="CY17" i="166"/>
  <c r="CW42" i="166"/>
  <c r="DH46" i="166"/>
  <c r="DF54" i="166"/>
  <c r="DJ33" i="166"/>
  <c r="I33" i="166"/>
  <c r="DJ23" i="166"/>
  <c r="I23" i="166"/>
  <c r="DJ26" i="160"/>
  <c r="E25" i="161"/>
  <c r="F25" i="161"/>
  <c r="N10" i="143"/>
  <c r="N25" i="143"/>
  <c r="N12" i="143"/>
  <c r="N18" i="143"/>
  <c r="N14" i="143"/>
  <c r="N16" i="143"/>
  <c r="O11" i="143"/>
  <c r="Q11" i="143" s="1"/>
  <c r="U11" i="143" s="1"/>
  <c r="I17" i="165"/>
  <c r="G32" i="165"/>
  <c r="AQ331" i="150"/>
  <c r="AQ338" i="150" s="1"/>
  <c r="AQ337" i="150"/>
  <c r="R337" i="150"/>
  <c r="R331" i="150"/>
  <c r="R338" i="150" s="1"/>
  <c r="AS30" i="166"/>
  <c r="BB30" i="166" s="1"/>
  <c r="BK30" i="166" s="1"/>
  <c r="BT30" i="166" s="1"/>
  <c r="CC30" i="166" s="1"/>
  <c r="CL30" i="166" s="1"/>
  <c r="CU30" i="166" s="1"/>
  <c r="DD30" i="166" s="1"/>
  <c r="DM30" i="166" s="1"/>
  <c r="DQ30" i="166" s="1"/>
  <c r="B3" i="140"/>
  <c r="BA337" i="150"/>
  <c r="U341" i="150"/>
  <c r="Q70" i="143"/>
  <c r="S70" i="143" s="1"/>
  <c r="S52" i="166"/>
  <c r="AF4" i="166"/>
  <c r="N4" i="166"/>
  <c r="N4" i="160"/>
  <c r="O33" i="166"/>
  <c r="S33" i="166" s="1"/>
  <c r="Q33" i="166"/>
  <c r="Z33" i="166" s="1"/>
  <c r="O25" i="166"/>
  <c r="S25" i="166" s="1"/>
  <c r="AG6" i="166"/>
  <c r="AG7" i="166" s="1"/>
  <c r="BW56" i="166"/>
  <c r="I36" i="166"/>
  <c r="DJ36" i="166"/>
  <c r="DG56" i="160"/>
  <c r="AD56" i="166"/>
  <c r="BN56" i="166"/>
  <c r="BH19" i="166"/>
  <c r="X18" i="166"/>
  <c r="BJ49" i="160"/>
  <c r="BS49" i="160" s="1"/>
  <c r="CB49" i="160" s="1"/>
  <c r="CK49" i="160" s="1"/>
  <c r="CT49" i="160" s="1"/>
  <c r="DC49" i="160" s="1"/>
  <c r="DL49" i="160" s="1"/>
  <c r="I45" i="160"/>
  <c r="AI50" i="160"/>
  <c r="AR50" i="160" s="1"/>
  <c r="BA50" i="160" s="1"/>
  <c r="BK23" i="160"/>
  <c r="BT23" i="160" s="1"/>
  <c r="CC23" i="160" s="1"/>
  <c r="CL23" i="160" s="1"/>
  <c r="CU23" i="160" s="1"/>
  <c r="DD23" i="160" s="1"/>
  <c r="DM23" i="160" s="1"/>
  <c r="DQ23" i="160" s="1"/>
  <c r="CU16" i="166"/>
  <c r="DD16" i="166" s="1"/>
  <c r="DM16" i="166" s="1"/>
  <c r="DQ16" i="166" s="1"/>
  <c r="B8" i="141"/>
  <c r="CI46" i="166"/>
  <c r="Q4" i="160"/>
  <c r="AI50" i="166"/>
  <c r="AR50" i="166" s="1"/>
  <c r="BA50" i="166" s="1"/>
  <c r="BJ50" i="166" s="1"/>
  <c r="O19" i="166"/>
  <c r="S19" i="166" s="1"/>
  <c r="CX56" i="166"/>
  <c r="O23" i="160"/>
  <c r="S23" i="160" s="1"/>
  <c r="Q23" i="160"/>
  <c r="AG22" i="160"/>
  <c r="AP28" i="160"/>
  <c r="CG20" i="160"/>
  <c r="CI20" i="160" s="1"/>
  <c r="BO21" i="166"/>
  <c r="BQ21" i="166" s="1"/>
  <c r="BM42" i="166"/>
  <c r="AJ36" i="166"/>
  <c r="AS36" i="166" s="1"/>
  <c r="BB36" i="166" s="1"/>
  <c r="X22" i="160"/>
  <c r="AP32" i="160"/>
  <c r="CG46" i="160"/>
  <c r="M20" i="166"/>
  <c r="O20" i="166" s="1"/>
  <c r="S20" i="166" s="1"/>
  <c r="CI34" i="160"/>
  <c r="Q16" i="166"/>
  <c r="Z16" i="166" s="1"/>
  <c r="DA16" i="160"/>
  <c r="AY45" i="160"/>
  <c r="Q41" i="143"/>
  <c r="S41" i="143" s="1"/>
  <c r="BT329" i="150"/>
  <c r="AR337" i="150"/>
  <c r="AR331" i="150"/>
  <c r="AR338" i="150" s="1"/>
  <c r="AO337" i="150"/>
  <c r="AT341" i="150"/>
  <c r="P337" i="150"/>
  <c r="BN14" i="150"/>
  <c r="BM14" i="150"/>
  <c r="AP5" i="160"/>
  <c r="AP6" i="160" s="1"/>
  <c r="AP7" i="160" s="1"/>
  <c r="Z337" i="150"/>
  <c r="AX56" i="160"/>
  <c r="DJ27" i="160"/>
  <c r="I27" i="160"/>
  <c r="BX8" i="161"/>
  <c r="DI8" i="160" s="1"/>
  <c r="BE56" i="166"/>
  <c r="AW20" i="166"/>
  <c r="AY20" i="166" s="1"/>
  <c r="DG56" i="166"/>
  <c r="Q42" i="143"/>
  <c r="S42" i="143" s="1"/>
  <c r="A33" i="151"/>
  <c r="A34" i="151" s="1"/>
  <c r="A35" i="151" s="1"/>
  <c r="A36" i="151" s="1"/>
  <c r="A37" i="151" s="1"/>
  <c r="A38" i="151" s="1"/>
  <c r="A39" i="151" s="1"/>
  <c r="A40" i="151" s="1"/>
  <c r="A41" i="151" s="1"/>
  <c r="A42" i="151" s="1"/>
  <c r="A43" i="151" s="1"/>
  <c r="A44" i="151" s="1"/>
  <c r="A45" i="151" s="1"/>
  <c r="A46" i="151" s="1"/>
  <c r="A47" i="151" s="1"/>
  <c r="A48" i="151" s="1"/>
  <c r="A49" i="151" s="1"/>
  <c r="A50" i="151" s="1"/>
  <c r="A51" i="151" s="1"/>
  <c r="A52" i="151" s="1"/>
  <c r="A53" i="151" s="1"/>
  <c r="A54" i="151" s="1"/>
  <c r="A55" i="151" s="1"/>
  <c r="A56" i="151" s="1"/>
  <c r="A57" i="151" s="1"/>
  <c r="A58" i="151" s="1"/>
  <c r="A59" i="151" s="1"/>
  <c r="CI46" i="160"/>
  <c r="CI54" i="160" s="1"/>
  <c r="AJ29" i="166"/>
  <c r="AS29" i="166" s="1"/>
  <c r="BB29" i="166" s="1"/>
  <c r="V5" i="161"/>
  <c r="AX5" i="166"/>
  <c r="AX6" i="166" s="1"/>
  <c r="AX7" i="166" s="1"/>
  <c r="AG47" i="160"/>
  <c r="AH331" i="150"/>
  <c r="AH338" i="150" s="1"/>
  <c r="AV341" i="150"/>
  <c r="BQ48" i="166"/>
  <c r="J11" i="151"/>
  <c r="K11" i="151"/>
  <c r="Y337" i="150"/>
  <c r="AJ29" i="160"/>
  <c r="AJ331" i="150"/>
  <c r="AJ338" i="150" s="1"/>
  <c r="BB337" i="150"/>
  <c r="AW337" i="150"/>
  <c r="I331" i="150"/>
  <c r="N331" i="150"/>
  <c r="N338" i="150" s="1"/>
  <c r="AY337" i="150"/>
  <c r="L331" i="150"/>
  <c r="L338" i="150" s="1"/>
  <c r="W337" i="150"/>
  <c r="AJ337" i="150"/>
  <c r="AM56" i="160"/>
  <c r="CP20" i="160"/>
  <c r="CR20" i="160" s="1"/>
  <c r="U56" i="166"/>
  <c r="A1" i="10" l="1"/>
  <c r="A1" i="176"/>
  <c r="O23" i="166"/>
  <c r="S23" i="166" s="1"/>
  <c r="Q23" i="166"/>
  <c r="Z23" i="166" s="1"/>
  <c r="DI8" i="166"/>
  <c r="O16" i="160"/>
  <c r="S16" i="160" s="1"/>
  <c r="BX42" i="166"/>
  <c r="BZ19" i="166"/>
  <c r="AW54" i="160"/>
  <c r="CE56" i="166"/>
  <c r="W56" i="160"/>
  <c r="I32" i="160"/>
  <c r="DJ32" i="160"/>
  <c r="Q20" i="166"/>
  <c r="Z20" i="166" s="1"/>
  <c r="AB20" i="166" s="1"/>
  <c r="BN329" i="150"/>
  <c r="BH329" i="150"/>
  <c r="BL329" i="150"/>
  <c r="BU142" i="150"/>
  <c r="K341" i="150"/>
  <c r="K331" i="150"/>
  <c r="K338" i="150" s="1"/>
  <c r="AC331" i="150"/>
  <c r="Q36" i="160"/>
  <c r="Z36" i="160" s="1"/>
  <c r="O36" i="160"/>
  <c r="S36" i="160" s="1"/>
  <c r="I19" i="160"/>
  <c r="DJ19" i="160"/>
  <c r="Q39" i="166"/>
  <c r="Z39" i="166" s="1"/>
  <c r="AB39" i="166" s="1"/>
  <c r="O39" i="166"/>
  <c r="S39" i="166" s="1"/>
  <c r="O14" i="166"/>
  <c r="S14" i="166" s="1"/>
  <c r="Q14" i="166"/>
  <c r="Z14" i="166" s="1"/>
  <c r="X28" i="166"/>
  <c r="Z28" i="166"/>
  <c r="AB28" i="166" s="1"/>
  <c r="BO47" i="166"/>
  <c r="BO54" i="166" s="1"/>
  <c r="BM54" i="166"/>
  <c r="AR51" i="166"/>
  <c r="I28" i="143"/>
  <c r="N28" i="143" s="1"/>
  <c r="N27" i="143"/>
  <c r="B13" i="151"/>
  <c r="CR45" i="166"/>
  <c r="CR54" i="166" s="1"/>
  <c r="CP54" i="166"/>
  <c r="D37" i="152"/>
  <c r="R19" i="166"/>
  <c r="N42" i="166"/>
  <c r="N56" i="166" s="1"/>
  <c r="AW14" i="160"/>
  <c r="AY14" i="160" s="1"/>
  <c r="AU42" i="160"/>
  <c r="AU56" i="160" s="1"/>
  <c r="DJ46" i="160"/>
  <c r="I46" i="160"/>
  <c r="AO331" i="150"/>
  <c r="AO338" i="150" s="1"/>
  <c r="AU337" i="150"/>
  <c r="AI341" i="150"/>
  <c r="I337" i="150"/>
  <c r="J341" i="150"/>
  <c r="AA337" i="150"/>
  <c r="AA331" i="150"/>
  <c r="B25" i="161"/>
  <c r="C25" i="161"/>
  <c r="Q26" i="160"/>
  <c r="Z26" i="160" s="1"/>
  <c r="O26" i="160"/>
  <c r="S26" i="160" s="1"/>
  <c r="O38" i="160"/>
  <c r="S38" i="160" s="1"/>
  <c r="Q38" i="160"/>
  <c r="Z38" i="160" s="1"/>
  <c r="I21" i="160"/>
  <c r="K42" i="166"/>
  <c r="DJ45" i="160"/>
  <c r="G128" i="143"/>
  <c r="G129" i="143" s="1"/>
  <c r="G130" i="143" s="1"/>
  <c r="BM329" i="150"/>
  <c r="V18" i="161"/>
  <c r="AA4" i="166"/>
  <c r="AA5" i="166" s="1"/>
  <c r="AA6" i="166" s="1"/>
  <c r="AA7" i="166" s="1"/>
  <c r="N15" i="143"/>
  <c r="N17" i="143"/>
  <c r="N20" i="143"/>
  <c r="AA48" i="166"/>
  <c r="AJ48" i="166" s="1"/>
  <c r="AS48" i="166" s="1"/>
  <c r="BB48" i="166" s="1"/>
  <c r="BK48" i="166" s="1"/>
  <c r="BT48" i="166" s="1"/>
  <c r="CC48" i="166" s="1"/>
  <c r="CL48" i="166" s="1"/>
  <c r="CU48" i="166" s="1"/>
  <c r="DD48" i="166" s="1"/>
  <c r="DM48" i="166" s="1"/>
  <c r="DQ48" i="166" s="1"/>
  <c r="R54" i="166"/>
  <c r="Q3" i="161"/>
  <c r="Z4" i="160" s="1"/>
  <c r="Z39" i="160"/>
  <c r="CP20" i="166"/>
  <c r="CO42" i="166"/>
  <c r="CO56" i="166" s="1"/>
  <c r="Z33" i="160"/>
  <c r="BM54" i="160"/>
  <c r="W56" i="166"/>
  <c r="S12" i="151"/>
  <c r="G331" i="150"/>
  <c r="BP329" i="150"/>
  <c r="K12" i="151"/>
  <c r="M331" i="150"/>
  <c r="M338" i="150" s="1"/>
  <c r="BN13" i="150"/>
  <c r="BG56" i="160"/>
  <c r="CH5" i="160"/>
  <c r="CH6" i="160" s="1"/>
  <c r="CH7" i="160" s="1"/>
  <c r="DA6" i="166"/>
  <c r="DA7" i="166" s="1"/>
  <c r="Z34" i="160"/>
  <c r="Z31" i="160"/>
  <c r="AI31" i="160" s="1"/>
  <c r="BE56" i="160"/>
  <c r="BW56" i="160"/>
  <c r="Z25" i="166"/>
  <c r="CW54" i="166"/>
  <c r="CY54" i="166"/>
  <c r="BF8" i="161"/>
  <c r="F139" i="143"/>
  <c r="G24" i="121"/>
  <c r="Z331" i="150"/>
  <c r="BG329" i="150"/>
  <c r="N11" i="151"/>
  <c r="AX5" i="160"/>
  <c r="AX6" i="160" s="1"/>
  <c r="AX7" i="160" s="1"/>
  <c r="K128" i="143"/>
  <c r="Z29" i="160"/>
  <c r="AI29" i="160" s="1"/>
  <c r="AR29" i="160" s="1"/>
  <c r="BA29" i="160" s="1"/>
  <c r="Z36" i="166"/>
  <c r="AU54" i="166"/>
  <c r="AJ66" i="161"/>
  <c r="H56" i="166"/>
  <c r="BB20" i="166"/>
  <c r="BK20" i="166" s="1"/>
  <c r="BT20" i="166" s="1"/>
  <c r="CC20" i="166" s="1"/>
  <c r="CL20" i="166" s="1"/>
  <c r="CU20" i="166" s="1"/>
  <c r="DD20" i="166" s="1"/>
  <c r="DM20" i="166" s="1"/>
  <c r="DQ20" i="166" s="1"/>
  <c r="CH56" i="166"/>
  <c r="N5" i="160"/>
  <c r="J5" i="161"/>
  <c r="K4" i="161"/>
  <c r="CQ4" i="166"/>
  <c r="CQ4" i="160"/>
  <c r="CQ5" i="160" s="1"/>
  <c r="CQ6" i="160" s="1"/>
  <c r="CQ7" i="160" s="1"/>
  <c r="O21" i="160"/>
  <c r="S21" i="160" s="1"/>
  <c r="Q21" i="160"/>
  <c r="Z21" i="160" s="1"/>
  <c r="AI21" i="160" s="1"/>
  <c r="AB46" i="160"/>
  <c r="AI46" i="160"/>
  <c r="AK46" i="160" s="1"/>
  <c r="AL54" i="160"/>
  <c r="BN142" i="150"/>
  <c r="BN331" i="150" s="1"/>
  <c r="AN331" i="150"/>
  <c r="AN338" i="150" s="1"/>
  <c r="P341" i="150"/>
  <c r="N13" i="143"/>
  <c r="AC54" i="160"/>
  <c r="CZ5" i="166"/>
  <c r="CZ6" i="166" s="1"/>
  <c r="CZ7" i="166" s="1"/>
  <c r="CA142" i="150"/>
  <c r="BT142" i="150"/>
  <c r="BR142" i="150"/>
  <c r="AX337" i="150"/>
  <c r="AT331" i="150"/>
  <c r="BL14" i="150"/>
  <c r="AB142" i="150"/>
  <c r="AC341" i="150" s="1"/>
  <c r="BP56" i="166"/>
  <c r="D13" i="151"/>
  <c r="AK337" i="150"/>
  <c r="AK331" i="150"/>
  <c r="AK338" i="150" s="1"/>
  <c r="AF142" i="150"/>
  <c r="K129" i="143"/>
  <c r="K130" i="143" s="1"/>
  <c r="K131" i="143" s="1"/>
  <c r="K132" i="143" s="1"/>
  <c r="K133" i="143" s="1"/>
  <c r="K134" i="143" s="1"/>
  <c r="K135" i="143" s="1"/>
  <c r="K136" i="143" s="1"/>
  <c r="K137" i="143" s="1"/>
  <c r="K138" i="143" s="1"/>
  <c r="AZ8" i="161"/>
  <c r="BY4" i="160"/>
  <c r="BY5" i="160" s="1"/>
  <c r="BY6" i="160" s="1"/>
  <c r="BY7" i="160" s="1"/>
  <c r="AF42" i="166"/>
  <c r="BD42" i="160"/>
  <c r="O341" i="150"/>
  <c r="H15" i="152"/>
  <c r="H139" i="143"/>
  <c r="CB329" i="150"/>
  <c r="AF5" i="166"/>
  <c r="AF6" i="166" s="1"/>
  <c r="AF7" i="166" s="1"/>
  <c r="Z37" i="160"/>
  <c r="A18" i="160"/>
  <c r="B26" i="161" s="1"/>
  <c r="R4" i="160"/>
  <c r="O5" i="160"/>
  <c r="O57" i="143"/>
  <c r="O58" i="143" s="1"/>
  <c r="AG17" i="166"/>
  <c r="Q5" i="160"/>
  <c r="Q6" i="160" s="1"/>
  <c r="Q7" i="160" s="1"/>
  <c r="B5" i="140"/>
  <c r="AS52" i="160"/>
  <c r="BB52" i="160" s="1"/>
  <c r="BU329" i="150"/>
  <c r="BG142" i="150"/>
  <c r="AL341" i="150"/>
  <c r="Q28" i="160"/>
  <c r="Z28" i="160" s="1"/>
  <c r="AI28" i="160" s="1"/>
  <c r="BX45" i="160"/>
  <c r="BZ45" i="160" s="1"/>
  <c r="BZ54" i="160" s="1"/>
  <c r="BV54" i="160"/>
  <c r="D23" i="161"/>
  <c r="I128" i="143"/>
  <c r="I129" i="143" s="1"/>
  <c r="I130" i="143" s="1"/>
  <c r="I131" i="143" s="1"/>
  <c r="I132" i="143" s="1"/>
  <c r="I133" i="143" s="1"/>
  <c r="I134" i="143" s="1"/>
  <c r="I135" i="143" s="1"/>
  <c r="I136" i="143" s="1"/>
  <c r="I137" i="143" s="1"/>
  <c r="I138" i="143" s="1"/>
  <c r="H37" i="152"/>
  <c r="DF56" i="166"/>
  <c r="B5" i="145"/>
  <c r="O331" i="150"/>
  <c r="O338" i="150" s="1"/>
  <c r="W341" i="150"/>
  <c r="V8" i="161"/>
  <c r="BD331" i="150"/>
  <c r="BD337" i="150"/>
  <c r="Q48" i="160"/>
  <c r="Z48" i="160" s="1"/>
  <c r="AB48" i="160" s="1"/>
  <c r="O48" i="160"/>
  <c r="S48" i="160" s="1"/>
  <c r="BY329" i="150"/>
  <c r="BY331" i="150" s="1"/>
  <c r="L11" i="151"/>
  <c r="S40" i="143"/>
  <c r="AI18" i="160"/>
  <c r="Q14" i="160"/>
  <c r="Z14" i="160" s="1"/>
  <c r="AI14" i="160" s="1"/>
  <c r="AK14" i="160" s="1"/>
  <c r="Q7" i="161"/>
  <c r="W7" i="161" s="1"/>
  <c r="L56" i="160"/>
  <c r="I46" i="166"/>
  <c r="I54" i="166" s="1"/>
  <c r="DH54" i="166"/>
  <c r="AC337" i="150"/>
  <c r="U41" i="143"/>
  <c r="AI47" i="160"/>
  <c r="N5" i="166"/>
  <c r="N6" i="166" s="1"/>
  <c r="N7" i="166" s="1"/>
  <c r="DI4" i="166"/>
  <c r="DI5" i="166" s="1"/>
  <c r="DI4" i="160"/>
  <c r="DI5" i="160" s="1"/>
  <c r="DI6" i="160" s="1"/>
  <c r="DI7" i="160" s="1"/>
  <c r="X31" i="160"/>
  <c r="X42" i="160" s="1"/>
  <c r="AV42" i="160"/>
  <c r="AV56" i="160" s="1"/>
  <c r="O99" i="143"/>
  <c r="S56" i="143"/>
  <c r="U56" i="143"/>
  <c r="BO13" i="150"/>
  <c r="BO142" i="150" s="1"/>
  <c r="BZ42" i="166"/>
  <c r="BZ56" i="166" s="1"/>
  <c r="BQ142" i="150"/>
  <c r="M11" i="143"/>
  <c r="G27" i="143"/>
  <c r="M26" i="143"/>
  <c r="AX42" i="166"/>
  <c r="AX56" i="166" s="1"/>
  <c r="DJ24" i="160"/>
  <c r="I24" i="160"/>
  <c r="S55" i="143"/>
  <c r="N99" i="143"/>
  <c r="BD54" i="160"/>
  <c r="DJ38" i="160"/>
  <c r="I38" i="160"/>
  <c r="BS329" i="150"/>
  <c r="BS331" i="150" s="1"/>
  <c r="BZ142" i="150"/>
  <c r="BH142" i="150"/>
  <c r="BH331" i="150" s="1"/>
  <c r="BV142" i="150"/>
  <c r="AX331" i="150"/>
  <c r="CB142" i="150"/>
  <c r="CB331" i="150" s="1"/>
  <c r="Q4" i="166"/>
  <c r="K5" i="161"/>
  <c r="N19" i="143"/>
  <c r="N21" i="143"/>
  <c r="V45" i="160"/>
  <c r="T54" i="160"/>
  <c r="T56" i="160" s="1"/>
  <c r="I20" i="160"/>
  <c r="DJ20" i="160"/>
  <c r="AC54" i="166"/>
  <c r="N12" i="151"/>
  <c r="AS331" i="150"/>
  <c r="CA329" i="150"/>
  <c r="Z341" i="150"/>
  <c r="CQ56" i="160"/>
  <c r="AB49" i="166"/>
  <c r="AB26" i="166"/>
  <c r="P5" i="161"/>
  <c r="W5" i="160"/>
  <c r="W6" i="160" s="1"/>
  <c r="W7" i="160" s="1"/>
  <c r="Q35" i="166"/>
  <c r="Z35" i="166" s="1"/>
  <c r="BE142" i="150"/>
  <c r="BY142" i="150"/>
  <c r="BS142" i="150"/>
  <c r="BJ142" i="150"/>
  <c r="BJ331" i="150" s="1"/>
  <c r="Z17" i="166"/>
  <c r="AI17" i="166" s="1"/>
  <c r="AP19" i="166"/>
  <c r="U337" i="150"/>
  <c r="BA331" i="150"/>
  <c r="AA19" i="166"/>
  <c r="AJ19" i="166" s="1"/>
  <c r="AS19" i="166" s="1"/>
  <c r="BB19" i="166" s="1"/>
  <c r="BK19" i="166" s="1"/>
  <c r="BT19" i="166" s="1"/>
  <c r="CC19" i="166" s="1"/>
  <c r="CL19" i="166" s="1"/>
  <c r="CU19" i="166" s="1"/>
  <c r="DD19" i="166" s="1"/>
  <c r="DM19" i="166" s="1"/>
  <c r="DQ19" i="166" s="1"/>
  <c r="I20" i="111"/>
  <c r="I21" i="111" s="1"/>
  <c r="I33" i="111" s="1"/>
  <c r="AY18" i="166"/>
  <c r="AB18" i="166"/>
  <c r="AJ18" i="166"/>
  <c r="AJ50" i="160"/>
  <c r="AS50" i="160" s="1"/>
  <c r="AB50" i="160"/>
  <c r="AB37" i="160"/>
  <c r="AI37" i="160"/>
  <c r="AR37" i="160" s="1"/>
  <c r="O59" i="143"/>
  <c r="Q59" i="143" s="1"/>
  <c r="S59" i="143" s="1"/>
  <c r="Q58" i="143"/>
  <c r="U58" i="143" s="1"/>
  <c r="K13" i="143"/>
  <c r="O12" i="143"/>
  <c r="Q12" i="143" s="1"/>
  <c r="Q8" i="161"/>
  <c r="Z8" i="160" s="1"/>
  <c r="AW42" i="166"/>
  <c r="AY17" i="166"/>
  <c r="AJ49" i="160"/>
  <c r="AB49" i="160"/>
  <c r="AF337" i="150"/>
  <c r="AF331" i="150"/>
  <c r="B45" i="152"/>
  <c r="AJ50" i="166"/>
  <c r="AJ54" i="166" s="1"/>
  <c r="AB50" i="166"/>
  <c r="AA54" i="166"/>
  <c r="O45" i="160"/>
  <c r="S45" i="160" s="1"/>
  <c r="Q45" i="160"/>
  <c r="M54" i="160"/>
  <c r="AG48" i="160"/>
  <c r="AI48" i="160"/>
  <c r="AR48" i="160" s="1"/>
  <c r="BA48" i="160" s="1"/>
  <c r="BJ48" i="160" s="1"/>
  <c r="BS48" i="160" s="1"/>
  <c r="CB48" i="160" s="1"/>
  <c r="CK48" i="160" s="1"/>
  <c r="CT48" i="160" s="1"/>
  <c r="DC48" i="160" s="1"/>
  <c r="DL48" i="160" s="1"/>
  <c r="BZ45" i="166"/>
  <c r="BX54" i="166"/>
  <c r="BJ31" i="166"/>
  <c r="BC31" i="166"/>
  <c r="AP46" i="160"/>
  <c r="AN54" i="160"/>
  <c r="E29" i="143"/>
  <c r="E130" i="143"/>
  <c r="AG54" i="160"/>
  <c r="AB16" i="160"/>
  <c r="AI16" i="160"/>
  <c r="AK16" i="160" s="1"/>
  <c r="N57" i="143"/>
  <c r="BQ47" i="166"/>
  <c r="BQ54" i="166" s="1"/>
  <c r="AR30" i="160"/>
  <c r="AK30" i="160"/>
  <c r="AB16" i="166"/>
  <c r="AI16" i="166"/>
  <c r="AR31" i="160"/>
  <c r="BA31" i="160" s="1"/>
  <c r="AK31" i="160"/>
  <c r="AN5" i="161"/>
  <c r="BG4" i="166"/>
  <c r="AN8" i="161"/>
  <c r="BG4" i="160"/>
  <c r="BG5" i="160" s="1"/>
  <c r="BG6" i="160" s="1"/>
  <c r="BG7" i="160" s="1"/>
  <c r="AG45" i="160"/>
  <c r="AE54" i="160"/>
  <c r="AP14" i="166"/>
  <c r="AP42" i="166" s="1"/>
  <c r="AN42" i="166"/>
  <c r="CG42" i="166"/>
  <c r="CI14" i="166"/>
  <c r="AB33" i="160"/>
  <c r="AI33" i="160"/>
  <c r="AB51" i="160"/>
  <c r="AI51" i="160"/>
  <c r="AR51" i="160" s="1"/>
  <c r="AF8" i="160"/>
  <c r="AF8" i="166"/>
  <c r="AB36" i="160"/>
  <c r="AI36" i="160"/>
  <c r="AG15" i="160"/>
  <c r="AE42" i="160"/>
  <c r="Q48" i="166"/>
  <c r="Z48" i="166" s="1"/>
  <c r="AI48" i="166" s="1"/>
  <c r="O48" i="166"/>
  <c r="S48" i="166" s="1"/>
  <c r="BF42" i="166"/>
  <c r="BH20" i="166"/>
  <c r="BH42" i="166" s="1"/>
  <c r="BH56" i="166" s="1"/>
  <c r="AA42" i="160"/>
  <c r="CG54" i="160"/>
  <c r="BR8" i="161"/>
  <c r="AQ341" i="150"/>
  <c r="CY42" i="160"/>
  <c r="Z15" i="160"/>
  <c r="AB39" i="160"/>
  <c r="AL331" i="150"/>
  <c r="AL338" i="150" s="1"/>
  <c r="AU42" i="166"/>
  <c r="CG54" i="166"/>
  <c r="BF54" i="166"/>
  <c r="X54" i="166"/>
  <c r="O17" i="166"/>
  <c r="S17" i="166" s="1"/>
  <c r="BZ329" i="150"/>
  <c r="BZ331" i="150" s="1"/>
  <c r="AW331" i="150"/>
  <c r="E128" i="143"/>
  <c r="O24" i="166"/>
  <c r="S24" i="166" s="1"/>
  <c r="T331" i="150"/>
  <c r="T338" i="150" s="1"/>
  <c r="AJ42" i="160"/>
  <c r="AT20" i="160"/>
  <c r="BR5" i="161"/>
  <c r="AH341" i="150"/>
  <c r="CE54" i="160"/>
  <c r="S85" i="143"/>
  <c r="AB5" i="161"/>
  <c r="O10" i="143"/>
  <c r="Q10" i="143" s="1"/>
  <c r="U10" i="143" s="1"/>
  <c r="CN54" i="160"/>
  <c r="R42" i="160"/>
  <c r="R56" i="160" s="1"/>
  <c r="CN56" i="166"/>
  <c r="AK52" i="166"/>
  <c r="M54" i="166"/>
  <c r="BH54" i="166"/>
  <c r="BD54" i="166"/>
  <c r="Q47" i="166"/>
  <c r="Z47" i="166" s="1"/>
  <c r="AI47" i="166" s="1"/>
  <c r="CU1" i="160"/>
  <c r="Q29" i="166"/>
  <c r="Z29" i="166" s="1"/>
  <c r="Z32" i="166"/>
  <c r="CI54" i="166"/>
  <c r="S43" i="143"/>
  <c r="AR46" i="160"/>
  <c r="AT46" i="160" s="1"/>
  <c r="BM142" i="150"/>
  <c r="AK341" i="150"/>
  <c r="M42" i="166"/>
  <c r="I32" i="165"/>
  <c r="D25" i="161"/>
  <c r="CR54" i="160"/>
  <c r="I14" i="160"/>
  <c r="F22" i="161" s="1"/>
  <c r="D22" i="161" s="1"/>
  <c r="CR1" i="160"/>
  <c r="C22" i="152"/>
  <c r="O33" i="160"/>
  <c r="S33" i="160" s="1"/>
  <c r="CT1" i="166"/>
  <c r="BF47" i="160"/>
  <c r="BF20" i="160"/>
  <c r="BH20" i="160" s="1"/>
  <c r="BO45" i="160"/>
  <c r="AI26" i="166"/>
  <c r="AR26" i="166" s="1"/>
  <c r="CR42" i="160"/>
  <c r="M101" i="143"/>
  <c r="M102" i="143" s="1"/>
  <c r="BD341" i="150"/>
  <c r="AI49" i="166"/>
  <c r="AR49" i="166" s="1"/>
  <c r="O29" i="160"/>
  <c r="S341" i="150"/>
  <c r="AW341" i="150"/>
  <c r="AN341" i="150"/>
  <c r="CI42" i="166"/>
  <c r="O5" i="166"/>
  <c r="R341" i="150"/>
  <c r="AB20" i="160"/>
  <c r="AO4" i="166"/>
  <c r="AO5" i="166" s="1"/>
  <c r="AI19" i="166"/>
  <c r="AK19" i="166" s="1"/>
  <c r="AE42" i="166"/>
  <c r="DJ47" i="160"/>
  <c r="C16" i="162"/>
  <c r="N341" i="150"/>
  <c r="M70" i="143"/>
  <c r="M127" i="143" s="1"/>
  <c r="Q34" i="166"/>
  <c r="AW20" i="160"/>
  <c r="AH337" i="150"/>
  <c r="AP54" i="160"/>
  <c r="K342" i="150"/>
  <c r="AJ341" i="150"/>
  <c r="DA48" i="166"/>
  <c r="DA54" i="166" s="1"/>
  <c r="BB341" i="150"/>
  <c r="AM341" i="150"/>
  <c r="S11" i="143"/>
  <c r="K42" i="160"/>
  <c r="K56" i="160" s="1"/>
  <c r="AI28" i="166"/>
  <c r="DJ46" i="166"/>
  <c r="DJ54" i="166" s="1"/>
  <c r="AB30" i="160"/>
  <c r="BP13" i="150"/>
  <c r="BP142" i="150" s="1"/>
  <c r="BP8" i="166"/>
  <c r="M341" i="150"/>
  <c r="K54" i="160"/>
  <c r="AW45" i="166"/>
  <c r="AY45" i="166" s="1"/>
  <c r="AY54" i="166" s="1"/>
  <c r="I16" i="162"/>
  <c r="BH5" i="160"/>
  <c r="BH6" i="160" s="1"/>
  <c r="BH7" i="160" s="1"/>
  <c r="T54" i="166"/>
  <c r="H20" i="152"/>
  <c r="H22" i="152" s="1"/>
  <c r="AG341" i="150"/>
  <c r="Y331" i="150"/>
  <c r="CH56" i="160"/>
  <c r="Q30" i="166"/>
  <c r="Z30" i="166" s="1"/>
  <c r="AY341" i="150"/>
  <c r="CG42" i="160"/>
  <c r="BA341" i="150"/>
  <c r="AP341" i="150"/>
  <c r="BZ54" i="166"/>
  <c r="AL42" i="160"/>
  <c r="AL56" i="160" s="1"/>
  <c r="BD42" i="166"/>
  <c r="BD56" i="166" s="1"/>
  <c r="AB28" i="160"/>
  <c r="A13" i="150"/>
  <c r="BX54" i="160"/>
  <c r="C13" i="151"/>
  <c r="O71" i="143"/>
  <c r="Q71" i="143" s="1"/>
  <c r="C14" i="162"/>
  <c r="E14" i="162" s="1"/>
  <c r="B34" i="162" s="1"/>
  <c r="AC42" i="166"/>
  <c r="AC56" i="166" s="1"/>
  <c r="CW54" i="160"/>
  <c r="CW56" i="160" s="1"/>
  <c r="O34" i="160"/>
  <c r="S34" i="160" s="1"/>
  <c r="BL8" i="161"/>
  <c r="I338" i="150"/>
  <c r="AB31" i="166"/>
  <c r="CN42" i="160"/>
  <c r="CN56" i="160" s="1"/>
  <c r="AV42" i="166"/>
  <c r="AV56" i="166" s="1"/>
  <c r="CU1" i="166"/>
  <c r="U70" i="143"/>
  <c r="AO341" i="150"/>
  <c r="Q57" i="143"/>
  <c r="AX341" i="150"/>
  <c r="AT337" i="150"/>
  <c r="AY54" i="160"/>
  <c r="E129" i="143"/>
  <c r="DJ54" i="160"/>
  <c r="BB17" i="166"/>
  <c r="BK17" i="166" s="1"/>
  <c r="BT17" i="166" s="1"/>
  <c r="CC17" i="166" s="1"/>
  <c r="CL17" i="166" s="1"/>
  <c r="CU17" i="166" s="1"/>
  <c r="DD17" i="166" s="1"/>
  <c r="DM17" i="166" s="1"/>
  <c r="DQ17" i="166" s="1"/>
  <c r="AB31" i="160"/>
  <c r="L341" i="150"/>
  <c r="BU331" i="150"/>
  <c r="AF56" i="166"/>
  <c r="R42" i="166"/>
  <c r="R56" i="166" s="1"/>
  <c r="X341" i="150"/>
  <c r="BA18" i="166"/>
  <c r="BJ18" i="166" s="1"/>
  <c r="BS18" i="166" s="1"/>
  <c r="CB18" i="166" s="1"/>
  <c r="CK18" i="166" s="1"/>
  <c r="CT18" i="166" s="1"/>
  <c r="DC18" i="166" s="1"/>
  <c r="DL18" i="166" s="1"/>
  <c r="Q22" i="166"/>
  <c r="Z22" i="166" s="1"/>
  <c r="K54" i="166"/>
  <c r="W331" i="150"/>
  <c r="AE142" i="150"/>
  <c r="CQ56" i="166"/>
  <c r="BS50" i="166"/>
  <c r="CB50" i="166" s="1"/>
  <c r="CK50" i="166" s="1"/>
  <c r="BC341" i="150"/>
  <c r="AA341" i="150"/>
  <c r="BF54" i="160"/>
  <c r="CE42" i="160"/>
  <c r="O60" i="143"/>
  <c r="Q60" i="143" s="1"/>
  <c r="U60" i="143" s="1"/>
  <c r="AA42" i="166"/>
  <c r="AA56" i="166" s="1"/>
  <c r="Y341" i="150"/>
  <c r="AZ341" i="150"/>
  <c r="AF5" i="160"/>
  <c r="AF6" i="160" s="1"/>
  <c r="AF7" i="160" s="1"/>
  <c r="AK31" i="166"/>
  <c r="BO42" i="166"/>
  <c r="AU341" i="150"/>
  <c r="BF42" i="160"/>
  <c r="I54" i="160"/>
  <c r="T341" i="150"/>
  <c r="O337" i="150"/>
  <c r="AC42" i="160"/>
  <c r="DF42" i="160"/>
  <c r="Q341" i="150"/>
  <c r="DR56" i="166"/>
  <c r="K337" i="150"/>
  <c r="Z27" i="160"/>
  <c r="I8" i="172"/>
  <c r="I20" i="172" s="1"/>
  <c r="C12" i="162"/>
  <c r="G12" i="162" s="1"/>
  <c r="B26" i="162" s="1"/>
  <c r="Z23" i="160"/>
  <c r="AB23" i="160" s="1"/>
  <c r="BM56" i="166"/>
  <c r="AG42" i="160"/>
  <c r="DH42" i="160"/>
  <c r="DH56" i="160" s="1"/>
  <c r="BV42" i="160"/>
  <c r="T42" i="160"/>
  <c r="T42" i="166"/>
  <c r="AB27" i="166"/>
  <c r="N70" i="143"/>
  <c r="N71" i="143" s="1"/>
  <c r="N72" i="143" s="1"/>
  <c r="AD56" i="160"/>
  <c r="F17" i="188"/>
  <c r="BK29" i="166"/>
  <c r="BJ29" i="160"/>
  <c r="S60" i="143"/>
  <c r="U42" i="143"/>
  <c r="AR19" i="166"/>
  <c r="M45" i="143"/>
  <c r="M46" i="143" s="1"/>
  <c r="M47" i="143" s="1"/>
  <c r="BB52" i="166"/>
  <c r="AT52" i="166"/>
  <c r="AI35" i="166"/>
  <c r="AB35" i="166"/>
  <c r="BL48" i="160"/>
  <c r="AK29" i="160"/>
  <c r="AK20" i="160"/>
  <c r="L12" i="151"/>
  <c r="BB28" i="166"/>
  <c r="BK28" i="166" s="1"/>
  <c r="BT28" i="166" s="1"/>
  <c r="CC28" i="166" s="1"/>
  <c r="CL28" i="166" s="1"/>
  <c r="CU28" i="166" s="1"/>
  <c r="DD28" i="166" s="1"/>
  <c r="DM28" i="166" s="1"/>
  <c r="DQ28" i="166" s="1"/>
  <c r="AI22" i="160"/>
  <c r="AR22" i="160" s="1"/>
  <c r="AB22" i="160"/>
  <c r="BQ42" i="166"/>
  <c r="AK18" i="160"/>
  <c r="AR18" i="160"/>
  <c r="AT18" i="160" s="1"/>
  <c r="N43" i="143"/>
  <c r="N46" i="143" s="1"/>
  <c r="N47" i="143" s="1"/>
  <c r="X11" i="121"/>
  <c r="AS29" i="160"/>
  <c r="CP42" i="160"/>
  <c r="AK48" i="166"/>
  <c r="AR48" i="166"/>
  <c r="M42" i="160"/>
  <c r="O19" i="160"/>
  <c r="S19" i="160" s="1"/>
  <c r="Q19" i="160"/>
  <c r="I29" i="143"/>
  <c r="Q70" i="121"/>
  <c r="V70" i="121" s="1"/>
  <c r="AD70" i="121" s="1"/>
  <c r="Z22" i="121"/>
  <c r="AD22" i="121" s="1"/>
  <c r="U59" i="143"/>
  <c r="P11" i="151"/>
  <c r="BM331" i="150"/>
  <c r="N44" i="143"/>
  <c r="N45" i="143" s="1"/>
  <c r="BC48" i="160"/>
  <c r="AI23" i="160"/>
  <c r="AK23" i="160" s="1"/>
  <c r="AB29" i="160"/>
  <c r="BG8" i="160"/>
  <c r="BG8" i="166"/>
  <c r="M27" i="143"/>
  <c r="G28" i="143"/>
  <c r="K12" i="141"/>
  <c r="K16" i="141" s="1"/>
  <c r="D12" i="141"/>
  <c r="F12" i="141" s="1"/>
  <c r="C13" i="141" s="1"/>
  <c r="E13" i="141" s="1"/>
  <c r="CY42" i="166"/>
  <c r="CY56" i="166" s="1"/>
  <c r="DA17" i="166"/>
  <c r="DA42" i="166" s="1"/>
  <c r="DA56" i="166" s="1"/>
  <c r="J12" i="141"/>
  <c r="BJ50" i="160"/>
  <c r="AI35" i="160"/>
  <c r="AR35" i="160" s="1"/>
  <c r="BA35" i="160" s="1"/>
  <c r="AB35" i="160"/>
  <c r="AI24" i="160"/>
  <c r="AB24" i="160"/>
  <c r="N88" i="143"/>
  <c r="N89" i="143" s="1"/>
  <c r="AK26" i="166"/>
  <c r="M86" i="143"/>
  <c r="M87" i="143" s="1"/>
  <c r="AN45" i="166"/>
  <c r="AL54" i="166"/>
  <c r="AK48" i="160"/>
  <c r="AI39" i="160"/>
  <c r="AK39" i="160" s="1"/>
  <c r="AH8" i="161"/>
  <c r="BC337" i="150"/>
  <c r="Q32" i="160"/>
  <c r="Z32" i="160" s="1"/>
  <c r="O32" i="160"/>
  <c r="S32" i="160" s="1"/>
  <c r="BP331" i="150"/>
  <c r="BX56" i="166"/>
  <c r="BT331" i="150"/>
  <c r="AT31" i="166"/>
  <c r="N58" i="143"/>
  <c r="N59" i="143" s="1"/>
  <c r="DA42" i="160"/>
  <c r="V42" i="166"/>
  <c r="X21" i="166"/>
  <c r="X42" i="166" s="1"/>
  <c r="X56" i="166" s="1"/>
  <c r="BV329" i="150"/>
  <c r="BV331" i="150" s="1"/>
  <c r="DA46" i="160"/>
  <c r="DA54" i="160" s="1"/>
  <c r="CY54" i="160"/>
  <c r="O46" i="166"/>
  <c r="S46" i="166" s="1"/>
  <c r="Q46" i="166"/>
  <c r="Z46" i="166" s="1"/>
  <c r="BG331" i="150"/>
  <c r="AE56" i="160"/>
  <c r="AK49" i="166"/>
  <c r="BH48" i="160"/>
  <c r="K8" i="161"/>
  <c r="AS49" i="166"/>
  <c r="CI42" i="160"/>
  <c r="CI56" i="160" s="1"/>
  <c r="BV56" i="166"/>
  <c r="BY8" i="160"/>
  <c r="BY8" i="166"/>
  <c r="G131" i="143"/>
  <c r="G132" i="143" s="1"/>
  <c r="G133" i="143" s="1"/>
  <c r="G134" i="143" s="1"/>
  <c r="G135" i="143" s="1"/>
  <c r="G136" i="143" s="1"/>
  <c r="G137" i="143" s="1"/>
  <c r="G138" i="143" s="1"/>
  <c r="AT48" i="160"/>
  <c r="AB21" i="160"/>
  <c r="J139" i="143"/>
  <c r="O27" i="160"/>
  <c r="S27" i="160" s="1"/>
  <c r="X7" i="160"/>
  <c r="AJ45" i="160"/>
  <c r="AA54" i="160"/>
  <c r="AA56" i="160" s="1"/>
  <c r="BP4" i="160"/>
  <c r="BP4" i="166"/>
  <c r="I16" i="160"/>
  <c r="F24" i="161" s="1"/>
  <c r="D24" i="161" s="1"/>
  <c r="DJ16" i="160"/>
  <c r="AV331" i="150"/>
  <c r="AV337" i="150"/>
  <c r="BO15" i="160"/>
  <c r="BM42" i="160"/>
  <c r="BM56" i="160" s="1"/>
  <c r="AC56" i="160"/>
  <c r="G13" i="143"/>
  <c r="M13" i="143" s="1"/>
  <c r="DI6" i="166"/>
  <c r="DI7" i="166" s="1"/>
  <c r="D20" i="152"/>
  <c r="D22" i="152" s="1"/>
  <c r="AB8" i="161"/>
  <c r="AO8" i="166" s="1"/>
  <c r="CZ5" i="160"/>
  <c r="CZ6" i="160" s="1"/>
  <c r="CZ7" i="160" s="1"/>
  <c r="I14" i="162" s="1"/>
  <c r="O32" i="166"/>
  <c r="S32" i="166" s="1"/>
  <c r="O36" i="166"/>
  <c r="S36" i="166" s="1"/>
  <c r="Z34" i="166"/>
  <c r="AF56" i="160"/>
  <c r="BL5" i="161"/>
  <c r="Q331" i="150"/>
  <c r="Q338" i="150" s="1"/>
  <c r="J8" i="161"/>
  <c r="Q38" i="166"/>
  <c r="Z38" i="166" s="1"/>
  <c r="Q37" i="166"/>
  <c r="Z37" i="166" s="1"/>
  <c r="DI56" i="166"/>
  <c r="AL56" i="166"/>
  <c r="AU56" i="166"/>
  <c r="AL337" i="150"/>
  <c r="BX329" i="150"/>
  <c r="BP56" i="160"/>
  <c r="AT5" i="161"/>
  <c r="CX56" i="160"/>
  <c r="G22" i="152"/>
  <c r="V331" i="150"/>
  <c r="O28" i="166"/>
  <c r="S28" i="166" s="1"/>
  <c r="BG5" i="166"/>
  <c r="BG6" i="166" s="1"/>
  <c r="BG7" i="166" s="1"/>
  <c r="AG331" i="150"/>
  <c r="AL342" i="150" s="1"/>
  <c r="P8" i="161"/>
  <c r="A60" i="151"/>
  <c r="DD26" i="166"/>
  <c r="BT34" i="166"/>
  <c r="BT32" i="160"/>
  <c r="AI39" i="166"/>
  <c r="CC48" i="160"/>
  <c r="BU48" i="160"/>
  <c r="N90" i="143"/>
  <c r="AT29" i="160"/>
  <c r="AS37" i="166"/>
  <c r="AA5" i="160"/>
  <c r="AA6" i="160" s="1"/>
  <c r="AA7" i="160" s="1"/>
  <c r="Z4" i="166"/>
  <c r="BA20" i="160"/>
  <c r="U71" i="143"/>
  <c r="S71" i="143"/>
  <c r="CL45" i="166"/>
  <c r="J342" i="150"/>
  <c r="I342" i="150"/>
  <c r="F11" i="145"/>
  <c r="B8" i="145"/>
  <c r="CR20" i="166"/>
  <c r="CR42" i="166" s="1"/>
  <c r="CR56" i="166" s="1"/>
  <c r="CP42" i="166"/>
  <c r="CP56" i="166" s="1"/>
  <c r="AT22" i="160"/>
  <c r="BA22" i="160"/>
  <c r="E12" i="162"/>
  <c r="B24" i="162" s="1"/>
  <c r="BK34" i="160"/>
  <c r="AR16" i="160"/>
  <c r="L12" i="162"/>
  <c r="B30" i="162" s="1"/>
  <c r="AB48" i="166"/>
  <c r="C26" i="161"/>
  <c r="F26" i="161"/>
  <c r="AK22" i="160"/>
  <c r="BK36" i="166"/>
  <c r="CK52" i="160"/>
  <c r="S47" i="166"/>
  <c r="S54" i="166" s="1"/>
  <c r="B40" i="152"/>
  <c r="H143" i="150"/>
  <c r="H144" i="150" s="1"/>
  <c r="H145" i="150" s="1"/>
  <c r="H146" i="150" s="1"/>
  <c r="H147" i="150" s="1"/>
  <c r="H148" i="150" s="1"/>
  <c r="H149" i="150" s="1"/>
  <c r="H150" i="150" s="1"/>
  <c r="H151" i="150" s="1"/>
  <c r="H152" i="150" s="1"/>
  <c r="H153" i="150" s="1"/>
  <c r="H154" i="150" s="1"/>
  <c r="H155" i="150" s="1"/>
  <c r="H156" i="150" s="1"/>
  <c r="H157" i="150" s="1"/>
  <c r="H158" i="150" s="1"/>
  <c r="H159" i="150" s="1"/>
  <c r="H160" i="150" s="1"/>
  <c r="H161" i="150" s="1"/>
  <c r="H162" i="150" s="1"/>
  <c r="H163" i="150" s="1"/>
  <c r="H164" i="150" s="1"/>
  <c r="H165" i="150" s="1"/>
  <c r="H166" i="150" s="1"/>
  <c r="H167" i="150" s="1"/>
  <c r="H168" i="150" s="1"/>
  <c r="H169" i="150" s="1"/>
  <c r="H170" i="150" s="1"/>
  <c r="H171" i="150" s="1"/>
  <c r="H172" i="150" s="1"/>
  <c r="H173" i="150" s="1"/>
  <c r="H174" i="150" s="1"/>
  <c r="H175" i="150" s="1"/>
  <c r="H176" i="150" s="1"/>
  <c r="H177" i="150" s="1"/>
  <c r="H178" i="150" s="1"/>
  <c r="H179" i="150" s="1"/>
  <c r="H180" i="150" s="1"/>
  <c r="H181" i="150" s="1"/>
  <c r="H182" i="150" s="1"/>
  <c r="H183" i="150" s="1"/>
  <c r="H184" i="150" s="1"/>
  <c r="H185" i="150" s="1"/>
  <c r="H186" i="150" s="1"/>
  <c r="H187" i="150" s="1"/>
  <c r="H188" i="150" s="1"/>
  <c r="H189" i="150" s="1"/>
  <c r="H190" i="150" s="1"/>
  <c r="H191" i="150" s="1"/>
  <c r="H192" i="150" s="1"/>
  <c r="H193" i="150" s="1"/>
  <c r="H194" i="150" s="1"/>
  <c r="H195" i="150" s="1"/>
  <c r="H196" i="150" s="1"/>
  <c r="H197" i="150" s="1"/>
  <c r="H198" i="150" s="1"/>
  <c r="H199" i="150" s="1"/>
  <c r="H200" i="150" s="1"/>
  <c r="H201" i="150" s="1"/>
  <c r="H202" i="150" s="1"/>
  <c r="H203" i="150" s="1"/>
  <c r="H204" i="150" s="1"/>
  <c r="H205" i="150" s="1"/>
  <c r="H206" i="150" s="1"/>
  <c r="H207" i="150" s="1"/>
  <c r="H208" i="150" s="1"/>
  <c r="H209" i="150" s="1"/>
  <c r="H210" i="150" s="1"/>
  <c r="H211" i="150" s="1"/>
  <c r="H212" i="150" s="1"/>
  <c r="H213" i="150" s="1"/>
  <c r="H214" i="150" s="1"/>
  <c r="H215" i="150" s="1"/>
  <c r="H216" i="150" s="1"/>
  <c r="H217" i="150" s="1"/>
  <c r="H218" i="150" s="1"/>
  <c r="H219" i="150" s="1"/>
  <c r="H220" i="150" s="1"/>
  <c r="H221" i="150" s="1"/>
  <c r="H222" i="150" s="1"/>
  <c r="H223" i="150" s="1"/>
  <c r="H224" i="150" s="1"/>
  <c r="H225" i="150" s="1"/>
  <c r="H226" i="150" s="1"/>
  <c r="H227" i="150" s="1"/>
  <c r="H228" i="150" s="1"/>
  <c r="H229" i="150" s="1"/>
  <c r="H230" i="150" s="1"/>
  <c r="H231" i="150" s="1"/>
  <c r="H232" i="150" s="1"/>
  <c r="H233" i="150" s="1"/>
  <c r="H234" i="150" s="1"/>
  <c r="H235" i="150" s="1"/>
  <c r="H236" i="150" s="1"/>
  <c r="H237" i="150" s="1"/>
  <c r="H238" i="150" s="1"/>
  <c r="H239" i="150" s="1"/>
  <c r="H240" i="150" s="1"/>
  <c r="H241" i="150" s="1"/>
  <c r="H242" i="150" s="1"/>
  <c r="H243" i="150" s="1"/>
  <c r="H244" i="150" s="1"/>
  <c r="H245" i="150" s="1"/>
  <c r="H246" i="150" s="1"/>
  <c r="H247" i="150" s="1"/>
  <c r="H248" i="150" s="1"/>
  <c r="H249" i="150" s="1"/>
  <c r="H250" i="150" s="1"/>
  <c r="H251" i="150" s="1"/>
  <c r="H252" i="150" s="1"/>
  <c r="H253" i="150" s="1"/>
  <c r="H254" i="150" s="1"/>
  <c r="H255" i="150" s="1"/>
  <c r="H256" i="150" s="1"/>
  <c r="H257" i="150" s="1"/>
  <c r="H258" i="150" s="1"/>
  <c r="H259" i="150" s="1"/>
  <c r="H260" i="150" s="1"/>
  <c r="H261" i="150" s="1"/>
  <c r="H262" i="150" s="1"/>
  <c r="H263" i="150" s="1"/>
  <c r="H264" i="150" s="1"/>
  <c r="H265" i="150" s="1"/>
  <c r="H266" i="150" s="1"/>
  <c r="H267" i="150" s="1"/>
  <c r="H268" i="150" s="1"/>
  <c r="H269" i="150" s="1"/>
  <c r="H270" i="150" s="1"/>
  <c r="H271" i="150" s="1"/>
  <c r="H272" i="150" s="1"/>
  <c r="H273" i="150" s="1"/>
  <c r="H274" i="150" s="1"/>
  <c r="H275" i="150" s="1"/>
  <c r="H276" i="150" s="1"/>
  <c r="H277" i="150" s="1"/>
  <c r="H278" i="150" s="1"/>
  <c r="H279" i="150" s="1"/>
  <c r="H280" i="150" s="1"/>
  <c r="H281" i="150" s="1"/>
  <c r="H282" i="150" s="1"/>
  <c r="H283" i="150" s="1"/>
  <c r="H284" i="150" s="1"/>
  <c r="H285" i="150" s="1"/>
  <c r="H286" i="150" s="1"/>
  <c r="H287" i="150" s="1"/>
  <c r="H288" i="150" s="1"/>
  <c r="H289" i="150" s="1"/>
  <c r="H290" i="150" s="1"/>
  <c r="H291" i="150" s="1"/>
  <c r="H292" i="150" s="1"/>
  <c r="H293" i="150" s="1"/>
  <c r="H294" i="150" s="1"/>
  <c r="H295" i="150" s="1"/>
  <c r="H296" i="150" s="1"/>
  <c r="H297" i="150" s="1"/>
  <c r="H298" i="150" s="1"/>
  <c r="H299" i="150" s="1"/>
  <c r="H300" i="150" s="1"/>
  <c r="H301" i="150" s="1"/>
  <c r="H302" i="150" s="1"/>
  <c r="H303" i="150" s="1"/>
  <c r="H304" i="150" s="1"/>
  <c r="H305" i="150" s="1"/>
  <c r="H306" i="150" s="1"/>
  <c r="H307" i="150" s="1"/>
  <c r="H308" i="150" s="1"/>
  <c r="H309" i="150" s="1"/>
  <c r="H310" i="150" s="1"/>
  <c r="H311" i="150" s="1"/>
  <c r="H312" i="150" s="1"/>
  <c r="H313" i="150" s="1"/>
  <c r="H314" i="150" s="1"/>
  <c r="H315" i="150" s="1"/>
  <c r="H316" i="150" s="1"/>
  <c r="H317" i="150" s="1"/>
  <c r="H318" i="150" s="1"/>
  <c r="H319" i="150" s="1"/>
  <c r="H320" i="150" s="1"/>
  <c r="H321" i="150" s="1"/>
  <c r="H322" i="150" s="1"/>
  <c r="H323" i="150" s="1"/>
  <c r="H324" i="150" s="1"/>
  <c r="H325" i="150" s="1"/>
  <c r="H326" i="150" s="1"/>
  <c r="H327" i="150" s="1"/>
  <c r="H328" i="150" s="1"/>
  <c r="H329" i="150" s="1"/>
  <c r="H330" i="150" s="1"/>
  <c r="H331" i="150" s="1"/>
  <c r="AU18" i="161"/>
  <c r="V42" i="160"/>
  <c r="N22" i="143"/>
  <c r="BH15" i="160"/>
  <c r="AI25" i="160"/>
  <c r="AB25" i="160"/>
  <c r="DH42" i="166"/>
  <c r="DH56" i="166" s="1"/>
  <c r="DJ22" i="166"/>
  <c r="AK21" i="160"/>
  <c r="AR21" i="160"/>
  <c r="AP19" i="160"/>
  <c r="AP42" i="160" s="1"/>
  <c r="AP56" i="160" s="1"/>
  <c r="AN42" i="160"/>
  <c r="BZ16" i="160"/>
  <c r="BZ42" i="160" s="1"/>
  <c r="BZ56" i="160" s="1"/>
  <c r="BX42" i="160"/>
  <c r="BX56" i="160" s="1"/>
  <c r="Q15" i="166"/>
  <c r="O15" i="166"/>
  <c r="S10" i="143"/>
  <c r="CP54" i="160"/>
  <c r="AB14" i="166"/>
  <c r="AI14" i="166"/>
  <c r="V24" i="121"/>
  <c r="AD19" i="121"/>
  <c r="AK35" i="160"/>
  <c r="AI33" i="166"/>
  <c r="AB33" i="166"/>
  <c r="Z17" i="160"/>
  <c r="O44" i="143"/>
  <c r="N6" i="160"/>
  <c r="N7" i="160" s="1"/>
  <c r="AE54" i="166"/>
  <c r="AE56" i="166" s="1"/>
  <c r="AG46" i="166"/>
  <c r="AG54" i="166" s="1"/>
  <c r="AI23" i="166"/>
  <c r="AB23" i="166"/>
  <c r="AR23" i="160"/>
  <c r="CQ5" i="166"/>
  <c r="CQ6" i="166" s="1"/>
  <c r="CQ7" i="166" s="1"/>
  <c r="AP337" i="150"/>
  <c r="AR341" i="150"/>
  <c r="AR33" i="160"/>
  <c r="AK33" i="160"/>
  <c r="AA13" i="151"/>
  <c r="O12" i="151"/>
  <c r="F12" i="151"/>
  <c r="AK50" i="160"/>
  <c r="V54" i="166"/>
  <c r="Z45" i="166"/>
  <c r="CW56" i="166"/>
  <c r="AB341" i="150"/>
  <c r="AI27" i="166"/>
  <c r="DF56" i="160"/>
  <c r="O86" i="143"/>
  <c r="T114" i="143"/>
  <c r="Z32" i="121"/>
  <c r="AD32" i="121" s="1"/>
  <c r="AD21" i="121"/>
  <c r="O21" i="166"/>
  <c r="S21" i="166" s="1"/>
  <c r="Q21" i="166"/>
  <c r="Z21" i="166" s="1"/>
  <c r="CH5" i="166"/>
  <c r="CH6" i="166" s="1"/>
  <c r="CH7" i="166" s="1"/>
  <c r="O31" i="160"/>
  <c r="P114" i="143"/>
  <c r="AO56" i="160"/>
  <c r="Z24" i="166"/>
  <c r="O47" i="160"/>
  <c r="S11" i="151"/>
  <c r="BF5" i="161"/>
  <c r="F22" i="152"/>
  <c r="K26" i="143"/>
  <c r="O25" i="143"/>
  <c r="B22" i="152"/>
  <c r="AP331" i="150"/>
  <c r="AP338" i="150" s="1"/>
  <c r="AD142" i="150"/>
  <c r="H56" i="160"/>
  <c r="E14" i="161" s="1"/>
  <c r="I16" i="166"/>
  <c r="I42" i="166" s="1"/>
  <c r="DJ16" i="166"/>
  <c r="M57" i="143"/>
  <c r="AM331" i="150"/>
  <c r="BN56" i="160"/>
  <c r="E34" i="174"/>
  <c r="BY56" i="166"/>
  <c r="R111" i="143"/>
  <c r="R114" i="143" s="1"/>
  <c r="CO56" i="160"/>
  <c r="D20" i="172"/>
  <c r="AG42" i="166"/>
  <c r="AG56" i="166" s="1"/>
  <c r="BW329" i="150"/>
  <c r="BQ329" i="150"/>
  <c r="BQ331" i="150" s="1"/>
  <c r="BK329" i="150"/>
  <c r="BE329" i="150"/>
  <c r="BE331" i="150" s="1"/>
  <c r="BO329" i="150"/>
  <c r="BI329" i="150"/>
  <c r="BR329" i="150"/>
  <c r="BR331" i="150" s="1"/>
  <c r="BF329" i="150"/>
  <c r="BX142" i="150"/>
  <c r="BL142" i="150"/>
  <c r="BL331" i="150" s="1"/>
  <c r="BF142" i="150"/>
  <c r="BW142" i="150"/>
  <c r="BK142" i="150"/>
  <c r="BI142" i="150"/>
  <c r="AO42" i="166"/>
  <c r="AO56" i="166" s="1"/>
  <c r="AC7" i="161" l="1"/>
  <c r="AI7" i="161" s="1"/>
  <c r="AO7" i="161" s="1"/>
  <c r="AU7" i="161" s="1"/>
  <c r="AR39" i="160"/>
  <c r="Z8" i="166"/>
  <c r="W3" i="161"/>
  <c r="W8" i="161" s="1"/>
  <c r="AB14" i="160"/>
  <c r="AB47" i="166"/>
  <c r="AR14" i="160"/>
  <c r="BQ56" i="166"/>
  <c r="K56" i="166"/>
  <c r="P342" i="150"/>
  <c r="CH8" i="160"/>
  <c r="CH8" i="166"/>
  <c r="AB18" i="161"/>
  <c r="AJ4" i="160"/>
  <c r="AJ4" i="166"/>
  <c r="AJ5" i="166" s="1"/>
  <c r="AJ6" i="166" s="1"/>
  <c r="AJ7" i="166" s="1"/>
  <c r="G14" i="143"/>
  <c r="G15" i="143" s="1"/>
  <c r="M342" i="150"/>
  <c r="CY56" i="160"/>
  <c r="AB337" i="150"/>
  <c r="AT31" i="160"/>
  <c r="BV56" i="160"/>
  <c r="BF56" i="160"/>
  <c r="CG56" i="166"/>
  <c r="BD56" i="160"/>
  <c r="AI34" i="160"/>
  <c r="AB34" i="160"/>
  <c r="N342" i="150"/>
  <c r="AO8" i="160"/>
  <c r="O342" i="150"/>
  <c r="AK37" i="160"/>
  <c r="AO6" i="166"/>
  <c r="AO7" i="166" s="1"/>
  <c r="AT52" i="160"/>
  <c r="AB331" i="150"/>
  <c r="CG56" i="160"/>
  <c r="AI38" i="160"/>
  <c r="AB38" i="160"/>
  <c r="L342" i="150"/>
  <c r="DJ42" i="160"/>
  <c r="DJ56" i="160" s="1"/>
  <c r="AY42" i="166"/>
  <c r="AB36" i="166"/>
  <c r="AI36" i="166"/>
  <c r="AI25" i="166"/>
  <c r="AB25" i="166"/>
  <c r="AT51" i="166"/>
  <c r="BA51" i="166"/>
  <c r="BA46" i="160"/>
  <c r="BJ46" i="160" s="1"/>
  <c r="AI20" i="166"/>
  <c r="T342" i="150"/>
  <c r="CI56" i="166"/>
  <c r="AI26" i="160"/>
  <c r="AB26" i="160"/>
  <c r="AB19" i="166"/>
  <c r="R5" i="160"/>
  <c r="R6" i="160" s="1"/>
  <c r="R7" i="160" s="1"/>
  <c r="O6" i="160"/>
  <c r="O7" i="160" s="1"/>
  <c r="S342" i="150"/>
  <c r="M56" i="160"/>
  <c r="T56" i="166"/>
  <c r="AB17" i="166"/>
  <c r="Q99" i="143"/>
  <c r="O100" i="143"/>
  <c r="E26" i="161"/>
  <c r="D26" i="161" s="1"/>
  <c r="A19" i="160"/>
  <c r="B27" i="161" s="1"/>
  <c r="J14" i="162"/>
  <c r="B38" i="162" s="1"/>
  <c r="CR56" i="160"/>
  <c r="AK28" i="160"/>
  <c r="AR28" i="160"/>
  <c r="N100" i="143"/>
  <c r="N127" i="143"/>
  <c r="BH42" i="160"/>
  <c r="G14" i="162"/>
  <c r="B36" i="162" s="1"/>
  <c r="V54" i="160"/>
  <c r="V56" i="160" s="1"/>
  <c r="X45" i="160"/>
  <c r="X54" i="160" s="1"/>
  <c r="X56" i="160" s="1"/>
  <c r="V56" i="166"/>
  <c r="CP56" i="160"/>
  <c r="Q342" i="150"/>
  <c r="AK47" i="160"/>
  <c r="AR47" i="160"/>
  <c r="BO331" i="150"/>
  <c r="CA331" i="150"/>
  <c r="R342" i="150"/>
  <c r="AW54" i="166"/>
  <c r="AW56" i="166" s="1"/>
  <c r="F11" i="140"/>
  <c r="C12" i="140" s="1"/>
  <c r="E12" i="140" s="1"/>
  <c r="B8" i="140"/>
  <c r="Q5" i="166"/>
  <c r="Q6" i="166" s="1"/>
  <c r="Q7" i="166" s="1"/>
  <c r="Q4" i="161"/>
  <c r="S58" i="143"/>
  <c r="O61" i="143"/>
  <c r="Q61" i="143" s="1"/>
  <c r="N73" i="143"/>
  <c r="N74" i="143" s="1"/>
  <c r="AI22" i="166"/>
  <c r="AB22" i="166"/>
  <c r="AI30" i="166"/>
  <c r="AB30" i="166"/>
  <c r="AS50" i="166"/>
  <c r="AS54" i="166" s="1"/>
  <c r="AK50" i="166"/>
  <c r="O63" i="143"/>
  <c r="Q63" i="143" s="1"/>
  <c r="J16" i="162"/>
  <c r="B46" i="162" s="1"/>
  <c r="E16" i="162"/>
  <c r="B42" i="162" s="1"/>
  <c r="G16" i="162"/>
  <c r="B44" i="162" s="1"/>
  <c r="K14" i="143"/>
  <c r="O13" i="143"/>
  <c r="Q13" i="143" s="1"/>
  <c r="O72" i="143"/>
  <c r="BF56" i="166"/>
  <c r="BS31" i="166"/>
  <c r="BL31" i="166"/>
  <c r="CQ8" i="166"/>
  <c r="CQ8" i="160"/>
  <c r="AR28" i="166"/>
  <c r="AK28" i="166"/>
  <c r="Q54" i="166"/>
  <c r="U57" i="143"/>
  <c r="S57" i="143"/>
  <c r="G14" i="151"/>
  <c r="S14" i="151" s="1"/>
  <c r="D14" i="151"/>
  <c r="B14" i="151"/>
  <c r="A14" i="150"/>
  <c r="B15" i="151" s="1"/>
  <c r="C14" i="151"/>
  <c r="AB27" i="160"/>
  <c r="AI27" i="160"/>
  <c r="M71" i="143"/>
  <c r="O62" i="143"/>
  <c r="AK49" i="160"/>
  <c r="AS49" i="160"/>
  <c r="D13" i="141"/>
  <c r="F13" i="141" s="1"/>
  <c r="C14" i="141" s="1"/>
  <c r="D14" i="141" s="1"/>
  <c r="F14" i="141" s="1"/>
  <c r="C15" i="141" s="1"/>
  <c r="D15" i="141" s="1"/>
  <c r="F15" i="141" s="1"/>
  <c r="C16" i="141" s="1"/>
  <c r="D16" i="141" s="1"/>
  <c r="AK51" i="160"/>
  <c r="AY20" i="160"/>
  <c r="AY42" i="160" s="1"/>
  <c r="AY56" i="160" s="1"/>
  <c r="AW42" i="160"/>
  <c r="AW56" i="160" s="1"/>
  <c r="AT26" i="166"/>
  <c r="BA26" i="166"/>
  <c r="AI32" i="166"/>
  <c r="AB32" i="166"/>
  <c r="AR16" i="166"/>
  <c r="AK16" i="166"/>
  <c r="AG56" i="160"/>
  <c r="BB50" i="160"/>
  <c r="AT50" i="160"/>
  <c r="O6" i="166"/>
  <c r="O7" i="166" s="1"/>
  <c r="R5" i="166"/>
  <c r="R6" i="166" s="1"/>
  <c r="R7" i="166" s="1"/>
  <c r="BQ45" i="160"/>
  <c r="BQ54" i="160" s="1"/>
  <c r="BO54" i="160"/>
  <c r="AI29" i="166"/>
  <c r="AB29" i="166"/>
  <c r="AI15" i="160"/>
  <c r="AB15" i="160"/>
  <c r="AK36" i="160"/>
  <c r="AR36" i="160"/>
  <c r="M56" i="166"/>
  <c r="E30" i="143"/>
  <c r="E131" i="143"/>
  <c r="Q54" i="160"/>
  <c r="Z45" i="160"/>
  <c r="AN56" i="160"/>
  <c r="BA18" i="160"/>
  <c r="BJ18" i="160" s="1"/>
  <c r="AE331" i="150"/>
  <c r="AE337" i="150"/>
  <c r="BH47" i="160"/>
  <c r="BH54" i="160" s="1"/>
  <c r="CE56" i="160"/>
  <c r="BA30" i="160"/>
  <c r="AT30" i="160"/>
  <c r="AS18" i="166"/>
  <c r="AK18" i="166"/>
  <c r="AJ42" i="166"/>
  <c r="AJ56" i="166" s="1"/>
  <c r="AY56" i="166"/>
  <c r="CZ8" i="166"/>
  <c r="CZ8" i="160"/>
  <c r="I12" i="162" s="1"/>
  <c r="J12" i="162" s="1"/>
  <c r="B28" i="162" s="1"/>
  <c r="BO56" i="166"/>
  <c r="U12" i="143"/>
  <c r="S12" i="143"/>
  <c r="F18" i="188"/>
  <c r="BK52" i="160"/>
  <c r="BC52" i="160"/>
  <c r="BA14" i="160"/>
  <c r="AT14" i="160"/>
  <c r="O54" i="166"/>
  <c r="AI34" i="166"/>
  <c r="AB34" i="166"/>
  <c r="BQ15" i="160"/>
  <c r="BQ42" i="160" s="1"/>
  <c r="BO42" i="160"/>
  <c r="AX8" i="166"/>
  <c r="AX8" i="160"/>
  <c r="BA48" i="166"/>
  <c r="AT48" i="166"/>
  <c r="AS42" i="160"/>
  <c r="BB29" i="160"/>
  <c r="BB49" i="166"/>
  <c r="BA51" i="160"/>
  <c r="AT51" i="160"/>
  <c r="BS29" i="160"/>
  <c r="CT50" i="166"/>
  <c r="AK35" i="166"/>
  <c r="AR35" i="166"/>
  <c r="BC31" i="160"/>
  <c r="BJ31" i="160"/>
  <c r="BI331" i="150"/>
  <c r="Q8" i="160"/>
  <c r="Q8" i="166"/>
  <c r="I42" i="160"/>
  <c r="BA19" i="166"/>
  <c r="AT19" i="166"/>
  <c r="AT35" i="160"/>
  <c r="W8" i="160"/>
  <c r="W8" i="166"/>
  <c r="BS50" i="160"/>
  <c r="BK52" i="166"/>
  <c r="BC52" i="166"/>
  <c r="AK342" i="150"/>
  <c r="AG342" i="150"/>
  <c r="AI342" i="150"/>
  <c r="AH342" i="150"/>
  <c r="AJ342" i="150"/>
  <c r="AG338" i="150"/>
  <c r="M28" i="143"/>
  <c r="G29" i="143"/>
  <c r="AK24" i="160"/>
  <c r="AR24" i="160"/>
  <c r="BK331" i="150"/>
  <c r="BF331" i="150"/>
  <c r="DJ42" i="166"/>
  <c r="DJ56" i="166" s="1"/>
  <c r="AB37" i="166"/>
  <c r="AI37" i="166"/>
  <c r="BP5" i="166"/>
  <c r="BP6" i="166" s="1"/>
  <c r="BP7" i="166" s="1"/>
  <c r="AI32" i="160"/>
  <c r="AB32" i="160"/>
  <c r="AN54" i="166"/>
  <c r="AN56" i="166" s="1"/>
  <c r="AP45" i="166"/>
  <c r="AP54" i="166" s="1"/>
  <c r="AP56" i="166" s="1"/>
  <c r="AB38" i="166"/>
  <c r="AI38" i="166"/>
  <c r="BP5" i="160"/>
  <c r="BP6" i="160" s="1"/>
  <c r="BP7" i="160" s="1"/>
  <c r="BX331" i="150"/>
  <c r="N8" i="160"/>
  <c r="N8" i="166"/>
  <c r="DA56" i="160"/>
  <c r="M88" i="143"/>
  <c r="M89" i="143" s="1"/>
  <c r="M90" i="143" s="1"/>
  <c r="N29" i="143"/>
  <c r="I30" i="143"/>
  <c r="AS45" i="160"/>
  <c r="AJ54" i="160"/>
  <c r="AJ56" i="160" s="1"/>
  <c r="N60" i="143"/>
  <c r="N61" i="143" s="1"/>
  <c r="AK47" i="166"/>
  <c r="AR47" i="166"/>
  <c r="Z19" i="160"/>
  <c r="Z42" i="160" s="1"/>
  <c r="Q42" i="160"/>
  <c r="BT29" i="166"/>
  <c r="Q52" i="121"/>
  <c r="Z11" i="121"/>
  <c r="M48" i="143"/>
  <c r="M49" i="143" s="1"/>
  <c r="M50" i="143" s="1"/>
  <c r="AT33" i="160"/>
  <c r="BA33" i="160"/>
  <c r="AR39" i="166"/>
  <c r="AK39" i="166"/>
  <c r="K27" i="143"/>
  <c r="O26" i="143"/>
  <c r="Q26" i="143" s="1"/>
  <c r="M103" i="143"/>
  <c r="M104" i="143" s="1"/>
  <c r="C12" i="145"/>
  <c r="K12" i="145"/>
  <c r="K16" i="145" s="1"/>
  <c r="J12" i="145"/>
  <c r="X20" i="121"/>
  <c r="AK23" i="166"/>
  <c r="AR23" i="166"/>
  <c r="BC35" i="160"/>
  <c r="BJ35" i="160"/>
  <c r="CT52" i="160"/>
  <c r="BA49" i="166"/>
  <c r="AT49" i="166"/>
  <c r="S15" i="166"/>
  <c r="S42" i="166" s="1"/>
  <c r="S56" i="166" s="1"/>
  <c r="O42" i="166"/>
  <c r="AI21" i="166"/>
  <c r="AB21" i="166"/>
  <c r="BC20" i="160"/>
  <c r="BJ20" i="160"/>
  <c r="BB37" i="166"/>
  <c r="AS42" i="166"/>
  <c r="CD48" i="160"/>
  <c r="CL48" i="160"/>
  <c r="BA7" i="161"/>
  <c r="CC32" i="160"/>
  <c r="Q25" i="143"/>
  <c r="AI45" i="166"/>
  <c r="Z54" i="166"/>
  <c r="AB45" i="166"/>
  <c r="AM338" i="150"/>
  <c r="AM342" i="150"/>
  <c r="AP342" i="150"/>
  <c r="AO342" i="150"/>
  <c r="AN342" i="150"/>
  <c r="AQ342" i="150"/>
  <c r="AR342" i="150"/>
  <c r="AK33" i="166"/>
  <c r="AR33" i="166"/>
  <c r="BA21" i="160"/>
  <c r="AT21" i="160"/>
  <c r="BC22" i="160"/>
  <c r="BJ22" i="160"/>
  <c r="M58" i="143"/>
  <c r="S47" i="160"/>
  <c r="S54" i="160" s="1"/>
  <c r="O54" i="160"/>
  <c r="O87" i="143"/>
  <c r="Q87" i="143" s="1"/>
  <c r="Q86" i="143"/>
  <c r="O45" i="143"/>
  <c r="Q45" i="143" s="1"/>
  <c r="AI24" i="166"/>
  <c r="AB24" i="166"/>
  <c r="BT36" i="166"/>
  <c r="DM26" i="166"/>
  <c r="F13" i="151"/>
  <c r="AA14" i="151"/>
  <c r="K13" i="151"/>
  <c r="N13" i="151"/>
  <c r="O13" i="151"/>
  <c r="J13" i="151"/>
  <c r="Q44" i="143"/>
  <c r="AI46" i="166"/>
  <c r="AB46" i="166"/>
  <c r="BA18" i="161"/>
  <c r="CC34" i="166"/>
  <c r="B42" i="152"/>
  <c r="H332" i="150"/>
  <c r="H333" i="150" s="1"/>
  <c r="H334" i="150" s="1"/>
  <c r="P12" i="151"/>
  <c r="CU45" i="166"/>
  <c r="Z5" i="160"/>
  <c r="Z6" i="160" s="1"/>
  <c r="Z7" i="160" s="1"/>
  <c r="AF341" i="150"/>
  <c r="AE341" i="150"/>
  <c r="AD341" i="150"/>
  <c r="AD331" i="150"/>
  <c r="AD337" i="150"/>
  <c r="S31" i="160"/>
  <c r="S42" i="160" s="1"/>
  <c r="O42" i="160"/>
  <c r="AK27" i="166"/>
  <c r="AR27" i="166"/>
  <c r="AI17" i="160"/>
  <c r="AB17" i="160"/>
  <c r="AK25" i="160"/>
  <c r="AR25" i="160"/>
  <c r="BT34" i="160"/>
  <c r="Z5" i="166"/>
  <c r="Z6" i="166" s="1"/>
  <c r="Z7" i="166" s="1"/>
  <c r="A61" i="151"/>
  <c r="AT23" i="160"/>
  <c r="BA23" i="160"/>
  <c r="AR17" i="166"/>
  <c r="AK17" i="166"/>
  <c r="AT39" i="160"/>
  <c r="BA39" i="160"/>
  <c r="AI4" i="160"/>
  <c r="N91" i="143"/>
  <c r="N48" i="143"/>
  <c r="N49" i="143" s="1"/>
  <c r="AT37" i="160"/>
  <c r="BA37" i="160"/>
  <c r="BW331" i="150"/>
  <c r="AK14" i="166"/>
  <c r="AR14" i="166"/>
  <c r="Z15" i="166"/>
  <c r="Q42" i="166"/>
  <c r="AT16" i="160"/>
  <c r="BA16" i="160"/>
  <c r="AI8" i="166" l="1"/>
  <c r="AI8" i="160"/>
  <c r="AK36" i="166"/>
  <c r="AR36" i="166"/>
  <c r="C15" i="151"/>
  <c r="BJ51" i="166"/>
  <c r="BC51" i="166"/>
  <c r="O56" i="166"/>
  <c r="AC3" i="161"/>
  <c r="AR4" i="160" s="1"/>
  <c r="M14" i="143"/>
  <c r="AI4" i="166"/>
  <c r="BC46" i="160"/>
  <c r="AJ5" i="160"/>
  <c r="AJ6" i="160" s="1"/>
  <c r="AJ7" i="160" s="1"/>
  <c r="AK20" i="166"/>
  <c r="AR20" i="166"/>
  <c r="AK38" i="160"/>
  <c r="AR38" i="160"/>
  <c r="D15" i="151"/>
  <c r="AK34" i="160"/>
  <c r="AR34" i="160"/>
  <c r="AH18" i="161"/>
  <c r="AS4" i="166"/>
  <c r="AS5" i="166" s="1"/>
  <c r="AS6" i="166" s="1"/>
  <c r="AS7" i="166" s="1"/>
  <c r="AS4" i="160"/>
  <c r="AS5" i="160" s="1"/>
  <c r="AS6" i="160" s="1"/>
  <c r="AS7" i="160" s="1"/>
  <c r="N101" i="143"/>
  <c r="AK25" i="166"/>
  <c r="AR25" i="166"/>
  <c r="Q56" i="160"/>
  <c r="BO56" i="160"/>
  <c r="BA28" i="160"/>
  <c r="AT28" i="160"/>
  <c r="BQ56" i="160"/>
  <c r="BA47" i="160"/>
  <c r="AT47" i="160"/>
  <c r="BC18" i="160"/>
  <c r="F27" i="161"/>
  <c r="D27" i="161" s="1"/>
  <c r="A20" i="160"/>
  <c r="E28" i="161"/>
  <c r="C27" i="161"/>
  <c r="E27" i="161"/>
  <c r="AK26" i="160"/>
  <c r="AR26" i="160"/>
  <c r="N128" i="143"/>
  <c r="U61" i="143"/>
  <c r="S61" i="143"/>
  <c r="Q100" i="143"/>
  <c r="BH56" i="160"/>
  <c r="X16" i="121"/>
  <c r="D12" i="140"/>
  <c r="F12" i="140" s="1"/>
  <c r="C13" i="140" s="1"/>
  <c r="D13" i="140" s="1"/>
  <c r="F13" i="140" s="1"/>
  <c r="C14" i="140" s="1"/>
  <c r="D14" i="140" s="1"/>
  <c r="F14" i="140" s="1"/>
  <c r="C15" i="140" s="1"/>
  <c r="D15" i="140" s="1"/>
  <c r="F15" i="140" s="1"/>
  <c r="C16" i="140" s="1"/>
  <c r="D16" i="140" s="1"/>
  <c r="F16" i="140" s="1"/>
  <c r="J12" i="140"/>
  <c r="K12" i="140"/>
  <c r="K16" i="140" s="1"/>
  <c r="Q5" i="161"/>
  <c r="W4" i="161"/>
  <c r="U99" i="143"/>
  <c r="S99" i="143"/>
  <c r="O101" i="143"/>
  <c r="N75" i="143"/>
  <c r="N76" i="143" s="1"/>
  <c r="E14" i="141"/>
  <c r="E15" i="141" s="1"/>
  <c r="BK50" i="160"/>
  <c r="BC50" i="160"/>
  <c r="G15" i="151"/>
  <c r="S15" i="151" s="1"/>
  <c r="A15" i="150"/>
  <c r="AK15" i="160"/>
  <c r="AR15" i="160"/>
  <c r="S63" i="143"/>
  <c r="U63" i="143"/>
  <c r="M72" i="143"/>
  <c r="M129" i="143" s="1"/>
  <c r="O46" i="143"/>
  <c r="Q46" i="143" s="1"/>
  <c r="S46" i="143" s="1"/>
  <c r="M59" i="143"/>
  <c r="M60" i="143" s="1"/>
  <c r="M61" i="143" s="1"/>
  <c r="BA16" i="166"/>
  <c r="AT16" i="166"/>
  <c r="BB50" i="166"/>
  <c r="BB54" i="166" s="1"/>
  <c r="AT50" i="166"/>
  <c r="AR29" i="166"/>
  <c r="AK29" i="166"/>
  <c r="BU31" i="166"/>
  <c r="CB31" i="166"/>
  <c r="AT18" i="166"/>
  <c r="BB18" i="166"/>
  <c r="AB45" i="160"/>
  <c r="AB54" i="160" s="1"/>
  <c r="AI45" i="160"/>
  <c r="Z54" i="160"/>
  <c r="Z56" i="160" s="1"/>
  <c r="AT49" i="160"/>
  <c r="BB49" i="160"/>
  <c r="O56" i="160"/>
  <c r="AR32" i="166"/>
  <c r="AK32" i="166"/>
  <c r="AR30" i="166"/>
  <c r="AK30" i="166"/>
  <c r="M105" i="143"/>
  <c r="BJ30" i="160"/>
  <c r="BC30" i="160"/>
  <c r="BJ26" i="166"/>
  <c r="BC26" i="166"/>
  <c r="Q62" i="143"/>
  <c r="O64" i="143"/>
  <c r="Q64" i="143" s="1"/>
  <c r="O73" i="143"/>
  <c r="O74" i="143" s="1"/>
  <c r="Q74" i="143" s="1"/>
  <c r="Q72" i="143"/>
  <c r="E132" i="143"/>
  <c r="E31" i="143"/>
  <c r="S13" i="143"/>
  <c r="U13" i="143"/>
  <c r="AR22" i="166"/>
  <c r="AK22" i="166"/>
  <c r="F19" i="188"/>
  <c r="F20" i="188" s="1"/>
  <c r="M128" i="143"/>
  <c r="Q56" i="166"/>
  <c r="BB42" i="166"/>
  <c r="AK27" i="160"/>
  <c r="AR27" i="160"/>
  <c r="O14" i="143"/>
  <c r="Q14" i="143" s="1"/>
  <c r="K15" i="143"/>
  <c r="BA36" i="160"/>
  <c r="AT36" i="160"/>
  <c r="BA28" i="166"/>
  <c r="AT28" i="166"/>
  <c r="BT52" i="166"/>
  <c r="BL52" i="166"/>
  <c r="AR34" i="166"/>
  <c r="AK34" i="166"/>
  <c r="N92" i="143"/>
  <c r="N93" i="143" s="1"/>
  <c r="BB45" i="160"/>
  <c r="AS54" i="160"/>
  <c r="AS56" i="160" s="1"/>
  <c r="T52" i="121"/>
  <c r="Z52" i="121"/>
  <c r="AB52" i="121"/>
  <c r="V52" i="121"/>
  <c r="X52" i="121" s="1"/>
  <c r="N30" i="143"/>
  <c r="I31" i="143"/>
  <c r="AR32" i="160"/>
  <c r="AK32" i="160"/>
  <c r="G30" i="143"/>
  <c r="M29" i="143"/>
  <c r="BC19" i="166"/>
  <c r="BJ19" i="166"/>
  <c r="DC50" i="166"/>
  <c r="BB42" i="160"/>
  <c r="BK29" i="160"/>
  <c r="BC29" i="160"/>
  <c r="AR38" i="166"/>
  <c r="AK38" i="166"/>
  <c r="CC29" i="166"/>
  <c r="AR37" i="166"/>
  <c r="AK37" i="166"/>
  <c r="CB50" i="160"/>
  <c r="CB29" i="160"/>
  <c r="BC14" i="160"/>
  <c r="BJ14" i="160"/>
  <c r="AB54" i="166"/>
  <c r="AI19" i="160"/>
  <c r="AB19" i="160"/>
  <c r="AB42" i="160" s="1"/>
  <c r="BJ48" i="166"/>
  <c r="BC48" i="166"/>
  <c r="BA47" i="166"/>
  <c r="AT47" i="166"/>
  <c r="BC51" i="160"/>
  <c r="BJ51" i="160"/>
  <c r="BL52" i="160"/>
  <c r="BT52" i="160"/>
  <c r="S56" i="160"/>
  <c r="AS56" i="166"/>
  <c r="BL31" i="160"/>
  <c r="BS31" i="160"/>
  <c r="O88" i="143"/>
  <c r="Q88" i="143" s="1"/>
  <c r="S88" i="143" s="1"/>
  <c r="N62" i="143"/>
  <c r="N63" i="143" s="1"/>
  <c r="BA24" i="160"/>
  <c r="AT24" i="160"/>
  <c r="E16" i="141"/>
  <c r="BL46" i="160"/>
  <c r="BS46" i="160"/>
  <c r="AT35" i="166"/>
  <c r="BA35" i="166"/>
  <c r="BK49" i="166"/>
  <c r="CL32" i="160"/>
  <c r="BS35" i="160"/>
  <c r="BL35" i="160"/>
  <c r="E12" i="145"/>
  <c r="DD45" i="166"/>
  <c r="U46" i="143"/>
  <c r="F16" i="141"/>
  <c r="S87" i="143"/>
  <c r="U87" i="143"/>
  <c r="AT33" i="166"/>
  <c r="BA33" i="166"/>
  <c r="U26" i="143"/>
  <c r="S26" i="143"/>
  <c r="O128" i="143"/>
  <c r="U86" i="143"/>
  <c r="S86" i="143"/>
  <c r="AR17" i="160"/>
  <c r="AK17" i="160"/>
  <c r="AI42" i="160"/>
  <c r="BJ39" i="160"/>
  <c r="BC39" i="160"/>
  <c r="AK24" i="166"/>
  <c r="AR24" i="166"/>
  <c r="BL22" i="160"/>
  <c r="BS22" i="160"/>
  <c r="AK45" i="166"/>
  <c r="AR45" i="166"/>
  <c r="AI54" i="166"/>
  <c r="BG7" i="161"/>
  <c r="BA23" i="166"/>
  <c r="AT23" i="166"/>
  <c r="K28" i="143"/>
  <c r="O27" i="143"/>
  <c r="BC33" i="160"/>
  <c r="BJ33" i="160"/>
  <c r="BC21" i="160"/>
  <c r="BJ21" i="160"/>
  <c r="A62" i="151"/>
  <c r="S44" i="143"/>
  <c r="U44" i="143"/>
  <c r="DQ26" i="166"/>
  <c r="S45" i="143"/>
  <c r="U45" i="143"/>
  <c r="BA14" i="166"/>
  <c r="AT14" i="166"/>
  <c r="BJ16" i="160"/>
  <c r="BC16" i="160"/>
  <c r="CC34" i="160"/>
  <c r="BA27" i="166"/>
  <c r="AT27" i="166"/>
  <c r="M91" i="143"/>
  <c r="M92" i="143" s="1"/>
  <c r="M93" i="143" s="1"/>
  <c r="O47" i="143"/>
  <c r="CU48" i="160"/>
  <c r="CM48" i="160"/>
  <c r="BC49" i="166"/>
  <c r="BJ49" i="166"/>
  <c r="M106" i="143"/>
  <c r="M107" i="143" s="1"/>
  <c r="BA17" i="166"/>
  <c r="AT17" i="166"/>
  <c r="B41" i="152"/>
  <c r="H335" i="150"/>
  <c r="L13" i="151"/>
  <c r="S25" i="143"/>
  <c r="U25" i="143"/>
  <c r="O127" i="143"/>
  <c r="BC23" i="160"/>
  <c r="BJ23" i="160"/>
  <c r="BG18" i="161"/>
  <c r="BC37" i="160"/>
  <c r="BJ37" i="160"/>
  <c r="P13" i="151"/>
  <c r="AT25" i="160"/>
  <c r="BA25" i="160"/>
  <c r="DC52" i="160"/>
  <c r="Z20" i="121"/>
  <c r="Q64" i="121"/>
  <c r="X30" i="121"/>
  <c r="X35" i="121" s="1"/>
  <c r="X24" i="121"/>
  <c r="AI3" i="161"/>
  <c r="AR4" i="166"/>
  <c r="O14" i="151"/>
  <c r="J14" i="151"/>
  <c r="F14" i="151"/>
  <c r="AA15" i="151"/>
  <c r="N14" i="151"/>
  <c r="K14" i="151"/>
  <c r="CC36" i="166"/>
  <c r="BK37" i="166"/>
  <c r="AR21" i="166"/>
  <c r="AK21" i="166"/>
  <c r="BS18" i="160"/>
  <c r="BL18" i="160"/>
  <c r="BA39" i="166"/>
  <c r="AT39" i="166"/>
  <c r="AI5" i="160"/>
  <c r="AI6" i="160" s="1"/>
  <c r="AI7" i="160" s="1"/>
  <c r="Z42" i="166"/>
  <c r="Z56" i="166" s="1"/>
  <c r="AI15" i="166"/>
  <c r="AB15" i="166"/>
  <c r="AB42" i="166" s="1"/>
  <c r="N50" i="143"/>
  <c r="AI5" i="166"/>
  <c r="AI6" i="166" s="1"/>
  <c r="AI7" i="166" s="1"/>
  <c r="CL34" i="166"/>
  <c r="AR46" i="166"/>
  <c r="AK46" i="166"/>
  <c r="BS20" i="160"/>
  <c r="BL20" i="160"/>
  <c r="D12" i="145"/>
  <c r="G16" i="143"/>
  <c r="G17" i="143" s="1"/>
  <c r="G18" i="143" s="1"/>
  <c r="G19" i="143" s="1"/>
  <c r="G20" i="143" s="1"/>
  <c r="G21" i="143" s="1"/>
  <c r="M15" i="143"/>
  <c r="M22" i="143" s="1"/>
  <c r="M51" i="143"/>
  <c r="M52" i="143" s="1"/>
  <c r="AT25" i="166" l="1"/>
  <c r="BA25" i="166"/>
  <c r="BA34" i="160"/>
  <c r="AT34" i="160"/>
  <c r="AC8" i="161"/>
  <c r="AB56" i="160"/>
  <c r="BA36" i="166"/>
  <c r="AT36" i="166"/>
  <c r="O103" i="143"/>
  <c r="O105" i="143" s="1"/>
  <c r="BA20" i="166"/>
  <c r="AT20" i="166"/>
  <c r="O102" i="143"/>
  <c r="Q102" i="143" s="1"/>
  <c r="N129" i="143"/>
  <c r="N102" i="143"/>
  <c r="AN18" i="161"/>
  <c r="BB4" i="166"/>
  <c r="BB5" i="166" s="1"/>
  <c r="BB6" i="166" s="1"/>
  <c r="BB7" i="166" s="1"/>
  <c r="BB4" i="160"/>
  <c r="AT38" i="160"/>
  <c r="BA38" i="160"/>
  <c r="BL51" i="166"/>
  <c r="BS51" i="166"/>
  <c r="N77" i="143"/>
  <c r="N78" i="143" s="1"/>
  <c r="N79" i="143" s="1"/>
  <c r="Q103" i="143"/>
  <c r="O75" i="143"/>
  <c r="Q75" i="143" s="1"/>
  <c r="BB56" i="166"/>
  <c r="S102" i="143"/>
  <c r="U102" i="143"/>
  <c r="D28" i="161"/>
  <c r="A21" i="160"/>
  <c r="E29" i="161" s="1"/>
  <c r="O104" i="143"/>
  <c r="Q104" i="143" s="1"/>
  <c r="S100" i="143"/>
  <c r="U100" i="143"/>
  <c r="BC47" i="160"/>
  <c r="BJ47" i="160"/>
  <c r="Q101" i="143"/>
  <c r="BC28" i="160"/>
  <c r="BJ28" i="160"/>
  <c r="AC4" i="161"/>
  <c r="AR5" i="166" s="1"/>
  <c r="AR6" i="166" s="1"/>
  <c r="AR7" i="166" s="1"/>
  <c r="W5" i="161"/>
  <c r="BA26" i="160"/>
  <c r="AT26" i="160"/>
  <c r="N64" i="143"/>
  <c r="N65" i="143" s="1"/>
  <c r="N66" i="143" s="1"/>
  <c r="U88" i="143"/>
  <c r="O89" i="143"/>
  <c r="Q89" i="143" s="1"/>
  <c r="S89" i="143" s="1"/>
  <c r="C28" i="161"/>
  <c r="F28" i="161"/>
  <c r="B28" i="161"/>
  <c r="E13" i="140"/>
  <c r="E14" i="140" s="1"/>
  <c r="E15" i="140" s="1"/>
  <c r="E16" i="140" s="1"/>
  <c r="Z16" i="121"/>
  <c r="Q58" i="121"/>
  <c r="F21" i="188"/>
  <c r="F22" i="188" s="1"/>
  <c r="F23" i="188" s="1"/>
  <c r="F24" i="188" s="1"/>
  <c r="F25" i="188" s="1"/>
  <c r="Q73" i="143"/>
  <c r="O76" i="143"/>
  <c r="CK31" i="166"/>
  <c r="CD31" i="166"/>
  <c r="BJ16" i="166"/>
  <c r="BC16" i="166"/>
  <c r="B16" i="151"/>
  <c r="G16" i="151"/>
  <c r="S16" i="151" s="1"/>
  <c r="D17" i="151"/>
  <c r="A16" i="150"/>
  <c r="C16" i="151"/>
  <c r="G17" i="151"/>
  <c r="S17" i="151" s="1"/>
  <c r="D16" i="151"/>
  <c r="C17" i="151"/>
  <c r="S64" i="143"/>
  <c r="U64" i="143"/>
  <c r="O65" i="143"/>
  <c r="Q65" i="143" s="1"/>
  <c r="M73" i="143"/>
  <c r="BJ36" i="160"/>
  <c r="BC36" i="160"/>
  <c r="BT50" i="160"/>
  <c r="BL50" i="160"/>
  <c r="BJ28" i="166"/>
  <c r="BC28" i="166"/>
  <c r="S62" i="143"/>
  <c r="U62" i="143"/>
  <c r="BC49" i="160"/>
  <c r="BK49" i="160"/>
  <c r="BA29" i="166"/>
  <c r="AT29" i="166"/>
  <c r="AT32" i="166"/>
  <c r="BA32" i="166"/>
  <c r="BA22" i="166"/>
  <c r="AT22" i="166"/>
  <c r="O15" i="143"/>
  <c r="Q15" i="143" s="1"/>
  <c r="K16" i="143"/>
  <c r="S74" i="143"/>
  <c r="U74" i="143"/>
  <c r="BS26" i="166"/>
  <c r="BL26" i="166"/>
  <c r="S14" i="143"/>
  <c r="U14" i="143"/>
  <c r="AK45" i="160"/>
  <c r="AK54" i="160" s="1"/>
  <c r="AI54" i="160"/>
  <c r="AI56" i="160" s="1"/>
  <c r="AR45" i="160"/>
  <c r="BA27" i="160"/>
  <c r="AT27" i="160"/>
  <c r="E133" i="143"/>
  <c r="E32" i="143"/>
  <c r="BL30" i="160"/>
  <c r="BS30" i="160"/>
  <c r="O90" i="143"/>
  <c r="Q90" i="143" s="1"/>
  <c r="U89" i="143"/>
  <c r="BC18" i="166"/>
  <c r="BK18" i="166"/>
  <c r="BK50" i="166"/>
  <c r="BK54" i="166" s="1"/>
  <c r="BC50" i="166"/>
  <c r="AT15" i="160"/>
  <c r="BA15" i="160"/>
  <c r="S72" i="143"/>
  <c r="U72" i="143"/>
  <c r="AT30" i="166"/>
  <c r="BA30" i="166"/>
  <c r="N94" i="143"/>
  <c r="N95" i="143" s="1"/>
  <c r="N96" i="143" s="1"/>
  <c r="N97" i="143" s="1"/>
  <c r="CC52" i="166"/>
  <c r="BU52" i="166"/>
  <c r="BU31" i="160"/>
  <c r="CB31" i="160"/>
  <c r="CK29" i="160"/>
  <c r="BA38" i="166"/>
  <c r="AT38" i="166"/>
  <c r="BJ24" i="160"/>
  <c r="BC24" i="160"/>
  <c r="BC47" i="166"/>
  <c r="BJ47" i="166"/>
  <c r="M30" i="143"/>
  <c r="G31" i="143"/>
  <c r="G32" i="143" s="1"/>
  <c r="G33" i="143" s="1"/>
  <c r="G34" i="143" s="1"/>
  <c r="G35" i="143" s="1"/>
  <c r="G36" i="143" s="1"/>
  <c r="BK45" i="160"/>
  <c r="BB54" i="160"/>
  <c r="AB56" i="166"/>
  <c r="CK50" i="160"/>
  <c r="BL48" i="166"/>
  <c r="BS48" i="166"/>
  <c r="BT29" i="160"/>
  <c r="BL29" i="160"/>
  <c r="BK42" i="160"/>
  <c r="BA32" i="160"/>
  <c r="AT32" i="160"/>
  <c r="BT49" i="166"/>
  <c r="BA37" i="166"/>
  <c r="AT37" i="166"/>
  <c r="BB56" i="160"/>
  <c r="I32" i="143"/>
  <c r="N31" i="143"/>
  <c r="DL50" i="166"/>
  <c r="BC35" i="166"/>
  <c r="BJ35" i="166"/>
  <c r="CL29" i="166"/>
  <c r="AT34" i="166"/>
  <c r="BA34" i="166"/>
  <c r="O91" i="143"/>
  <c r="Q91" i="143" s="1"/>
  <c r="S91" i="143" s="1"/>
  <c r="BU52" i="160"/>
  <c r="CC52" i="160"/>
  <c r="AR19" i="160"/>
  <c r="AR42" i="160" s="1"/>
  <c r="AK19" i="160"/>
  <c r="AK42" i="160" s="1"/>
  <c r="BU46" i="160"/>
  <c r="CB46" i="160"/>
  <c r="BL19" i="166"/>
  <c r="BS19" i="166"/>
  <c r="BL51" i="160"/>
  <c r="BS51" i="160"/>
  <c r="BS14" i="160"/>
  <c r="BL14" i="160"/>
  <c r="Q127" i="143"/>
  <c r="R127" i="143"/>
  <c r="CB20" i="160"/>
  <c r="BU20" i="160"/>
  <c r="CU34" i="166"/>
  <c r="BU18" i="160"/>
  <c r="CB18" i="160"/>
  <c r="BS37" i="160"/>
  <c r="BL37" i="160"/>
  <c r="CL34" i="160"/>
  <c r="A63" i="151"/>
  <c r="BU35" i="160"/>
  <c r="CB35" i="160"/>
  <c r="M108" i="143"/>
  <c r="M109" i="143" s="1"/>
  <c r="M110" i="143" s="1"/>
  <c r="P14" i="151"/>
  <c r="BS21" i="160"/>
  <c r="BL21" i="160"/>
  <c r="BM7" i="161"/>
  <c r="BS39" i="160"/>
  <c r="BL39" i="160"/>
  <c r="DM45" i="166"/>
  <c r="N51" i="143"/>
  <c r="N52" i="143" s="1"/>
  <c r="BA21" i="166"/>
  <c r="AT21" i="166"/>
  <c r="K15" i="151"/>
  <c r="O15" i="151"/>
  <c r="AA16" i="151"/>
  <c r="F15" i="151"/>
  <c r="J15" i="151"/>
  <c r="N15" i="151"/>
  <c r="C17" i="141"/>
  <c r="BA46" i="166"/>
  <c r="AT46" i="166"/>
  <c r="BT37" i="166"/>
  <c r="Q47" i="143"/>
  <c r="O48" i="143"/>
  <c r="Q48" i="143" s="1"/>
  <c r="BL33" i="160"/>
  <c r="BS33" i="160"/>
  <c r="C17" i="140"/>
  <c r="M62" i="143"/>
  <c r="CU32" i="160"/>
  <c r="F12" i="145"/>
  <c r="BC17" i="166"/>
  <c r="BJ17" i="166"/>
  <c r="BJ14" i="166"/>
  <c r="BC14" i="166"/>
  <c r="L14" i="151"/>
  <c r="BC25" i="160"/>
  <c r="BJ25" i="160"/>
  <c r="BL23" i="160"/>
  <c r="BS23" i="160"/>
  <c r="M94" i="143"/>
  <c r="M95" i="143" s="1"/>
  <c r="BA45" i="166"/>
  <c r="AR54" i="166"/>
  <c r="AT45" i="166"/>
  <c r="AT17" i="160"/>
  <c r="BA17" i="160"/>
  <c r="CL36" i="166"/>
  <c r="Q27" i="143"/>
  <c r="AK54" i="166"/>
  <c r="U91" i="143"/>
  <c r="BK42" i="166"/>
  <c r="U90" i="143"/>
  <c r="S90" i="143"/>
  <c r="AR8" i="166"/>
  <c r="AR8" i="160"/>
  <c r="T64" i="121"/>
  <c r="AB64" i="121"/>
  <c r="AB74" i="121" s="1"/>
  <c r="V64" i="121"/>
  <c r="Z64" i="121"/>
  <c r="Z74" i="121" s="1"/>
  <c r="BS49" i="166"/>
  <c r="BL49" i="166"/>
  <c r="O28" i="143"/>
  <c r="Q28" i="143" s="1"/>
  <c r="K29" i="143"/>
  <c r="BU22" i="160"/>
  <c r="CB22" i="160"/>
  <c r="Z24" i="121"/>
  <c r="Z30" i="121"/>
  <c r="BC33" i="166"/>
  <c r="BJ33" i="166"/>
  <c r="H336" i="150"/>
  <c r="H337" i="150" s="1"/>
  <c r="B43" i="152"/>
  <c r="BJ39" i="166"/>
  <c r="BC39" i="166"/>
  <c r="BS16" i="160"/>
  <c r="BL16" i="160"/>
  <c r="Q128" i="143"/>
  <c r="R128" i="143"/>
  <c r="AK15" i="166"/>
  <c r="AK42" i="166" s="1"/>
  <c r="AR15" i="166"/>
  <c r="AI42" i="166"/>
  <c r="AI56" i="166" s="1"/>
  <c r="DL52" i="160"/>
  <c r="BM18" i="161"/>
  <c r="BJ27" i="166"/>
  <c r="BC27" i="166"/>
  <c r="BC23" i="166"/>
  <c r="BJ23" i="166"/>
  <c r="BA4" i="166"/>
  <c r="AO3" i="161"/>
  <c r="BA4" i="160"/>
  <c r="AI8" i="161"/>
  <c r="CV48" i="160"/>
  <c r="DD48" i="160"/>
  <c r="AT24" i="166"/>
  <c r="BA24" i="166"/>
  <c r="N67" i="143" l="1"/>
  <c r="C29" i="161"/>
  <c r="BU51" i="166"/>
  <c r="CB51" i="166"/>
  <c r="BK4" i="166"/>
  <c r="AT18" i="161"/>
  <c r="BK4" i="160"/>
  <c r="BJ20" i="166"/>
  <c r="BC20" i="166"/>
  <c r="B29" i="161"/>
  <c r="N103" i="143"/>
  <c r="N131" i="143" s="1"/>
  <c r="N130" i="143"/>
  <c r="BJ34" i="160"/>
  <c r="BC34" i="160"/>
  <c r="BB5" i="160"/>
  <c r="BB6" i="160" s="1"/>
  <c r="BB7" i="160" s="1"/>
  <c r="BJ38" i="160"/>
  <c r="BC38" i="160"/>
  <c r="BJ25" i="166"/>
  <c r="BC25" i="166"/>
  <c r="AR5" i="160"/>
  <c r="AR6" i="160" s="1"/>
  <c r="AR7" i="160" s="1"/>
  <c r="BJ36" i="166"/>
  <c r="BC36" i="166"/>
  <c r="U104" i="143"/>
  <c r="S104" i="143"/>
  <c r="T58" i="121"/>
  <c r="T74" i="121" s="1"/>
  <c r="V58" i="121"/>
  <c r="X58" i="121" s="1"/>
  <c r="BJ26" i="160"/>
  <c r="BC26" i="160"/>
  <c r="F29" i="161"/>
  <c r="A22" i="160"/>
  <c r="C30" i="161" s="1"/>
  <c r="AI4" i="161"/>
  <c r="AC5" i="161"/>
  <c r="BL28" i="160"/>
  <c r="BS28" i="160"/>
  <c r="O106" i="143"/>
  <c r="Q106" i="143" s="1"/>
  <c r="Q105" i="143"/>
  <c r="AK56" i="160"/>
  <c r="O107" i="143"/>
  <c r="Q107" i="143" s="1"/>
  <c r="U75" i="143"/>
  <c r="S75" i="143"/>
  <c r="U101" i="143"/>
  <c r="S101" i="143"/>
  <c r="BS47" i="160"/>
  <c r="BL47" i="160"/>
  <c r="S103" i="143"/>
  <c r="U103" i="143"/>
  <c r="N80" i="143"/>
  <c r="F26" i="188"/>
  <c r="BJ15" i="160"/>
  <c r="BC15" i="160"/>
  <c r="BS36" i="160"/>
  <c r="BL36" i="160"/>
  <c r="BJ27" i="160"/>
  <c r="BC27" i="160"/>
  <c r="BJ29" i="166"/>
  <c r="BC29" i="166"/>
  <c r="M74" i="143"/>
  <c r="M130" i="143"/>
  <c r="AT54" i="166"/>
  <c r="BT50" i="166"/>
  <c r="BT54" i="166" s="1"/>
  <c r="BL50" i="166"/>
  <c r="BL49" i="160"/>
  <c r="BT49" i="160"/>
  <c r="S65" i="143"/>
  <c r="U65" i="143"/>
  <c r="BL18" i="166"/>
  <c r="BT18" i="166"/>
  <c r="BT42" i="166" s="1"/>
  <c r="BA45" i="160"/>
  <c r="AT45" i="160"/>
  <c r="AT54" i="160" s="1"/>
  <c r="AR54" i="160"/>
  <c r="AR56" i="160" s="1"/>
  <c r="O16" i="143"/>
  <c r="Q16" i="143" s="1"/>
  <c r="K17" i="143"/>
  <c r="BS16" i="166"/>
  <c r="BL16" i="166"/>
  <c r="U15" i="143"/>
  <c r="S15" i="143"/>
  <c r="CM31" i="166"/>
  <c r="CT31" i="166"/>
  <c r="Q76" i="143"/>
  <c r="O77" i="143"/>
  <c r="BJ30" i="166"/>
  <c r="BC30" i="166"/>
  <c r="BJ22" i="166"/>
  <c r="BC22" i="166"/>
  <c r="BS28" i="166"/>
  <c r="BL28" i="166"/>
  <c r="U73" i="143"/>
  <c r="S73" i="143"/>
  <c r="BU30" i="160"/>
  <c r="CB30" i="160"/>
  <c r="CC50" i="160"/>
  <c r="BU50" i="160"/>
  <c r="E134" i="143"/>
  <c r="E33" i="143"/>
  <c r="CB26" i="166"/>
  <c r="BU26" i="166"/>
  <c r="BJ32" i="166"/>
  <c r="BC32" i="166"/>
  <c r="O66" i="143"/>
  <c r="A17" i="150"/>
  <c r="D18" i="151" s="1"/>
  <c r="B17" i="151"/>
  <c r="BJ37" i="166"/>
  <c r="BC37" i="166"/>
  <c r="CC49" i="166"/>
  <c r="CK46" i="160"/>
  <c r="CD46" i="160"/>
  <c r="CL52" i="166"/>
  <c r="CD52" i="166"/>
  <c r="CU29" i="166"/>
  <c r="M111" i="143"/>
  <c r="BL35" i="166"/>
  <c r="BS35" i="166"/>
  <c r="BS47" i="166"/>
  <c r="BL47" i="166"/>
  <c r="BC32" i="160"/>
  <c r="BJ32" i="160"/>
  <c r="BS24" i="160"/>
  <c r="BL24" i="160"/>
  <c r="BK56" i="166"/>
  <c r="O92" i="143"/>
  <c r="Q92" i="143" s="1"/>
  <c r="BU14" i="160"/>
  <c r="CB14" i="160"/>
  <c r="BA19" i="160"/>
  <c r="BA42" i="160" s="1"/>
  <c r="AT19" i="160"/>
  <c r="AT42" i="160" s="1"/>
  <c r="AT56" i="160" s="1"/>
  <c r="CC29" i="160"/>
  <c r="BT42" i="160"/>
  <c r="BU29" i="160"/>
  <c r="BK54" i="160"/>
  <c r="BK56" i="160" s="1"/>
  <c r="BT45" i="160"/>
  <c r="CB48" i="166"/>
  <c r="BU48" i="166"/>
  <c r="BJ38" i="166"/>
  <c r="BC38" i="166"/>
  <c r="BU51" i="160"/>
  <c r="CB51" i="160"/>
  <c r="CL52" i="160"/>
  <c r="CD52" i="160"/>
  <c r="CT29" i="160"/>
  <c r="I33" i="143"/>
  <c r="N32" i="143"/>
  <c r="CB19" i="166"/>
  <c r="BU19" i="166"/>
  <c r="BJ34" i="166"/>
  <c r="BC34" i="166"/>
  <c r="CT50" i="160"/>
  <c r="CK31" i="160"/>
  <c r="CD31" i="160"/>
  <c r="M37" i="143"/>
  <c r="BS18" i="161"/>
  <c r="CB39" i="160"/>
  <c r="BU39" i="160"/>
  <c r="T14" i="151"/>
  <c r="BJ4" i="166"/>
  <c r="AU3" i="161"/>
  <c r="BJ4" i="160"/>
  <c r="AO8" i="161"/>
  <c r="U27" i="143"/>
  <c r="S27" i="143"/>
  <c r="O129" i="143"/>
  <c r="CD18" i="160"/>
  <c r="CK18" i="160"/>
  <c r="BA5" i="160"/>
  <c r="BA6" i="160" s="1"/>
  <c r="BA7" i="160" s="1"/>
  <c r="BU49" i="166"/>
  <c r="CB49" i="166"/>
  <c r="O49" i="143"/>
  <c r="Q49" i="143" s="1"/>
  <c r="BS7" i="161"/>
  <c r="CU34" i="160"/>
  <c r="BS39" i="166"/>
  <c r="BL39" i="166"/>
  <c r="BA8" i="160"/>
  <c r="BA8" i="166"/>
  <c r="BC17" i="160"/>
  <c r="BJ17" i="160"/>
  <c r="M96" i="143"/>
  <c r="M97" i="143" s="1"/>
  <c r="BA5" i="166"/>
  <c r="BA6" i="166" s="1"/>
  <c r="BA7" i="166" s="1"/>
  <c r="AD30" i="121"/>
  <c r="Z35" i="121"/>
  <c r="BU23" i="160"/>
  <c r="CB23" i="160"/>
  <c r="BS14" i="166"/>
  <c r="BL14" i="166"/>
  <c r="DD32" i="160"/>
  <c r="BC46" i="166"/>
  <c r="BJ46" i="166"/>
  <c r="P15" i="151"/>
  <c r="T15" i="151" s="1"/>
  <c r="CD35" i="160"/>
  <c r="CK35" i="160"/>
  <c r="BS33" i="166"/>
  <c r="BL33" i="166"/>
  <c r="AK56" i="166"/>
  <c r="BC45" i="166"/>
  <c r="BA54" i="166"/>
  <c r="BJ45" i="166"/>
  <c r="M63" i="143"/>
  <c r="L15" i="151"/>
  <c r="BU21" i="160"/>
  <c r="CB21" i="160"/>
  <c r="O130" i="143"/>
  <c r="U28" i="143"/>
  <c r="S28" i="143"/>
  <c r="O93" i="143"/>
  <c r="S48" i="143"/>
  <c r="U48" i="143"/>
  <c r="D17" i="141"/>
  <c r="E17" i="141"/>
  <c r="DD34" i="166"/>
  <c r="BS23" i="166"/>
  <c r="BL23" i="166"/>
  <c r="S47" i="143"/>
  <c r="U47" i="143"/>
  <c r="O16" i="151"/>
  <c r="K16" i="151"/>
  <c r="AA17" i="151"/>
  <c r="J16" i="151"/>
  <c r="F16" i="151"/>
  <c r="N16" i="151"/>
  <c r="AT15" i="166"/>
  <c r="AT42" i="166" s="1"/>
  <c r="BA15" i="166"/>
  <c r="AR42" i="166"/>
  <c r="AR56" i="166" s="1"/>
  <c r="C25" i="152"/>
  <c r="K335" i="151" s="1"/>
  <c r="B29" i="152"/>
  <c r="B25" i="152"/>
  <c r="C29" i="152"/>
  <c r="K336" i="151" s="1"/>
  <c r="H338" i="150"/>
  <c r="CD22" i="160"/>
  <c r="CK22" i="160"/>
  <c r="D17" i="140"/>
  <c r="E17" i="140"/>
  <c r="CK20" i="160"/>
  <c r="CD20" i="160"/>
  <c r="A64" i="151"/>
  <c r="BJ24" i="166"/>
  <c r="BC24" i="166"/>
  <c r="BS25" i="160"/>
  <c r="BL25" i="160"/>
  <c r="BS17" i="166"/>
  <c r="BL17" i="166"/>
  <c r="CC37" i="166"/>
  <c r="CB16" i="160"/>
  <c r="BU16" i="160"/>
  <c r="X64" i="121"/>
  <c r="X74" i="121" s="1"/>
  <c r="V74" i="121"/>
  <c r="DM48" i="160"/>
  <c r="DE48" i="160"/>
  <c r="BL27" i="166"/>
  <c r="BS27" i="166"/>
  <c r="O29" i="143"/>
  <c r="Q29" i="143" s="1"/>
  <c r="K30" i="143"/>
  <c r="CU36" i="166"/>
  <c r="BU33" i="160"/>
  <c r="CB33" i="160"/>
  <c r="DQ45" i="166"/>
  <c r="BU37" i="160"/>
  <c r="CB37" i="160"/>
  <c r="C13" i="145"/>
  <c r="BJ21" i="166"/>
  <c r="BC21" i="166"/>
  <c r="BL25" i="166" l="1"/>
  <c r="BS25" i="166"/>
  <c r="BK5" i="166"/>
  <c r="BK6" i="166" s="1"/>
  <c r="BK7" i="166" s="1"/>
  <c r="L16" i="151"/>
  <c r="BC54" i="166"/>
  <c r="CK51" i="166"/>
  <c r="CD51" i="166"/>
  <c r="BL38" i="160"/>
  <c r="BS38" i="160"/>
  <c r="BS34" i="160"/>
  <c r="BL34" i="160"/>
  <c r="E30" i="161"/>
  <c r="BS36" i="166"/>
  <c r="BL36" i="166"/>
  <c r="N104" i="143"/>
  <c r="N132" i="143" s="1"/>
  <c r="BS20" i="166"/>
  <c r="BL20" i="166"/>
  <c r="AT56" i="166"/>
  <c r="F30" i="161"/>
  <c r="D30" i="161" s="1"/>
  <c r="N105" i="143"/>
  <c r="BK5" i="160"/>
  <c r="BK6" i="160" s="1"/>
  <c r="BK7" i="160" s="1"/>
  <c r="B18" i="151"/>
  <c r="AZ18" i="161"/>
  <c r="BT4" i="166"/>
  <c r="BT4" i="160"/>
  <c r="AO4" i="161"/>
  <c r="AI5" i="161"/>
  <c r="P16" i="151"/>
  <c r="A23" i="160"/>
  <c r="A24" i="160" s="1"/>
  <c r="A25" i="160" s="1"/>
  <c r="A26" i="160" s="1"/>
  <c r="A27" i="160" s="1"/>
  <c r="A28" i="160" s="1"/>
  <c r="A29" i="160" s="1"/>
  <c r="A30" i="160" s="1"/>
  <c r="A31" i="160" s="1"/>
  <c r="A32" i="160" s="1"/>
  <c r="A33" i="160" s="1"/>
  <c r="A34" i="160" s="1"/>
  <c r="A35" i="160" s="1"/>
  <c r="A36" i="160" s="1"/>
  <c r="A37" i="160" s="1"/>
  <c r="A38" i="160" s="1"/>
  <c r="A39" i="160" s="1"/>
  <c r="D29" i="161"/>
  <c r="S107" i="143"/>
  <c r="U107" i="143"/>
  <c r="B31" i="161"/>
  <c r="BS26" i="160"/>
  <c r="BL26" i="160"/>
  <c r="BT56" i="166"/>
  <c r="N81" i="143"/>
  <c r="N82" i="143"/>
  <c r="G18" i="151"/>
  <c r="S18" i="151" s="1"/>
  <c r="S105" i="143"/>
  <c r="U105" i="143"/>
  <c r="S106" i="143"/>
  <c r="U106" i="143"/>
  <c r="B30" i="161"/>
  <c r="CB47" i="160"/>
  <c r="BU47" i="160"/>
  <c r="O108" i="143"/>
  <c r="CB28" i="160"/>
  <c r="BU28" i="160"/>
  <c r="F27" i="188"/>
  <c r="BL32" i="166"/>
  <c r="BS32" i="166"/>
  <c r="CV31" i="166"/>
  <c r="DC31" i="166"/>
  <c r="CC18" i="166"/>
  <c r="CC42" i="166" s="1"/>
  <c r="BU18" i="166"/>
  <c r="M75" i="143"/>
  <c r="M131" i="143"/>
  <c r="CK26" i="166"/>
  <c r="CD26" i="166"/>
  <c r="BS29" i="166"/>
  <c r="BL29" i="166"/>
  <c r="E135" i="143"/>
  <c r="E34" i="143"/>
  <c r="CB28" i="166"/>
  <c r="BU28" i="166"/>
  <c r="BL22" i="166"/>
  <c r="BS22" i="166"/>
  <c r="CC49" i="160"/>
  <c r="BU49" i="160"/>
  <c r="CL50" i="160"/>
  <c r="CD50" i="160"/>
  <c r="BU16" i="166"/>
  <c r="CB16" i="166"/>
  <c r="BL27" i="160"/>
  <c r="BS27" i="160"/>
  <c r="BS30" i="166"/>
  <c r="BL30" i="166"/>
  <c r="K18" i="143"/>
  <c r="O17" i="143"/>
  <c r="Q17" i="143" s="1"/>
  <c r="U16" i="143"/>
  <c r="S16" i="143"/>
  <c r="CC50" i="166"/>
  <c r="BU50" i="166"/>
  <c r="CB36" i="160"/>
  <c r="BU36" i="160"/>
  <c r="A18" i="150"/>
  <c r="B19" i="151" s="1"/>
  <c r="C19" i="151"/>
  <c r="C18" i="151"/>
  <c r="M76" i="143"/>
  <c r="Q77" i="143"/>
  <c r="O78" i="143"/>
  <c r="Q66" i="143"/>
  <c r="O67" i="143"/>
  <c r="CK30" i="160"/>
  <c r="CD30" i="160"/>
  <c r="S76" i="143"/>
  <c r="U76" i="143"/>
  <c r="BL15" i="160"/>
  <c r="BS15" i="160"/>
  <c r="BC45" i="160"/>
  <c r="BC54" i="160" s="1"/>
  <c r="BJ45" i="160"/>
  <c r="BA54" i="160"/>
  <c r="BA56" i="160" s="1"/>
  <c r="CD19" i="166"/>
  <c r="CK19" i="166"/>
  <c r="BS32" i="160"/>
  <c r="BL32" i="160"/>
  <c r="BJ19" i="160"/>
  <c r="BC19" i="160"/>
  <c r="BC42" i="160" s="1"/>
  <c r="DD29" i="166"/>
  <c r="CT31" i="160"/>
  <c r="CM31" i="160"/>
  <c r="CD14" i="160"/>
  <c r="CK14" i="160"/>
  <c r="N33" i="143"/>
  <c r="I34" i="143"/>
  <c r="BL38" i="166"/>
  <c r="BS38" i="166"/>
  <c r="CU52" i="166"/>
  <c r="CM52" i="166"/>
  <c r="O50" i="143"/>
  <c r="Q50" i="143" s="1"/>
  <c r="U50" i="143" s="1"/>
  <c r="DC29" i="160"/>
  <c r="CK48" i="166"/>
  <c r="CD48" i="166"/>
  <c r="CM46" i="160"/>
  <c r="CT46" i="160"/>
  <c r="DC50" i="160"/>
  <c r="CC45" i="160"/>
  <c r="BT54" i="160"/>
  <c r="BT56" i="160" s="1"/>
  <c r="CB47" i="166"/>
  <c r="BU47" i="166"/>
  <c r="BU24" i="160"/>
  <c r="CB24" i="160"/>
  <c r="CM52" i="160"/>
  <c r="CU52" i="160"/>
  <c r="CB35" i="166"/>
  <c r="BU35" i="166"/>
  <c r="CL49" i="166"/>
  <c r="CC54" i="166"/>
  <c r="BS34" i="166"/>
  <c r="BL34" i="166"/>
  <c r="CD51" i="160"/>
  <c r="CK51" i="160"/>
  <c r="CL29" i="160"/>
  <c r="CD29" i="160"/>
  <c r="CC42" i="160"/>
  <c r="BS37" i="166"/>
  <c r="BL37" i="166"/>
  <c r="CM35" i="160"/>
  <c r="CT35" i="160"/>
  <c r="CK33" i="160"/>
  <c r="CD33" i="160"/>
  <c r="CB17" i="166"/>
  <c r="BU17" i="166"/>
  <c r="BU39" i="166"/>
  <c r="CB39" i="166"/>
  <c r="F17" i="151"/>
  <c r="J17" i="151"/>
  <c r="K17" i="151"/>
  <c r="O17" i="151"/>
  <c r="N17" i="151"/>
  <c r="P17" i="151" s="1"/>
  <c r="AA18" i="151"/>
  <c r="BS21" i="166"/>
  <c r="BL21" i="166"/>
  <c r="B27" i="152"/>
  <c r="C27" i="152"/>
  <c r="K337" i="151" s="1"/>
  <c r="H339" i="150"/>
  <c r="H340" i="150" s="1"/>
  <c r="H341" i="150" s="1"/>
  <c r="CB14" i="166"/>
  <c r="BU14" i="166"/>
  <c r="J335" i="151"/>
  <c r="D25" i="152"/>
  <c r="L335" i="151" s="1"/>
  <c r="CD23" i="160"/>
  <c r="CK23" i="160"/>
  <c r="BU25" i="160"/>
  <c r="CB25" i="160"/>
  <c r="A65" i="151"/>
  <c r="DD34" i="160"/>
  <c r="DD36" i="166"/>
  <c r="U92" i="143"/>
  <c r="S92" i="143"/>
  <c r="CK16" i="160"/>
  <c r="CD16" i="160"/>
  <c r="CB23" i="166"/>
  <c r="BU23" i="166"/>
  <c r="Q93" i="143"/>
  <c r="O94" i="143"/>
  <c r="BL46" i="166"/>
  <c r="BS46" i="166"/>
  <c r="BS17" i="160"/>
  <c r="BL17" i="160"/>
  <c r="BJ42" i="160"/>
  <c r="BY7" i="161"/>
  <c r="T143" i="151"/>
  <c r="T332" i="151" s="1"/>
  <c r="BS45" i="166"/>
  <c r="BL45" i="166"/>
  <c r="BJ54" i="166"/>
  <c r="D29" i="152"/>
  <c r="L336" i="151" s="1"/>
  <c r="J336" i="151"/>
  <c r="O30" i="143"/>
  <c r="Q30" i="143" s="1"/>
  <c r="K31" i="143"/>
  <c r="BJ15" i="166"/>
  <c r="BC15" i="166"/>
  <c r="BC42" i="166" s="1"/>
  <c r="BA42" i="166"/>
  <c r="BA56" i="166" s="1"/>
  <c r="CT18" i="160"/>
  <c r="CM18" i="160"/>
  <c r="BY18" i="161"/>
  <c r="DQ48" i="160"/>
  <c r="DN48" i="160"/>
  <c r="CK39" i="160"/>
  <c r="CD39" i="160"/>
  <c r="R129" i="143"/>
  <c r="Q129" i="143"/>
  <c r="D13" i="145"/>
  <c r="E13" i="145"/>
  <c r="S29" i="143"/>
  <c r="U29" i="143"/>
  <c r="O131" i="143"/>
  <c r="CM20" i="160"/>
  <c r="CT20" i="160"/>
  <c r="F17" i="140"/>
  <c r="CD37" i="160"/>
  <c r="CK37" i="160"/>
  <c r="DM34" i="166"/>
  <c r="U49" i="143"/>
  <c r="S49" i="143"/>
  <c r="BJ8" i="166"/>
  <c r="BJ8" i="160"/>
  <c r="CB33" i="166"/>
  <c r="BU33" i="166"/>
  <c r="CL37" i="166"/>
  <c r="BS24" i="166"/>
  <c r="BL24" i="166"/>
  <c r="CM22" i="160"/>
  <c r="CT22" i="160"/>
  <c r="R130" i="143"/>
  <c r="Q130" i="143"/>
  <c r="M64" i="143"/>
  <c r="DM32" i="160"/>
  <c r="CK49" i="166"/>
  <c r="CD49" i="166"/>
  <c r="BJ5" i="160"/>
  <c r="BJ6" i="160" s="1"/>
  <c r="BJ7" i="160" s="1"/>
  <c r="BJ5" i="166"/>
  <c r="BJ6" i="166" s="1"/>
  <c r="BJ7" i="166" s="1"/>
  <c r="BU27" i="166"/>
  <c r="CB27" i="166"/>
  <c r="F17" i="141"/>
  <c r="CK21" i="160"/>
  <c r="CD21" i="160"/>
  <c r="BS4" i="166"/>
  <c r="BS4" i="160"/>
  <c r="BA3" i="161"/>
  <c r="AU8" i="161"/>
  <c r="BT5" i="160" l="1"/>
  <c r="BT6" i="160"/>
  <c r="BT7" i="160" s="1"/>
  <c r="N106" i="143"/>
  <c r="N133" i="143"/>
  <c r="CB34" i="160"/>
  <c r="BU34" i="160"/>
  <c r="BF18" i="161"/>
  <c r="CC4" i="166"/>
  <c r="CC5" i="166" s="1"/>
  <c r="CC6" i="166" s="1"/>
  <c r="CC7" i="166" s="1"/>
  <c r="CC4" i="160"/>
  <c r="CC5" i="160" s="1"/>
  <c r="CC6" i="160" s="1"/>
  <c r="CC7" i="160" s="1"/>
  <c r="BU38" i="160"/>
  <c r="CB38" i="160"/>
  <c r="BT5" i="166"/>
  <c r="BT6" i="166"/>
  <c r="BT7" i="166" s="1"/>
  <c r="O51" i="143"/>
  <c r="BU20" i="166"/>
  <c r="CB20" i="166"/>
  <c r="BC56" i="166"/>
  <c r="F31" i="161"/>
  <c r="D31" i="161" s="1"/>
  <c r="D51" i="161" s="1"/>
  <c r="C31" i="161"/>
  <c r="CB36" i="166"/>
  <c r="BU36" i="166"/>
  <c r="BU25" i="166"/>
  <c r="CB25" i="166"/>
  <c r="E31" i="161"/>
  <c r="E51" i="161" s="1"/>
  <c r="CT51" i="166"/>
  <c r="CM51" i="166"/>
  <c r="Q108" i="143"/>
  <c r="O109" i="143"/>
  <c r="Q109" i="143" s="1"/>
  <c r="CK28" i="160"/>
  <c r="CD28" i="160"/>
  <c r="F51" i="161"/>
  <c r="CD47" i="160"/>
  <c r="CK47" i="160"/>
  <c r="BU26" i="160"/>
  <c r="CB26" i="160"/>
  <c r="BL54" i="166"/>
  <c r="CC56" i="166"/>
  <c r="BC56" i="160"/>
  <c r="AU4" i="161"/>
  <c r="BS5" i="160" s="1"/>
  <c r="BS6" i="160" s="1"/>
  <c r="BS7" i="160" s="1"/>
  <c r="AO5" i="161"/>
  <c r="F28" i="188"/>
  <c r="CB15" i="160"/>
  <c r="BU15" i="160"/>
  <c r="CB30" i="166"/>
  <c r="BU30" i="166"/>
  <c r="CT26" i="166"/>
  <c r="CM26" i="166"/>
  <c r="D19" i="151"/>
  <c r="A19" i="150"/>
  <c r="D20" i="151" s="1"/>
  <c r="G19" i="151"/>
  <c r="S19" i="151" s="1"/>
  <c r="BU27" i="160"/>
  <c r="CB27" i="160"/>
  <c r="CK36" i="160"/>
  <c r="CD36" i="160"/>
  <c r="M132" i="143"/>
  <c r="CM30" i="160"/>
  <c r="CT30" i="160"/>
  <c r="CD16" i="166"/>
  <c r="CK16" i="166"/>
  <c r="CK28" i="166"/>
  <c r="CD28" i="166"/>
  <c r="CL50" i="166"/>
  <c r="CL54" i="166" s="1"/>
  <c r="CD50" i="166"/>
  <c r="E136" i="143"/>
  <c r="E35" i="143"/>
  <c r="CD18" i="166"/>
  <c r="CL18" i="166"/>
  <c r="CL42" i="166" s="1"/>
  <c r="U66" i="143"/>
  <c r="U67" i="143" s="1"/>
  <c r="S66" i="143"/>
  <c r="S67" i="143" s="1"/>
  <c r="Q67" i="143"/>
  <c r="DL31" i="166"/>
  <c r="DN31" i="166" s="1"/>
  <c r="DE31" i="166"/>
  <c r="Q78" i="143"/>
  <c r="O79" i="143"/>
  <c r="Q79" i="143" s="1"/>
  <c r="U79" i="143" s="1"/>
  <c r="CU50" i="160"/>
  <c r="CM50" i="160"/>
  <c r="S77" i="143"/>
  <c r="U77" i="143"/>
  <c r="U17" i="143"/>
  <c r="S17" i="143"/>
  <c r="CB32" i="166"/>
  <c r="BU32" i="166"/>
  <c r="BJ54" i="160"/>
  <c r="BS45" i="160"/>
  <c r="BL45" i="160"/>
  <c r="BL54" i="160" s="1"/>
  <c r="M77" i="143"/>
  <c r="M133" i="143"/>
  <c r="K19" i="143"/>
  <c r="O18" i="143"/>
  <c r="CD49" i="160"/>
  <c r="CL49" i="160"/>
  <c r="CB29" i="166"/>
  <c r="BU29" i="166"/>
  <c r="BJ56" i="160"/>
  <c r="CB22" i="166"/>
  <c r="BU22" i="166"/>
  <c r="DD52" i="166"/>
  <c r="CV52" i="166"/>
  <c r="CT48" i="166"/>
  <c r="CM48" i="166"/>
  <c r="BU38" i="166"/>
  <c r="CB38" i="166"/>
  <c r="BS19" i="160"/>
  <c r="BL19" i="160"/>
  <c r="BL42" i="160" s="1"/>
  <c r="BL56" i="160" s="1"/>
  <c r="DL29" i="160"/>
  <c r="I35" i="143"/>
  <c r="N34" i="143"/>
  <c r="CB32" i="160"/>
  <c r="BU32" i="160"/>
  <c r="CB34" i="166"/>
  <c r="BU34" i="166"/>
  <c r="CU49" i="166"/>
  <c r="S50" i="143"/>
  <c r="CD35" i="166"/>
  <c r="CK35" i="166"/>
  <c r="CL45" i="160"/>
  <c r="CC54" i="160"/>
  <c r="CC56" i="160" s="1"/>
  <c r="CT14" i="160"/>
  <c r="CM14" i="160"/>
  <c r="CB37" i="166"/>
  <c r="BU37" i="166"/>
  <c r="M65" i="143"/>
  <c r="M66" i="143" s="1"/>
  <c r="CU29" i="160"/>
  <c r="CM29" i="160"/>
  <c r="CL42" i="160"/>
  <c r="DD52" i="160"/>
  <c r="CV52" i="160"/>
  <c r="DL50" i="160"/>
  <c r="CK24" i="160"/>
  <c r="CD24" i="160"/>
  <c r="DC46" i="160"/>
  <c r="CV46" i="160"/>
  <c r="CV31" i="160"/>
  <c r="DC31" i="160"/>
  <c r="CM19" i="166"/>
  <c r="CT19" i="166"/>
  <c r="CD47" i="166"/>
  <c r="CK47" i="166"/>
  <c r="CM51" i="160"/>
  <c r="CT51" i="160"/>
  <c r="DM29" i="166"/>
  <c r="A66" i="151"/>
  <c r="CB45" i="166"/>
  <c r="BU45" i="166"/>
  <c r="BS54" i="166"/>
  <c r="DM36" i="166"/>
  <c r="CK25" i="160"/>
  <c r="CD25" i="160"/>
  <c r="J18" i="151"/>
  <c r="N18" i="151"/>
  <c r="K18" i="151"/>
  <c r="AA19" i="151"/>
  <c r="F18" i="151"/>
  <c r="O18" i="151"/>
  <c r="CM33" i="160"/>
  <c r="CT33" i="160"/>
  <c r="CB46" i="166"/>
  <c r="BU46" i="166"/>
  <c r="CT37" i="160"/>
  <c r="CM37" i="160"/>
  <c r="CK14" i="166"/>
  <c r="CD14" i="166"/>
  <c r="CV35" i="160"/>
  <c r="DC35" i="160"/>
  <c r="F13" i="145"/>
  <c r="Q94" i="143"/>
  <c r="O95" i="143"/>
  <c r="Q95" i="143" s="1"/>
  <c r="CM23" i="160"/>
  <c r="CT23" i="160"/>
  <c r="H342" i="150"/>
  <c r="K29" i="152"/>
  <c r="S336" i="151" s="1"/>
  <c r="F25" i="152"/>
  <c r="G25" i="152"/>
  <c r="O335" i="151" s="1"/>
  <c r="K25" i="152"/>
  <c r="S335" i="151" s="1"/>
  <c r="G29" i="152"/>
  <c r="O336" i="151" s="1"/>
  <c r="F29" i="152"/>
  <c r="CM21" i="160"/>
  <c r="CT21" i="160"/>
  <c r="DQ32" i="160"/>
  <c r="CB24" i="166"/>
  <c r="BU24" i="166"/>
  <c r="C18" i="140"/>
  <c r="S93" i="143"/>
  <c r="U93" i="143"/>
  <c r="CD27" i="166"/>
  <c r="CK27" i="166"/>
  <c r="C18" i="141"/>
  <c r="BS15" i="166"/>
  <c r="BL15" i="166"/>
  <c r="BL42" i="166" s="1"/>
  <c r="BJ42" i="166"/>
  <c r="BJ56" i="166" s="1"/>
  <c r="DM34" i="160"/>
  <c r="J337" i="151"/>
  <c r="D27" i="152"/>
  <c r="L337" i="151" s="1"/>
  <c r="L17" i="151"/>
  <c r="CK33" i="166"/>
  <c r="CD33" i="166"/>
  <c r="CM49" i="166"/>
  <c r="CT49" i="166"/>
  <c r="CU37" i="166"/>
  <c r="CV20" i="160"/>
  <c r="DC20" i="160"/>
  <c r="CV18" i="160"/>
  <c r="DC18" i="160"/>
  <c r="CK23" i="166"/>
  <c r="CD23" i="166"/>
  <c r="S79" i="143"/>
  <c r="DC22" i="160"/>
  <c r="CV22" i="160"/>
  <c r="CD39" i="166"/>
  <c r="CK39" i="166"/>
  <c r="CT39" i="160"/>
  <c r="CM39" i="160"/>
  <c r="BS8" i="166"/>
  <c r="BS8" i="160"/>
  <c r="CB4" i="166"/>
  <c r="BG3" i="161"/>
  <c r="CB4" i="160"/>
  <c r="BA8" i="161"/>
  <c r="DQ34" i="166"/>
  <c r="Q51" i="143"/>
  <c r="O52" i="143"/>
  <c r="Q131" i="143"/>
  <c r="R131" i="143"/>
  <c r="K32" i="143"/>
  <c r="O31" i="143"/>
  <c r="Q31" i="143" s="1"/>
  <c r="BU17" i="160"/>
  <c r="CB17" i="160"/>
  <c r="CM16" i="160"/>
  <c r="CT16" i="160"/>
  <c r="BS5" i="166"/>
  <c r="BS6" i="166" s="1"/>
  <c r="BS7" i="166" s="1"/>
  <c r="S30" i="143"/>
  <c r="U30" i="143"/>
  <c r="O132" i="143"/>
  <c r="CB21" i="166"/>
  <c r="BU21" i="166"/>
  <c r="CK17" i="166"/>
  <c r="CD17" i="166"/>
  <c r="CK38" i="160" l="1"/>
  <c r="CD38" i="160"/>
  <c r="CK36" i="166"/>
  <c r="CD36" i="166"/>
  <c r="CK20" i="166"/>
  <c r="CD20" i="166"/>
  <c r="CV51" i="166"/>
  <c r="DC51" i="166"/>
  <c r="CK34" i="160"/>
  <c r="CD34" i="160"/>
  <c r="N107" i="143"/>
  <c r="N134" i="143"/>
  <c r="CD25" i="166"/>
  <c r="CK25" i="166"/>
  <c r="BL18" i="161"/>
  <c r="CL4" i="166"/>
  <c r="CL4" i="160"/>
  <c r="CL5" i="160" s="1"/>
  <c r="CL6" i="160" s="1"/>
  <c r="CL7" i="160" s="1"/>
  <c r="CD26" i="160"/>
  <c r="CK26" i="160"/>
  <c r="CT47" i="160"/>
  <c r="CM47" i="160"/>
  <c r="CM28" i="160"/>
  <c r="CT28" i="160"/>
  <c r="O110" i="143"/>
  <c r="S109" i="143"/>
  <c r="U109" i="143"/>
  <c r="BL56" i="166"/>
  <c r="CL56" i="166"/>
  <c r="S108" i="143"/>
  <c r="U108" i="143"/>
  <c r="BA4" i="161"/>
  <c r="AU5" i="161"/>
  <c r="F29" i="188"/>
  <c r="E36" i="143"/>
  <c r="E138" i="143" s="1"/>
  <c r="E137" i="143"/>
  <c r="M78" i="143"/>
  <c r="M135" i="143" s="1"/>
  <c r="B20" i="151"/>
  <c r="BU45" i="160"/>
  <c r="BU54" i="160" s="1"/>
  <c r="BS54" i="160"/>
  <c r="CB45" i="160"/>
  <c r="U78" i="143"/>
  <c r="S78" i="143"/>
  <c r="CU50" i="166"/>
  <c r="CU54" i="166" s="1"/>
  <c r="CM50" i="166"/>
  <c r="M134" i="143"/>
  <c r="DD50" i="160"/>
  <c r="CV50" i="160"/>
  <c r="CD22" i="166"/>
  <c r="CK22" i="166"/>
  <c r="CT28" i="166"/>
  <c r="CM28" i="166"/>
  <c r="CT36" i="160"/>
  <c r="CM36" i="160"/>
  <c r="DC26" i="166"/>
  <c r="CV26" i="166"/>
  <c r="CM16" i="166"/>
  <c r="CT16" i="166"/>
  <c r="CK27" i="160"/>
  <c r="CD27" i="160"/>
  <c r="CD30" i="166"/>
  <c r="CK30" i="166"/>
  <c r="CK29" i="166"/>
  <c r="CD29" i="166"/>
  <c r="CK32" i="166"/>
  <c r="CD32" i="166"/>
  <c r="CU49" i="160"/>
  <c r="CM49" i="160"/>
  <c r="DC30" i="160"/>
  <c r="CV30" i="160"/>
  <c r="CK15" i="160"/>
  <c r="CD15" i="160"/>
  <c r="Q18" i="143"/>
  <c r="CM18" i="166"/>
  <c r="CU18" i="166"/>
  <c r="CU42" i="166" s="1"/>
  <c r="O19" i="143"/>
  <c r="Q19" i="143" s="1"/>
  <c r="K20" i="143"/>
  <c r="G20" i="151"/>
  <c r="S20" i="151" s="1"/>
  <c r="S143" i="151" s="1"/>
  <c r="C20" i="151"/>
  <c r="A20" i="150"/>
  <c r="G21" i="151"/>
  <c r="S21" i="151" s="1"/>
  <c r="O80" i="143"/>
  <c r="CT24" i="160"/>
  <c r="CM24" i="160"/>
  <c r="CB19" i="160"/>
  <c r="BU19" i="160"/>
  <c r="BU42" i="160" s="1"/>
  <c r="CT47" i="166"/>
  <c r="CM47" i="166"/>
  <c r="DD29" i="160"/>
  <c r="CU42" i="160"/>
  <c r="CV29" i="160"/>
  <c r="CD38" i="166"/>
  <c r="CK38" i="166"/>
  <c r="DC19" i="166"/>
  <c r="CV19" i="166"/>
  <c r="CL54" i="160"/>
  <c r="CL56" i="160" s="1"/>
  <c r="CU45" i="160"/>
  <c r="CK34" i="166"/>
  <c r="CD34" i="166"/>
  <c r="DQ29" i="166"/>
  <c r="DL31" i="160"/>
  <c r="DN31" i="160" s="1"/>
  <c r="DE31" i="160"/>
  <c r="CV48" i="166"/>
  <c r="DC48" i="166"/>
  <c r="CK32" i="160"/>
  <c r="CD32" i="160"/>
  <c r="BS42" i="160"/>
  <c r="DC51" i="160"/>
  <c r="CV51" i="160"/>
  <c r="DE52" i="166"/>
  <c r="DM52" i="166"/>
  <c r="DE46" i="160"/>
  <c r="DL46" i="160"/>
  <c r="DN46" i="160" s="1"/>
  <c r="I36" i="143"/>
  <c r="N36" i="143" s="1"/>
  <c r="N35" i="143"/>
  <c r="CT35" i="166"/>
  <c r="CM35" i="166"/>
  <c r="CK37" i="166"/>
  <c r="CD37" i="166"/>
  <c r="DM52" i="160"/>
  <c r="DE52" i="160"/>
  <c r="DD49" i="166"/>
  <c r="DC14" i="160"/>
  <c r="CV14" i="160"/>
  <c r="U31" i="143"/>
  <c r="S31" i="143"/>
  <c r="O133" i="143"/>
  <c r="L18" i="151"/>
  <c r="DE18" i="160"/>
  <c r="DL18" i="160"/>
  <c r="DN18" i="160" s="1"/>
  <c r="D18" i="141"/>
  <c r="E18" i="141"/>
  <c r="DE20" i="160"/>
  <c r="DL20" i="160"/>
  <c r="DN20" i="160" s="1"/>
  <c r="CT27" i="166"/>
  <c r="CM27" i="166"/>
  <c r="N335" i="151"/>
  <c r="H25" i="152"/>
  <c r="P335" i="151" s="1"/>
  <c r="DQ34" i="160"/>
  <c r="CK24" i="166"/>
  <c r="CD24" i="166"/>
  <c r="DC37" i="160"/>
  <c r="CV37" i="160"/>
  <c r="O32" i="143"/>
  <c r="Q32" i="143" s="1"/>
  <c r="K33" i="143"/>
  <c r="CM17" i="166"/>
  <c r="CT17" i="166"/>
  <c r="DE22" i="160"/>
  <c r="DL22" i="160"/>
  <c r="DN22" i="160" s="1"/>
  <c r="DD37" i="166"/>
  <c r="H343" i="150"/>
  <c r="H344" i="150" s="1"/>
  <c r="H345" i="150" s="1"/>
  <c r="H346" i="150" s="1"/>
  <c r="H347" i="150" s="1"/>
  <c r="H348" i="150" s="1"/>
  <c r="H349" i="150" s="1"/>
  <c r="H350" i="150" s="1"/>
  <c r="H351" i="150" s="1"/>
  <c r="H352" i="150" s="1"/>
  <c r="H353" i="150" s="1"/>
  <c r="H354" i="150" s="1"/>
  <c r="H355" i="150" s="1"/>
  <c r="H356" i="150" s="1"/>
  <c r="H357" i="150" s="1"/>
  <c r="H358" i="150" s="1"/>
  <c r="H359" i="150" s="1"/>
  <c r="H360" i="150" s="1"/>
  <c r="H361" i="150" s="1"/>
  <c r="H362" i="150" s="1"/>
  <c r="H363" i="150" s="1"/>
  <c r="H364" i="150" s="1"/>
  <c r="H365" i="150" s="1"/>
  <c r="H366" i="150" s="1"/>
  <c r="H367" i="150" s="1"/>
  <c r="H368" i="150" s="1"/>
  <c r="H369" i="150" s="1"/>
  <c r="H370" i="150" s="1"/>
  <c r="H371" i="150" s="1"/>
  <c r="H372" i="150" s="1"/>
  <c r="H373" i="150" s="1"/>
  <c r="H374" i="150" s="1"/>
  <c r="H375" i="150" s="1"/>
  <c r="H376" i="150" s="1"/>
  <c r="H377" i="150" s="1"/>
  <c r="H378" i="150" s="1"/>
  <c r="H379" i="150" s="1"/>
  <c r="H380" i="150" s="1"/>
  <c r="H381" i="150" s="1"/>
  <c r="H382" i="150" s="1"/>
  <c r="H383" i="150" s="1"/>
  <c r="H384" i="150" s="1"/>
  <c r="H385" i="150" s="1"/>
  <c r="H386" i="150" s="1"/>
  <c r="H387" i="150" s="1"/>
  <c r="H388" i="150" s="1"/>
  <c r="H389" i="150" s="1"/>
  <c r="H390" i="150" s="1"/>
  <c r="H391" i="150" s="1"/>
  <c r="H392" i="150" s="1"/>
  <c r="H393" i="150" s="1"/>
  <c r="H394" i="150" s="1"/>
  <c r="H395" i="150" s="1"/>
  <c r="H396" i="150" s="1"/>
  <c r="H397" i="150" s="1"/>
  <c r="H398" i="150" s="1"/>
  <c r="H399" i="150" s="1"/>
  <c r="H400" i="150" s="1"/>
  <c r="H401" i="150" s="1"/>
  <c r="H402" i="150" s="1"/>
  <c r="H403" i="150" s="1"/>
  <c r="H404" i="150" s="1"/>
  <c r="H405" i="150" s="1"/>
  <c r="H406" i="150" s="1"/>
  <c r="H407" i="150" s="1"/>
  <c r="H408" i="150" s="1"/>
  <c r="H409" i="150" s="1"/>
  <c r="H410" i="150" s="1"/>
  <c r="H411" i="150" s="1"/>
  <c r="H412" i="150" s="1"/>
  <c r="H413" i="150" s="1"/>
  <c r="H414" i="150" s="1"/>
  <c r="H415" i="150" s="1"/>
  <c r="H416" i="150" s="1"/>
  <c r="H417" i="150" s="1"/>
  <c r="H418" i="150" s="1"/>
  <c r="H419" i="150" s="1"/>
  <c r="H420" i="150" s="1"/>
  <c r="H421" i="150" s="1"/>
  <c r="H422" i="150" s="1"/>
  <c r="H423" i="150" s="1"/>
  <c r="H424" i="150" s="1"/>
  <c r="H425" i="150" s="1"/>
  <c r="H426" i="150" s="1"/>
  <c r="H427" i="150" s="1"/>
  <c r="H428" i="150" s="1"/>
  <c r="H429" i="150" s="1"/>
  <c r="H430" i="150" s="1"/>
  <c r="H431" i="150" s="1"/>
  <c r="H432" i="150" s="1"/>
  <c r="H433" i="150" s="1"/>
  <c r="H434" i="150" s="1"/>
  <c r="H435" i="150" s="1"/>
  <c r="H436" i="150" s="1"/>
  <c r="H437" i="150" s="1"/>
  <c r="H438" i="150" s="1"/>
  <c r="H439" i="150" s="1"/>
  <c r="H440" i="150" s="1"/>
  <c r="H441" i="150" s="1"/>
  <c r="H442" i="150" s="1"/>
  <c r="H443" i="150" s="1"/>
  <c r="H444" i="150" s="1"/>
  <c r="H445" i="150" s="1"/>
  <c r="H446" i="150" s="1"/>
  <c r="H447" i="150" s="1"/>
  <c r="H448" i="150" s="1"/>
  <c r="H449" i="150" s="1"/>
  <c r="H450" i="150" s="1"/>
  <c r="H451" i="150" s="1"/>
  <c r="H452" i="150" s="1"/>
  <c r="H453" i="150" s="1"/>
  <c r="H454" i="150" s="1"/>
  <c r="H455" i="150" s="1"/>
  <c r="H456" i="150" s="1"/>
  <c r="H457" i="150" s="1"/>
  <c r="H458" i="150" s="1"/>
  <c r="H459" i="150" s="1"/>
  <c r="H460" i="150" s="1"/>
  <c r="H461" i="150" s="1"/>
  <c r="K27" i="152"/>
  <c r="S337" i="151" s="1"/>
  <c r="G27" i="152"/>
  <c r="O337" i="151" s="1"/>
  <c r="F27" i="152"/>
  <c r="CT25" i="160"/>
  <c r="CM25" i="160"/>
  <c r="CD21" i="166"/>
  <c r="CK21" i="166"/>
  <c r="S51" i="143"/>
  <c r="S52" i="143" s="1"/>
  <c r="U51" i="143"/>
  <c r="U52" i="143" s="1"/>
  <c r="Q52" i="143"/>
  <c r="DC39" i="160"/>
  <c r="CV39" i="160"/>
  <c r="DC23" i="160"/>
  <c r="CV23" i="160"/>
  <c r="DE35" i="160"/>
  <c r="DL35" i="160"/>
  <c r="DN35" i="160" s="1"/>
  <c r="CK46" i="166"/>
  <c r="CD46" i="166"/>
  <c r="DQ36" i="166"/>
  <c r="Q132" i="143"/>
  <c r="R132" i="143"/>
  <c r="CB8" i="166"/>
  <c r="CB8" i="160"/>
  <c r="CV49" i="166"/>
  <c r="DC49" i="166"/>
  <c r="DC33" i="160"/>
  <c r="CV33" i="160"/>
  <c r="A67" i="151"/>
  <c r="S95" i="143"/>
  <c r="U95" i="143"/>
  <c r="CV21" i="160"/>
  <c r="DC21" i="160"/>
  <c r="CB5" i="160"/>
  <c r="CB6" i="160" s="1"/>
  <c r="CB7" i="160" s="1"/>
  <c r="CT39" i="166"/>
  <c r="CM39" i="166"/>
  <c r="O96" i="143"/>
  <c r="P18" i="151"/>
  <c r="BU54" i="166"/>
  <c r="CT33" i="166"/>
  <c r="CM33" i="166"/>
  <c r="BU15" i="166"/>
  <c r="BU42" i="166" s="1"/>
  <c r="CB15" i="166"/>
  <c r="BS42" i="166"/>
  <c r="BS56" i="166" s="1"/>
  <c r="S94" i="143"/>
  <c r="U94" i="143"/>
  <c r="CM14" i="166"/>
  <c r="CT14" i="166"/>
  <c r="CB54" i="166"/>
  <c r="CK45" i="166"/>
  <c r="CD45" i="166"/>
  <c r="DC16" i="160"/>
  <c r="CV16" i="160"/>
  <c r="M67" i="143"/>
  <c r="N336" i="151"/>
  <c r="H29" i="152"/>
  <c r="P336" i="151" s="1"/>
  <c r="AA20" i="151"/>
  <c r="F19" i="151"/>
  <c r="K19" i="151"/>
  <c r="O19" i="151"/>
  <c r="N19" i="151"/>
  <c r="J19" i="151"/>
  <c r="L19" i="151" s="1"/>
  <c r="BM3" i="161"/>
  <c r="CK4" i="160"/>
  <c r="CK4" i="166"/>
  <c r="BG8" i="161"/>
  <c r="CK17" i="160"/>
  <c r="CD17" i="160"/>
  <c r="CB42" i="160"/>
  <c r="CB5" i="166"/>
  <c r="CB6" i="166" s="1"/>
  <c r="CB7" i="166" s="1"/>
  <c r="CM23" i="166"/>
  <c r="CT23" i="166"/>
  <c r="D18" i="140"/>
  <c r="E18" i="140"/>
  <c r="C14" i="145"/>
  <c r="N109" i="143" l="1"/>
  <c r="N137" i="143" s="1"/>
  <c r="N135" i="143"/>
  <c r="N108" i="143"/>
  <c r="N136" i="143" s="1"/>
  <c r="CT20" i="166"/>
  <c r="CM20" i="166"/>
  <c r="CL5" i="166"/>
  <c r="CL6" i="166"/>
  <c r="CL7" i="166" s="1"/>
  <c r="CU4" i="160"/>
  <c r="BR18" i="161"/>
  <c r="CU4" i="166"/>
  <c r="CU5" i="166" s="1"/>
  <c r="CU6" i="166" s="1"/>
  <c r="CU7" i="166" s="1"/>
  <c r="CT34" i="160"/>
  <c r="CM34" i="160"/>
  <c r="CT36" i="166"/>
  <c r="CM36" i="166"/>
  <c r="CM25" i="166"/>
  <c r="CT25" i="166"/>
  <c r="DE51" i="166"/>
  <c r="DL51" i="166"/>
  <c r="DN51" i="166" s="1"/>
  <c r="CM38" i="160"/>
  <c r="CT38" i="160"/>
  <c r="BG4" i="161"/>
  <c r="CK5" i="166" s="1"/>
  <c r="CK6" i="166" s="1"/>
  <c r="CK7" i="166" s="1"/>
  <c r="BA5" i="161"/>
  <c r="CD54" i="166"/>
  <c r="BU56" i="160"/>
  <c r="Q110" i="143"/>
  <c r="O111" i="143"/>
  <c r="DC28" i="160"/>
  <c r="CV28" i="160"/>
  <c r="BS56" i="160"/>
  <c r="BU56" i="166"/>
  <c r="CV47" i="160"/>
  <c r="DC47" i="160"/>
  <c r="M79" i="143"/>
  <c r="CM26" i="160"/>
  <c r="CT26" i="160"/>
  <c r="F30" i="188"/>
  <c r="F31" i="188" s="1"/>
  <c r="F32" i="188" s="1"/>
  <c r="F33" i="188" s="1"/>
  <c r="F34" i="188" s="1"/>
  <c r="F35" i="188" s="1"/>
  <c r="B21" i="151"/>
  <c r="B22" i="151"/>
  <c r="A21" i="150"/>
  <c r="D22" i="151" s="1"/>
  <c r="D21" i="151"/>
  <c r="DC16" i="166"/>
  <c r="CV16" i="166"/>
  <c r="DE30" i="160"/>
  <c r="DL30" i="160"/>
  <c r="DN30" i="160" s="1"/>
  <c r="P19" i="151"/>
  <c r="O20" i="143"/>
  <c r="K21" i="143"/>
  <c r="O21" i="143" s="1"/>
  <c r="Q21" i="143" s="1"/>
  <c r="DD49" i="160"/>
  <c r="CV49" i="160"/>
  <c r="DL26" i="166"/>
  <c r="DN26" i="166" s="1"/>
  <c r="DE26" i="166"/>
  <c r="DM50" i="160"/>
  <c r="DE50" i="160"/>
  <c r="CU56" i="166"/>
  <c r="S19" i="143"/>
  <c r="U19" i="143"/>
  <c r="DD18" i="166"/>
  <c r="CV18" i="166"/>
  <c r="CM32" i="166"/>
  <c r="CT32" i="166"/>
  <c r="CV36" i="160"/>
  <c r="DC36" i="160"/>
  <c r="CT29" i="166"/>
  <c r="CM29" i="166"/>
  <c r="DC28" i="166"/>
  <c r="CV28" i="166"/>
  <c r="U18" i="143"/>
  <c r="S18" i="143"/>
  <c r="CM30" i="166"/>
  <c r="CT30" i="166"/>
  <c r="C21" i="151"/>
  <c r="DD50" i="166"/>
  <c r="CV50" i="166"/>
  <c r="CT22" i="166"/>
  <c r="CM22" i="166"/>
  <c r="Q80" i="143"/>
  <c r="Q82" i="143" s="1"/>
  <c r="O81" i="143"/>
  <c r="Q81" i="143" s="1"/>
  <c r="S81" i="143" s="1"/>
  <c r="CT15" i="160"/>
  <c r="CM15" i="160"/>
  <c r="CT27" i="160"/>
  <c r="CM27" i="160"/>
  <c r="CB54" i="160"/>
  <c r="CB56" i="160" s="1"/>
  <c r="CK45" i="160"/>
  <c r="CD45" i="160"/>
  <c r="CD54" i="160" s="1"/>
  <c r="CV35" i="166"/>
  <c r="DC35" i="166"/>
  <c r="DL51" i="160"/>
  <c r="DN51" i="160" s="1"/>
  <c r="DE51" i="160"/>
  <c r="DM49" i="166"/>
  <c r="CT34" i="166"/>
  <c r="CM34" i="166"/>
  <c r="CT32" i="160"/>
  <c r="CM32" i="160"/>
  <c r="DD45" i="160"/>
  <c r="CU54" i="160"/>
  <c r="CU56" i="160" s="1"/>
  <c r="DQ52" i="160"/>
  <c r="DN52" i="160"/>
  <c r="DN52" i="166"/>
  <c r="DQ52" i="166"/>
  <c r="DM29" i="160"/>
  <c r="DD42" i="160"/>
  <c r="DE29" i="160"/>
  <c r="CV47" i="166"/>
  <c r="DC47" i="166"/>
  <c r="N37" i="143"/>
  <c r="DE48" i="166"/>
  <c r="DL48" i="166"/>
  <c r="DN48" i="166" s="1"/>
  <c r="CK19" i="160"/>
  <c r="CK42" i="160" s="1"/>
  <c r="CD19" i="160"/>
  <c r="CD42" i="160" s="1"/>
  <c r="CT37" i="166"/>
  <c r="CM37" i="166"/>
  <c r="DE19" i="166"/>
  <c r="DL19" i="166"/>
  <c r="DN19" i="166" s="1"/>
  <c r="CT38" i="166"/>
  <c r="CM38" i="166"/>
  <c r="DC24" i="160"/>
  <c r="CV24" i="160"/>
  <c r="DE14" i="160"/>
  <c r="DL14" i="160"/>
  <c r="DN14" i="160" s="1"/>
  <c r="D14" i="145"/>
  <c r="E14" i="145"/>
  <c r="CV33" i="166"/>
  <c r="DC33" i="166"/>
  <c r="DL33" i="160"/>
  <c r="DN33" i="160" s="1"/>
  <c r="DE33" i="160"/>
  <c r="CT21" i="166"/>
  <c r="CM21" i="166"/>
  <c r="DM37" i="166"/>
  <c r="DL21" i="160"/>
  <c r="DN21" i="160" s="1"/>
  <c r="DE21" i="160"/>
  <c r="DC14" i="166"/>
  <c r="CV14" i="166"/>
  <c r="DE49" i="166"/>
  <c r="DL49" i="166"/>
  <c r="K34" i="143"/>
  <c r="O33" i="143"/>
  <c r="R133" i="143"/>
  <c r="Q133" i="143"/>
  <c r="F18" i="140"/>
  <c r="Q96" i="143"/>
  <c r="O97" i="143"/>
  <c r="S32" i="143"/>
  <c r="U32" i="143"/>
  <c r="O134" i="143"/>
  <c r="CM17" i="160"/>
  <c r="CT17" i="160"/>
  <c r="DC25" i="160"/>
  <c r="CV25" i="160"/>
  <c r="F18" i="141"/>
  <c r="CT4" i="160"/>
  <c r="CT4" i="166"/>
  <c r="BS3" i="161"/>
  <c r="BM8" i="161"/>
  <c r="CK8" i="160"/>
  <c r="CK8" i="166"/>
  <c r="CT46" i="166"/>
  <c r="CM46" i="166"/>
  <c r="N337" i="151"/>
  <c r="H27" i="152"/>
  <c r="P337" i="151" s="1"/>
  <c r="DL23" i="160"/>
  <c r="DN23" i="160" s="1"/>
  <c r="DE23" i="160"/>
  <c r="CT24" i="166"/>
  <c r="CM24" i="166"/>
  <c r="CV23" i="166"/>
  <c r="DC23" i="166"/>
  <c r="CK15" i="166"/>
  <c r="CD15" i="166"/>
  <c r="CD42" i="166" s="1"/>
  <c r="CD56" i="166" s="1"/>
  <c r="CB42" i="166"/>
  <c r="CB56" i="166" s="1"/>
  <c r="DC39" i="166"/>
  <c r="CV39" i="166"/>
  <c r="A68" i="151"/>
  <c r="U81" i="143"/>
  <c r="DL39" i="160"/>
  <c r="DN39" i="160" s="1"/>
  <c r="DE39" i="160"/>
  <c r="DL16" i="160"/>
  <c r="DE16" i="160"/>
  <c r="CV17" i="166"/>
  <c r="DC17" i="166"/>
  <c r="DE37" i="160"/>
  <c r="DL37" i="160"/>
  <c r="DN37" i="160" s="1"/>
  <c r="CM45" i="166"/>
  <c r="CT45" i="166"/>
  <c r="CK54" i="166"/>
  <c r="N20" i="151"/>
  <c r="J20" i="151"/>
  <c r="F20" i="151"/>
  <c r="O20" i="151"/>
  <c r="K20" i="151"/>
  <c r="AA21" i="151"/>
  <c r="DC27" i="166"/>
  <c r="CV27" i="166"/>
  <c r="DC20" i="166" l="1"/>
  <c r="CV20" i="166"/>
  <c r="CU5" i="160"/>
  <c r="CU6" i="160"/>
  <c r="CU7" i="160" s="1"/>
  <c r="CV38" i="160"/>
  <c r="DC38" i="160"/>
  <c r="BX18" i="161"/>
  <c r="DD4" i="160"/>
  <c r="DD5" i="160" s="1"/>
  <c r="DD6" i="160" s="1"/>
  <c r="DD7" i="160" s="1"/>
  <c r="T16" i="162" s="1"/>
  <c r="DD4" i="166"/>
  <c r="DD5" i="166" s="1"/>
  <c r="DD6" i="166" s="1"/>
  <c r="DD7" i="166" s="1"/>
  <c r="CK5" i="160"/>
  <c r="CK6" i="160" s="1"/>
  <c r="CK7" i="160" s="1"/>
  <c r="DC36" i="166"/>
  <c r="CV36" i="166"/>
  <c r="N110" i="143"/>
  <c r="G22" i="151"/>
  <c r="S22" i="151" s="1"/>
  <c r="DC25" i="166"/>
  <c r="CV25" i="166"/>
  <c r="DC34" i="160"/>
  <c r="CV34" i="160"/>
  <c r="M136" i="143"/>
  <c r="M80" i="143"/>
  <c r="M81" i="143"/>
  <c r="M138" i="143" s="1"/>
  <c r="DL47" i="160"/>
  <c r="DN47" i="160" s="1"/>
  <c r="DE47" i="160"/>
  <c r="DN49" i="166"/>
  <c r="DE28" i="160"/>
  <c r="DL28" i="160"/>
  <c r="DN28" i="160" s="1"/>
  <c r="U110" i="143"/>
  <c r="U111" i="143" s="1"/>
  <c r="S110" i="143"/>
  <c r="S111" i="143" s="1"/>
  <c r="Q111" i="143"/>
  <c r="CD56" i="160"/>
  <c r="DC26" i="160"/>
  <c r="CV26" i="160"/>
  <c r="BM4" i="161"/>
  <c r="CT5" i="160" s="1"/>
  <c r="CT6" i="160" s="1"/>
  <c r="CT7" i="160" s="1"/>
  <c r="BG5" i="161"/>
  <c r="F36" i="188"/>
  <c r="DE18" i="166"/>
  <c r="DM18" i="166"/>
  <c r="U80" i="143"/>
  <c r="U82" i="143" s="1"/>
  <c r="S80" i="143"/>
  <c r="S82" i="143" s="1"/>
  <c r="CV22" i="166"/>
  <c r="DC22" i="166"/>
  <c r="DE28" i="166"/>
  <c r="DL28" i="166"/>
  <c r="DN28" i="166" s="1"/>
  <c r="DD42" i="166"/>
  <c r="DC29" i="166"/>
  <c r="CV29" i="166"/>
  <c r="DQ50" i="160"/>
  <c r="DN50" i="160"/>
  <c r="DL16" i="166"/>
  <c r="DN16" i="166" s="1"/>
  <c r="DE16" i="166"/>
  <c r="CT45" i="160"/>
  <c r="CK54" i="160"/>
  <c r="CK56" i="160" s="1"/>
  <c r="CM45" i="160"/>
  <c r="CM54" i="160" s="1"/>
  <c r="DE36" i="160"/>
  <c r="DL36" i="160"/>
  <c r="DN36" i="160" s="1"/>
  <c r="C22" i="151"/>
  <c r="A22" i="150"/>
  <c r="DM50" i="166"/>
  <c r="DE50" i="166"/>
  <c r="DC27" i="160"/>
  <c r="CV27" i="160"/>
  <c r="DC32" i="166"/>
  <c r="CV32" i="166"/>
  <c r="DM49" i="160"/>
  <c r="DE49" i="160"/>
  <c r="P20" i="151"/>
  <c r="DD54" i="166"/>
  <c r="DC30" i="166"/>
  <c r="CV30" i="166"/>
  <c r="U21" i="143"/>
  <c r="S21" i="143"/>
  <c r="DC15" i="160"/>
  <c r="CV15" i="160"/>
  <c r="Q20" i="143"/>
  <c r="O22" i="143"/>
  <c r="O82" i="143"/>
  <c r="DC32" i="160"/>
  <c r="CV32" i="160"/>
  <c r="CT19" i="160"/>
  <c r="CM19" i="160"/>
  <c r="CM42" i="160" s="1"/>
  <c r="CM56" i="160" s="1"/>
  <c r="DE47" i="166"/>
  <c r="DL47" i="166"/>
  <c r="DN47" i="166" s="1"/>
  <c r="DQ29" i="160"/>
  <c r="DQ42" i="160" s="1"/>
  <c r="DM42" i="160"/>
  <c r="DN29" i="160"/>
  <c r="DE24" i="160"/>
  <c r="DL24" i="160"/>
  <c r="DN24" i="160" s="1"/>
  <c r="DQ49" i="166"/>
  <c r="DM54" i="166"/>
  <c r="DC37" i="166"/>
  <c r="CV37" i="166"/>
  <c r="DC34" i="166"/>
  <c r="CV34" i="166"/>
  <c r="CV38" i="166"/>
  <c r="DC38" i="166"/>
  <c r="DL35" i="166"/>
  <c r="DN35" i="166" s="1"/>
  <c r="DE35" i="166"/>
  <c r="DM45" i="160"/>
  <c r="DD54" i="160"/>
  <c r="DD56" i="160" s="1"/>
  <c r="K21" i="151"/>
  <c r="O21" i="151"/>
  <c r="J21" i="151"/>
  <c r="F21" i="151"/>
  <c r="AA22" i="151"/>
  <c r="N21" i="151"/>
  <c r="CM54" i="166"/>
  <c r="U96" i="143"/>
  <c r="U97" i="143" s="1"/>
  <c r="S96" i="143"/>
  <c r="S97" i="143" s="1"/>
  <c r="Q97" i="143"/>
  <c r="DQ37" i="166"/>
  <c r="DL27" i="166"/>
  <c r="DN27" i="166" s="1"/>
  <c r="DE27" i="166"/>
  <c r="CV45" i="166"/>
  <c r="CT54" i="166"/>
  <c r="DC45" i="166"/>
  <c r="CT15" i="166"/>
  <c r="CM15" i="166"/>
  <c r="CM42" i="166" s="1"/>
  <c r="CK42" i="166"/>
  <c r="CK56" i="166" s="1"/>
  <c r="CV46" i="166"/>
  <c r="DC46" i="166"/>
  <c r="DE25" i="160"/>
  <c r="DL25" i="160"/>
  <c r="DN25" i="160" s="1"/>
  <c r="DL14" i="166"/>
  <c r="DE14" i="166"/>
  <c r="L20" i="151"/>
  <c r="DL17" i="166"/>
  <c r="DN17" i="166" s="1"/>
  <c r="DE17" i="166"/>
  <c r="DE23" i="166"/>
  <c r="DL23" i="166"/>
  <c r="DN23" i="166" s="1"/>
  <c r="CT8" i="166"/>
  <c r="CT8" i="160"/>
  <c r="DC17" i="160"/>
  <c r="CV17" i="160"/>
  <c r="CT42" i="160"/>
  <c r="C19" i="140"/>
  <c r="DE33" i="166"/>
  <c r="DL33" i="166"/>
  <c r="DN33" i="166" s="1"/>
  <c r="DC4" i="166"/>
  <c r="BY3" i="161"/>
  <c r="DC4" i="160"/>
  <c r="BS8" i="161"/>
  <c r="CV21" i="166"/>
  <c r="DC21" i="166"/>
  <c r="A69" i="151"/>
  <c r="DC24" i="166"/>
  <c r="CV24" i="166"/>
  <c r="DN16" i="160"/>
  <c r="DE39" i="166"/>
  <c r="DL39" i="166"/>
  <c r="DN39" i="166" s="1"/>
  <c r="Q33" i="143"/>
  <c r="F14" i="145"/>
  <c r="C19" i="141"/>
  <c r="K35" i="143"/>
  <c r="O34" i="143"/>
  <c r="Q34" i="143" s="1"/>
  <c r="Q134" i="143"/>
  <c r="R134" i="143"/>
  <c r="DM42" i="166"/>
  <c r="DD56" i="166" l="1"/>
  <c r="DE25" i="166"/>
  <c r="DL25" i="166"/>
  <c r="DN25" i="166" s="1"/>
  <c r="N111" i="143"/>
  <c r="N114" i="143" s="1"/>
  <c r="N138" i="143"/>
  <c r="N139" i="143" s="1"/>
  <c r="DM4" i="160"/>
  <c r="DM5" i="160" s="1"/>
  <c r="DM6" i="160" s="1"/>
  <c r="DM7" i="160" s="1"/>
  <c r="N16" i="162" s="1"/>
  <c r="DM4" i="166"/>
  <c r="DE38" i="160"/>
  <c r="DL38" i="160"/>
  <c r="DN38" i="160" s="1"/>
  <c r="DL20" i="166"/>
  <c r="DN20" i="166" s="1"/>
  <c r="DE20" i="166"/>
  <c r="DL34" i="160"/>
  <c r="DN34" i="160" s="1"/>
  <c r="DE34" i="160"/>
  <c r="DL36" i="166"/>
  <c r="DN36" i="166" s="1"/>
  <c r="DE36" i="166"/>
  <c r="BS4" i="161"/>
  <c r="DC5" i="160" s="1"/>
  <c r="DC6" i="160" s="1"/>
  <c r="DC7" i="160" s="1"/>
  <c r="T14" i="162" s="1"/>
  <c r="BM5" i="161"/>
  <c r="DM56" i="166"/>
  <c r="CT5" i="166"/>
  <c r="CT6" i="166" s="1"/>
  <c r="CT7" i="166" s="1"/>
  <c r="DE26" i="160"/>
  <c r="DL26" i="160"/>
  <c r="DN26" i="160" s="1"/>
  <c r="M137" i="143"/>
  <c r="M139" i="143" s="1"/>
  <c r="M82" i="143"/>
  <c r="M114" i="143" s="1"/>
  <c r="F37" i="188"/>
  <c r="DE30" i="166"/>
  <c r="DL30" i="166"/>
  <c r="DN30" i="166" s="1"/>
  <c r="DE22" i="166"/>
  <c r="DL22" i="166"/>
  <c r="DN22" i="166" s="1"/>
  <c r="DN49" i="160"/>
  <c r="DQ49" i="160"/>
  <c r="DC45" i="160"/>
  <c r="CT54" i="160"/>
  <c r="CT56" i="160" s="1"/>
  <c r="CV45" i="160"/>
  <c r="CV54" i="160" s="1"/>
  <c r="A23" i="150"/>
  <c r="A24" i="150" s="1"/>
  <c r="G25" i="151" s="1"/>
  <c r="S25" i="151" s="1"/>
  <c r="B24" i="151"/>
  <c r="C23" i="151"/>
  <c r="G23" i="151"/>
  <c r="S23" i="151" s="1"/>
  <c r="B23" i="151"/>
  <c r="D23" i="151"/>
  <c r="Q22" i="143"/>
  <c r="S20" i="143"/>
  <c r="S22" i="143" s="1"/>
  <c r="U20" i="143"/>
  <c r="U22" i="143" s="1"/>
  <c r="DE32" i="166"/>
  <c r="DL32" i="166"/>
  <c r="DN32" i="166" s="1"/>
  <c r="DL29" i="166"/>
  <c r="DN29" i="166" s="1"/>
  <c r="DE29" i="166"/>
  <c r="DN18" i="166"/>
  <c r="DQ18" i="166"/>
  <c r="DQ42" i="166" s="1"/>
  <c r="DE15" i="160"/>
  <c r="DL15" i="160"/>
  <c r="DN15" i="160" s="1"/>
  <c r="DL27" i="160"/>
  <c r="DN27" i="160" s="1"/>
  <c r="DE27" i="160"/>
  <c r="DQ50" i="166"/>
  <c r="DQ54" i="166" s="1"/>
  <c r="DN50" i="166"/>
  <c r="DL37" i="166"/>
  <c r="DN37" i="166" s="1"/>
  <c r="DE37" i="166"/>
  <c r="DQ45" i="160"/>
  <c r="DM54" i="160"/>
  <c r="DM56" i="160" s="1"/>
  <c r="DC19" i="160"/>
  <c r="DC42" i="160" s="1"/>
  <c r="CV19" i="160"/>
  <c r="CV42" i="160" s="1"/>
  <c r="DL34" i="166"/>
  <c r="DN34" i="166" s="1"/>
  <c r="DE34" i="166"/>
  <c r="A25" i="150"/>
  <c r="C26" i="151" s="1"/>
  <c r="C25" i="151"/>
  <c r="P21" i="151"/>
  <c r="DE38" i="166"/>
  <c r="DL38" i="166"/>
  <c r="DN38" i="166" s="1"/>
  <c r="DL32" i="160"/>
  <c r="DN32" i="160" s="1"/>
  <c r="DE32" i="160"/>
  <c r="L21" i="151"/>
  <c r="DL4" i="160"/>
  <c r="DL4" i="166"/>
  <c r="BY8" i="161"/>
  <c r="DC8" i="166"/>
  <c r="DC8" i="160"/>
  <c r="T12" i="162" s="1"/>
  <c r="C15" i="145"/>
  <c r="U33" i="143"/>
  <c r="S33" i="143"/>
  <c r="O135" i="143"/>
  <c r="DC5" i="166"/>
  <c r="DC6" i="166" s="1"/>
  <c r="DC7" i="166" s="1"/>
  <c r="CM56" i="166"/>
  <c r="CV15" i="166"/>
  <c r="CV42" i="166" s="1"/>
  <c r="DC15" i="166"/>
  <c r="CT42" i="166"/>
  <c r="CT56" i="166" s="1"/>
  <c r="DL45" i="166"/>
  <c r="DE45" i="166"/>
  <c r="DC54" i="166"/>
  <c r="N22" i="151"/>
  <c r="K22" i="151"/>
  <c r="AA23" i="151"/>
  <c r="O22" i="151"/>
  <c r="F22" i="151"/>
  <c r="J22" i="151"/>
  <c r="CV54" i="166"/>
  <c r="DN14" i="166"/>
  <c r="D19" i="140"/>
  <c r="E19" i="140"/>
  <c r="S34" i="143"/>
  <c r="U34" i="143"/>
  <c r="O136" i="143"/>
  <c r="A70" i="151"/>
  <c r="K36" i="143"/>
  <c r="O35" i="143"/>
  <c r="Q35" i="143" s="1"/>
  <c r="DE21" i="166"/>
  <c r="DL21" i="166"/>
  <c r="DN21" i="166" s="1"/>
  <c r="D19" i="141"/>
  <c r="E19" i="141"/>
  <c r="DE17" i="160"/>
  <c r="DL17" i="160"/>
  <c r="DL24" i="166"/>
  <c r="DN24" i="166" s="1"/>
  <c r="DE24" i="166"/>
  <c r="DL46" i="166"/>
  <c r="DN46" i="166" s="1"/>
  <c r="DE46" i="166"/>
  <c r="B25" i="151" l="1"/>
  <c r="P16" i="162"/>
  <c r="C42" i="162" s="1"/>
  <c r="R16" i="162"/>
  <c r="C44" i="162" s="1"/>
  <c r="U16" i="162"/>
  <c r="C46" i="162" s="1"/>
  <c r="CV56" i="160"/>
  <c r="DM5" i="166"/>
  <c r="DM6" i="166" s="1"/>
  <c r="DM7" i="166" s="1"/>
  <c r="DQ54" i="160"/>
  <c r="DQ56" i="160" s="1"/>
  <c r="G26" i="151"/>
  <c r="S26" i="151" s="1"/>
  <c r="DQ56" i="166"/>
  <c r="BY4" i="161"/>
  <c r="BY5" i="161" s="1"/>
  <c r="BS5" i="161"/>
  <c r="F38" i="188"/>
  <c r="DL45" i="160"/>
  <c r="DC54" i="160"/>
  <c r="DC56" i="160" s="1"/>
  <c r="DE45" i="160"/>
  <c r="DE54" i="160" s="1"/>
  <c r="G24" i="151"/>
  <c r="S24" i="151" s="1"/>
  <c r="D24" i="151"/>
  <c r="DE19" i="160"/>
  <c r="DE42" i="160" s="1"/>
  <c r="DE56" i="160" s="1"/>
  <c r="DL19" i="160"/>
  <c r="DN19" i="160" s="1"/>
  <c r="A26" i="150"/>
  <c r="D27" i="151" s="1"/>
  <c r="AA24" i="151"/>
  <c r="J23" i="151"/>
  <c r="N23" i="151"/>
  <c r="F23" i="151"/>
  <c r="O23" i="151"/>
  <c r="K23" i="151"/>
  <c r="P22" i="151"/>
  <c r="Q135" i="143"/>
  <c r="R135" i="143"/>
  <c r="S35" i="143"/>
  <c r="U35" i="143"/>
  <c r="O137" i="143"/>
  <c r="R137" i="143" s="1"/>
  <c r="F19" i="140"/>
  <c r="D15" i="145"/>
  <c r="E15" i="145"/>
  <c r="R136" i="143"/>
  <c r="Q136" i="143"/>
  <c r="O36" i="143"/>
  <c r="DE54" i="166"/>
  <c r="DL54" i="166"/>
  <c r="DN45" i="166"/>
  <c r="DN54" i="166" s="1"/>
  <c r="DE15" i="166"/>
  <c r="DE42" i="166" s="1"/>
  <c r="DL15" i="166"/>
  <c r="DC42" i="166"/>
  <c r="DC56" i="166" s="1"/>
  <c r="CV56" i="166"/>
  <c r="DL8" i="166"/>
  <c r="DL8" i="160"/>
  <c r="N12" i="162" s="1"/>
  <c r="F19" i="141"/>
  <c r="C20" i="141" s="1"/>
  <c r="E20" i="141" s="1"/>
  <c r="DN17" i="160"/>
  <c r="A71" i="151"/>
  <c r="L22" i="151"/>
  <c r="C27" i="151" l="1"/>
  <c r="DL5" i="166"/>
  <c r="DL6" i="166" s="1"/>
  <c r="DL7" i="166" s="1"/>
  <c r="DN42" i="160"/>
  <c r="DN56" i="160" s="1"/>
  <c r="DE56" i="166"/>
  <c r="DL42" i="160"/>
  <c r="DL5" i="160"/>
  <c r="DL6" i="160" s="1"/>
  <c r="DL7" i="160" s="1"/>
  <c r="N14" i="162" s="1"/>
  <c r="F39" i="188"/>
  <c r="G27" i="151"/>
  <c r="S27" i="151" s="1"/>
  <c r="DL54" i="160"/>
  <c r="DN45" i="160"/>
  <c r="DN54" i="160" s="1"/>
  <c r="A27" i="150"/>
  <c r="B28" i="151" s="1"/>
  <c r="Q139" i="143"/>
  <c r="Q36" i="143"/>
  <c r="O37" i="143"/>
  <c r="O114" i="143" s="1"/>
  <c r="DN15" i="166"/>
  <c r="DN42" i="166" s="1"/>
  <c r="DN56" i="166" s="1"/>
  <c r="DL42" i="166"/>
  <c r="DL56" i="166" s="1"/>
  <c r="F15" i="145"/>
  <c r="A72" i="151"/>
  <c r="C20" i="140"/>
  <c r="P23" i="151"/>
  <c r="W12" i="162"/>
  <c r="C30" i="162" s="1"/>
  <c r="R12" i="162"/>
  <c r="C26" i="162" s="1"/>
  <c r="U12" i="162"/>
  <c r="C28" i="162" s="1"/>
  <c r="P12" i="162"/>
  <c r="C24" i="162" s="1"/>
  <c r="L23" i="151"/>
  <c r="D20" i="141"/>
  <c r="F24" i="151"/>
  <c r="O24" i="151"/>
  <c r="K24" i="151"/>
  <c r="J24" i="151"/>
  <c r="L24" i="151" s="1"/>
  <c r="N24" i="151"/>
  <c r="AA25" i="151"/>
  <c r="DL56" i="160" l="1"/>
  <c r="C28" i="151"/>
  <c r="R14" i="162"/>
  <c r="C36" i="162" s="1"/>
  <c r="P14" i="162"/>
  <c r="C34" i="162" s="1"/>
  <c r="U14" i="162"/>
  <c r="C38" i="162" s="1"/>
  <c r="P24" i="151"/>
  <c r="F40" i="188"/>
  <c r="A28" i="150"/>
  <c r="A29" i="150" s="1"/>
  <c r="A30" i="150" s="1"/>
  <c r="A31" i="150" s="1"/>
  <c r="D28" i="151"/>
  <c r="C16" i="145"/>
  <c r="A73" i="151"/>
  <c r="F20" i="141"/>
  <c r="U36" i="143"/>
  <c r="U37" i="143" s="1"/>
  <c r="U114" i="143" s="1"/>
  <c r="S36" i="143"/>
  <c r="S37" i="143" s="1"/>
  <c r="S114" i="143" s="1"/>
  <c r="S117" i="143" s="1"/>
  <c r="O138" i="143"/>
  <c r="Q37" i="143"/>
  <c r="Q114" i="143" s="1"/>
  <c r="N25" i="151"/>
  <c r="J25" i="151"/>
  <c r="K25" i="151"/>
  <c r="AA26" i="151"/>
  <c r="F25" i="151"/>
  <c r="O25" i="151"/>
  <c r="D20" i="140"/>
  <c r="F20" i="140" s="1"/>
  <c r="E20" i="140"/>
  <c r="L25" i="151" l="1"/>
  <c r="F41" i="188"/>
  <c r="S118" i="143"/>
  <c r="S120" i="143" s="1"/>
  <c r="U117" i="143"/>
  <c r="U118" i="143" s="1"/>
  <c r="U120" i="143" s="1"/>
  <c r="A74" i="151"/>
  <c r="D16" i="145"/>
  <c r="E16" i="145"/>
  <c r="R138" i="143"/>
  <c r="R139" i="143" s="1"/>
  <c r="O139" i="143"/>
  <c r="C21" i="140"/>
  <c r="D21" i="140" s="1"/>
  <c r="F21" i="140" s="1"/>
  <c r="K26" i="151"/>
  <c r="N26" i="151"/>
  <c r="AA27" i="151"/>
  <c r="J26" i="151"/>
  <c r="F26" i="151"/>
  <c r="O26" i="151"/>
  <c r="C21" i="141"/>
  <c r="P25" i="151"/>
  <c r="A32" i="150"/>
  <c r="F42" i="188" l="1"/>
  <c r="E21" i="140"/>
  <c r="P26" i="151"/>
  <c r="L26" i="151"/>
  <c r="C22" i="140"/>
  <c r="D22" i="140" s="1"/>
  <c r="F22" i="140" s="1"/>
  <c r="F16" i="145"/>
  <c r="AA28" i="151"/>
  <c r="O27" i="151"/>
  <c r="F27" i="151"/>
  <c r="N27" i="151"/>
  <c r="J27" i="151"/>
  <c r="K27" i="151"/>
  <c r="D21" i="141"/>
  <c r="F21" i="141" s="1"/>
  <c r="E21" i="141"/>
  <c r="A75" i="151"/>
  <c r="A33" i="150"/>
  <c r="A34" i="150" s="1"/>
  <c r="A35" i="150" s="1"/>
  <c r="A36" i="150" s="1"/>
  <c r="A37" i="150" s="1"/>
  <c r="A38" i="150" s="1"/>
  <c r="A39" i="150" s="1"/>
  <c r="A40" i="150" s="1"/>
  <c r="A41" i="150" s="1"/>
  <c r="A42" i="150" s="1"/>
  <c r="A43" i="150" s="1"/>
  <c r="A44" i="150" s="1"/>
  <c r="A45" i="150" s="1"/>
  <c r="A46" i="150" s="1"/>
  <c r="A47" i="150" s="1"/>
  <c r="A48" i="150" s="1"/>
  <c r="A49" i="150" s="1"/>
  <c r="A50" i="150" s="1"/>
  <c r="A51" i="150" s="1"/>
  <c r="A52" i="150" s="1"/>
  <c r="A53" i="150" s="1"/>
  <c r="A54" i="150" s="1"/>
  <c r="A55" i="150" s="1"/>
  <c r="A56" i="150" s="1"/>
  <c r="A57" i="150" s="1"/>
  <c r="A58" i="150" s="1"/>
  <c r="A59" i="150" s="1"/>
  <c r="A60" i="150" s="1"/>
  <c r="A61" i="150" s="1"/>
  <c r="A62" i="150" s="1"/>
  <c r="A63" i="150" s="1"/>
  <c r="A64" i="150" s="1"/>
  <c r="A65" i="150" s="1"/>
  <c r="A66" i="150" s="1"/>
  <c r="A67" i="150" s="1"/>
  <c r="A68" i="150" s="1"/>
  <c r="A69" i="150" s="1"/>
  <c r="A70" i="150" s="1"/>
  <c r="A71" i="150" s="1"/>
  <c r="A72" i="150" s="1"/>
  <c r="A73" i="150" s="1"/>
  <c r="A74" i="150" s="1"/>
  <c r="A75" i="150" s="1"/>
  <c r="A76" i="150" s="1"/>
  <c r="A77" i="150" s="1"/>
  <c r="A78" i="150" s="1"/>
  <c r="A79" i="150" s="1"/>
  <c r="A80" i="150" s="1"/>
  <c r="A81" i="150" s="1"/>
  <c r="A82" i="150" s="1"/>
  <c r="A83" i="150" s="1"/>
  <c r="A84" i="150" s="1"/>
  <c r="A85" i="150" s="1"/>
  <c r="A86" i="150" s="1"/>
  <c r="A87" i="150" s="1"/>
  <c r="A88" i="150" s="1"/>
  <c r="A89" i="150" s="1"/>
  <c r="A90" i="150" s="1"/>
  <c r="A91" i="150" s="1"/>
  <c r="A92" i="150" s="1"/>
  <c r="A93" i="150" s="1"/>
  <c r="A94" i="150" s="1"/>
  <c r="A95" i="150" s="1"/>
  <c r="A96" i="150" s="1"/>
  <c r="A97" i="150" s="1"/>
  <c r="A98" i="150" s="1"/>
  <c r="A99" i="150" s="1"/>
  <c r="A100" i="150" s="1"/>
  <c r="A101" i="150" s="1"/>
  <c r="A102" i="150" s="1"/>
  <c r="A103" i="150" s="1"/>
  <c r="A104" i="150" s="1"/>
  <c r="A105" i="150" s="1"/>
  <c r="A106" i="150" s="1"/>
  <c r="A107" i="150" s="1"/>
  <c r="A108" i="150" s="1"/>
  <c r="A109" i="150" s="1"/>
  <c r="A110" i="150" s="1"/>
  <c r="A111" i="150" s="1"/>
  <c r="A112" i="150" s="1"/>
  <c r="A113" i="150" s="1"/>
  <c r="A114" i="150" s="1"/>
  <c r="A115" i="150" s="1"/>
  <c r="A116" i="150" s="1"/>
  <c r="A117" i="150" s="1"/>
  <c r="A118" i="150" s="1"/>
  <c r="A119" i="150" s="1"/>
  <c r="A120" i="150" s="1"/>
  <c r="A121" i="150" s="1"/>
  <c r="A122" i="150" s="1"/>
  <c r="A123" i="150" s="1"/>
  <c r="A124" i="150" s="1"/>
  <c r="A125" i="150" s="1"/>
  <c r="A126" i="150" s="1"/>
  <c r="A127" i="150" s="1"/>
  <c r="A128" i="150" s="1"/>
  <c r="A129" i="150" s="1"/>
  <c r="A130" i="150" s="1"/>
  <c r="A131" i="150" s="1"/>
  <c r="A132" i="150" s="1"/>
  <c r="A133" i="150" s="1"/>
  <c r="A134" i="150" s="1"/>
  <c r="A135" i="150" s="1"/>
  <c r="A136" i="150" s="1"/>
  <c r="A137" i="150" s="1"/>
  <c r="A138" i="150" s="1"/>
  <c r="A139" i="150" s="1"/>
  <c r="A140" i="150" s="1"/>
  <c r="A141" i="150" s="1"/>
  <c r="A142" i="150" s="1"/>
  <c r="A143" i="150" s="1"/>
  <c r="A144" i="150" s="1"/>
  <c r="A145" i="150" s="1"/>
  <c r="A146" i="150" s="1"/>
  <c r="A147" i="150" s="1"/>
  <c r="A148" i="150" s="1"/>
  <c r="A149" i="150" s="1"/>
  <c r="A150" i="150" s="1"/>
  <c r="A151" i="150" s="1"/>
  <c r="A152" i="150" s="1"/>
  <c r="A153" i="150" s="1"/>
  <c r="A154" i="150" s="1"/>
  <c r="A155" i="150" s="1"/>
  <c r="A156" i="150" s="1"/>
  <c r="A157" i="150" s="1"/>
  <c r="A158" i="150" s="1"/>
  <c r="A159" i="150" s="1"/>
  <c r="A160" i="150" s="1"/>
  <c r="A161" i="150" s="1"/>
  <c r="A162" i="150" s="1"/>
  <c r="A163" i="150" s="1"/>
  <c r="A164" i="150" s="1"/>
  <c r="A165" i="150" s="1"/>
  <c r="A166" i="150" s="1"/>
  <c r="A167" i="150" s="1"/>
  <c r="A168" i="150" s="1"/>
  <c r="A169" i="150" s="1"/>
  <c r="A170" i="150" s="1"/>
  <c r="A171" i="150" s="1"/>
  <c r="A172" i="150" s="1"/>
  <c r="A173" i="150" s="1"/>
  <c r="A174" i="150" s="1"/>
  <c r="A175" i="150" s="1"/>
  <c r="A176" i="150" s="1"/>
  <c r="A177" i="150" s="1"/>
  <c r="A178" i="150" s="1"/>
  <c r="A179" i="150" s="1"/>
  <c r="A180" i="150" s="1"/>
  <c r="A181" i="150" s="1"/>
  <c r="A182" i="150" s="1"/>
  <c r="A183" i="150" s="1"/>
  <c r="A184" i="150" s="1"/>
  <c r="A185" i="150" s="1"/>
  <c r="A186" i="150" s="1"/>
  <c r="A187" i="150" s="1"/>
  <c r="A188" i="150" s="1"/>
  <c r="A189" i="150" s="1"/>
  <c r="A190" i="150" s="1"/>
  <c r="A191" i="150" s="1"/>
  <c r="A192" i="150" s="1"/>
  <c r="A193" i="150" s="1"/>
  <c r="A194" i="150" s="1"/>
  <c r="A195" i="150" s="1"/>
  <c r="A196" i="150" s="1"/>
  <c r="A197" i="150" s="1"/>
  <c r="A198" i="150" s="1"/>
  <c r="A199" i="150" s="1"/>
  <c r="A200" i="150" s="1"/>
  <c r="A201" i="150" s="1"/>
  <c r="A202" i="150" s="1"/>
  <c r="A203" i="150" s="1"/>
  <c r="A204" i="150" s="1"/>
  <c r="A205" i="150" s="1"/>
  <c r="A206" i="150" s="1"/>
  <c r="A207" i="150" s="1"/>
  <c r="A208" i="150" s="1"/>
  <c r="A209" i="150" s="1"/>
  <c r="A210" i="150" s="1"/>
  <c r="A211" i="150" s="1"/>
  <c r="A212" i="150" s="1"/>
  <c r="A213" i="150" s="1"/>
  <c r="A214" i="150" s="1"/>
  <c r="A215" i="150" s="1"/>
  <c r="A216" i="150" s="1"/>
  <c r="A217" i="150" s="1"/>
  <c r="A218" i="150" s="1"/>
  <c r="A219" i="150" s="1"/>
  <c r="A220" i="150" s="1"/>
  <c r="A221" i="150" s="1"/>
  <c r="A222" i="150" s="1"/>
  <c r="A223" i="150" s="1"/>
  <c r="A224" i="150" s="1"/>
  <c r="A225" i="150" s="1"/>
  <c r="A226" i="150" s="1"/>
  <c r="A227" i="150" s="1"/>
  <c r="A228" i="150" s="1"/>
  <c r="A229" i="150" s="1"/>
  <c r="A230" i="150" s="1"/>
  <c r="A231" i="150" s="1"/>
  <c r="A232" i="150" s="1"/>
  <c r="A233" i="150" s="1"/>
  <c r="A234" i="150" s="1"/>
  <c r="A235" i="150" s="1"/>
  <c r="A236" i="150" s="1"/>
  <c r="A237" i="150" s="1"/>
  <c r="A238" i="150" s="1"/>
  <c r="A239" i="150" s="1"/>
  <c r="A240" i="150" s="1"/>
  <c r="A241" i="150" s="1"/>
  <c r="A242" i="150" s="1"/>
  <c r="A243" i="150" s="1"/>
  <c r="A244" i="150" s="1"/>
  <c r="A245" i="150" s="1"/>
  <c r="A246" i="150" s="1"/>
  <c r="A247" i="150" s="1"/>
  <c r="A248" i="150" s="1"/>
  <c r="A249" i="150" s="1"/>
  <c r="A250" i="150" s="1"/>
  <c r="A251" i="150" s="1"/>
  <c r="A252" i="150" s="1"/>
  <c r="A253" i="150" s="1"/>
  <c r="A254" i="150" s="1"/>
  <c r="A255" i="150" s="1"/>
  <c r="A256" i="150" s="1"/>
  <c r="A257" i="150" s="1"/>
  <c r="A258" i="150" s="1"/>
  <c r="A259" i="150" s="1"/>
  <c r="A260" i="150" s="1"/>
  <c r="A261" i="150" s="1"/>
  <c r="A262" i="150" s="1"/>
  <c r="A263" i="150" s="1"/>
  <c r="A264" i="150" s="1"/>
  <c r="A265" i="150" s="1"/>
  <c r="A266" i="150" s="1"/>
  <c r="A267" i="150" s="1"/>
  <c r="A268" i="150" s="1"/>
  <c r="A269" i="150" s="1"/>
  <c r="A270" i="150" s="1"/>
  <c r="A271" i="150" s="1"/>
  <c r="A272" i="150" s="1"/>
  <c r="A273" i="150" s="1"/>
  <c r="A274" i="150" s="1"/>
  <c r="A275" i="150" s="1"/>
  <c r="A276" i="150" s="1"/>
  <c r="A277" i="150" s="1"/>
  <c r="A278" i="150" s="1"/>
  <c r="A279" i="150" s="1"/>
  <c r="A280" i="150" s="1"/>
  <c r="A281" i="150" s="1"/>
  <c r="A282" i="150" s="1"/>
  <c r="A283" i="150" s="1"/>
  <c r="A284" i="150" s="1"/>
  <c r="A285" i="150" s="1"/>
  <c r="A286" i="150" s="1"/>
  <c r="A287" i="150" s="1"/>
  <c r="A288" i="150" s="1"/>
  <c r="A289" i="150" s="1"/>
  <c r="A290" i="150" s="1"/>
  <c r="A291" i="150" s="1"/>
  <c r="A292" i="150" s="1"/>
  <c r="A293" i="150" s="1"/>
  <c r="A294" i="150" s="1"/>
  <c r="A295" i="150" s="1"/>
  <c r="A296" i="150" s="1"/>
  <c r="A297" i="150" s="1"/>
  <c r="A298" i="150" s="1"/>
  <c r="A299" i="150" s="1"/>
  <c r="A300" i="150" s="1"/>
  <c r="A301" i="150" s="1"/>
  <c r="A302" i="150" s="1"/>
  <c r="A303" i="150" s="1"/>
  <c r="A304" i="150" s="1"/>
  <c r="A305" i="150" s="1"/>
  <c r="A306" i="150" s="1"/>
  <c r="A307" i="150" s="1"/>
  <c r="A308" i="150" s="1"/>
  <c r="A309" i="150" s="1"/>
  <c r="A310" i="150" s="1"/>
  <c r="A311" i="150" s="1"/>
  <c r="A312" i="150" s="1"/>
  <c r="A313" i="150" s="1"/>
  <c r="A314" i="150" s="1"/>
  <c r="A315" i="150" s="1"/>
  <c r="A316" i="150" s="1"/>
  <c r="A317" i="150" s="1"/>
  <c r="A318" i="150" s="1"/>
  <c r="A319" i="150" s="1"/>
  <c r="A320" i="150" s="1"/>
  <c r="A321" i="150" s="1"/>
  <c r="A322" i="150" s="1"/>
  <c r="A323" i="150" s="1"/>
  <c r="A324" i="150" s="1"/>
  <c r="A325" i="150" s="1"/>
  <c r="A326" i="150" s="1"/>
  <c r="A327" i="150" s="1"/>
  <c r="A328" i="150" s="1"/>
  <c r="G67" i="151" s="1"/>
  <c r="F43" i="188" l="1"/>
  <c r="F44" i="188" s="1"/>
  <c r="F47" i="188" s="1"/>
  <c r="L27" i="151"/>
  <c r="G70" i="151"/>
  <c r="C23" i="140"/>
  <c r="D23" i="140" s="1"/>
  <c r="F23" i="140" s="1"/>
  <c r="D67" i="151"/>
  <c r="C72" i="151"/>
  <c r="C74" i="151"/>
  <c r="D74" i="151"/>
  <c r="C71" i="151"/>
  <c r="B70" i="151"/>
  <c r="G73" i="151"/>
  <c r="A76" i="151"/>
  <c r="G75" i="151"/>
  <c r="B75" i="151"/>
  <c r="D75" i="151"/>
  <c r="C75" i="151"/>
  <c r="P27" i="151"/>
  <c r="B74" i="151"/>
  <c r="F28" i="151"/>
  <c r="J28" i="151"/>
  <c r="AA29" i="151"/>
  <c r="O28" i="151"/>
  <c r="K28" i="151"/>
  <c r="N28" i="151"/>
  <c r="C69" i="151"/>
  <c r="D70" i="151"/>
  <c r="D73" i="151"/>
  <c r="C17" i="145"/>
  <c r="D25" i="151"/>
  <c r="C24" i="151"/>
  <c r="D42" i="151"/>
  <c r="B26" i="151"/>
  <c r="D59" i="151"/>
  <c r="D56" i="151"/>
  <c r="D55" i="151"/>
  <c r="B39" i="151"/>
  <c r="G32" i="151"/>
  <c r="S32" i="151" s="1"/>
  <c r="G50" i="151"/>
  <c r="B43" i="151"/>
  <c r="B41" i="151"/>
  <c r="B54" i="151"/>
  <c r="D39" i="151"/>
  <c r="G46" i="151"/>
  <c r="G40" i="151"/>
  <c r="S40" i="151" s="1"/>
  <c r="B49" i="151"/>
  <c r="B29" i="151"/>
  <c r="G28" i="151"/>
  <c r="S28" i="151" s="1"/>
  <c r="C31" i="151"/>
  <c r="C39" i="151"/>
  <c r="D38" i="151"/>
  <c r="G59" i="151"/>
  <c r="D57" i="151"/>
  <c r="B35" i="151"/>
  <c r="C49" i="151"/>
  <c r="C55" i="151"/>
  <c r="D40" i="151"/>
  <c r="G36" i="151"/>
  <c r="S36" i="151" s="1"/>
  <c r="C35" i="151"/>
  <c r="C29" i="151"/>
  <c r="B48" i="151"/>
  <c r="G43" i="151"/>
  <c r="G53" i="151"/>
  <c r="D26" i="151"/>
  <c r="C52" i="151"/>
  <c r="G47" i="151"/>
  <c r="G33" i="151"/>
  <c r="S33" i="151" s="1"/>
  <c r="B58" i="151"/>
  <c r="B59" i="151"/>
  <c r="D47" i="151"/>
  <c r="B62" i="151"/>
  <c r="G51" i="151"/>
  <c r="G31" i="151"/>
  <c r="S31" i="151" s="1"/>
  <c r="G44" i="151"/>
  <c r="B47" i="151"/>
  <c r="D41" i="151"/>
  <c r="B40" i="151"/>
  <c r="B50" i="151"/>
  <c r="G35" i="151"/>
  <c r="S35" i="151" s="1"/>
  <c r="B45" i="151"/>
  <c r="B55" i="151"/>
  <c r="B27" i="151"/>
  <c r="G29" i="151"/>
  <c r="S29" i="151" s="1"/>
  <c r="B53" i="151"/>
  <c r="D61" i="151"/>
  <c r="B34" i="151"/>
  <c r="B44" i="151"/>
  <c r="G30" i="151"/>
  <c r="S30" i="151" s="1"/>
  <c r="C45" i="151"/>
  <c r="C44" i="151"/>
  <c r="D50" i="151"/>
  <c r="G63" i="151"/>
  <c r="C53" i="151"/>
  <c r="C51" i="151"/>
  <c r="G45" i="151"/>
  <c r="D30" i="151"/>
  <c r="C56" i="151"/>
  <c r="D34" i="151"/>
  <c r="B30" i="151"/>
  <c r="B32" i="151"/>
  <c r="G60" i="151"/>
  <c r="G49" i="151"/>
  <c r="G42" i="151"/>
  <c r="B42" i="151"/>
  <c r="C57" i="151"/>
  <c r="D29" i="151"/>
  <c r="C40" i="151"/>
  <c r="D35" i="151"/>
  <c r="B51" i="151"/>
  <c r="C42" i="151"/>
  <c r="C34" i="151"/>
  <c r="C59" i="151"/>
  <c r="G54" i="151"/>
  <c r="C41" i="151"/>
  <c r="C38" i="151"/>
  <c r="G56" i="151"/>
  <c r="C37" i="151"/>
  <c r="B60" i="151"/>
  <c r="D60" i="151"/>
  <c r="G62" i="151"/>
  <c r="C48" i="151"/>
  <c r="C30" i="151"/>
  <c r="B31" i="151"/>
  <c r="C33" i="151"/>
  <c r="C43" i="151"/>
  <c r="D53" i="151"/>
  <c r="D43" i="151"/>
  <c r="C58" i="151"/>
  <c r="G34" i="151"/>
  <c r="S34" i="151" s="1"/>
  <c r="B46" i="151"/>
  <c r="G57" i="151"/>
  <c r="B38" i="151"/>
  <c r="C54" i="151"/>
  <c r="C50" i="151"/>
  <c r="G38" i="151"/>
  <c r="S38" i="151" s="1"/>
  <c r="D58" i="151"/>
  <c r="D37" i="151"/>
  <c r="C46" i="151"/>
  <c r="D31" i="151"/>
  <c r="G52" i="151"/>
  <c r="D51" i="151"/>
  <c r="B33" i="151"/>
  <c r="D44" i="151"/>
  <c r="D46" i="151"/>
  <c r="B36" i="151"/>
  <c r="C61" i="151"/>
  <c r="C36" i="151"/>
  <c r="C60" i="151"/>
  <c r="D36" i="151"/>
  <c r="B52" i="151"/>
  <c r="D32" i="151"/>
  <c r="D52" i="151"/>
  <c r="D48" i="151"/>
  <c r="G37" i="151"/>
  <c r="S37" i="151" s="1"/>
  <c r="D33" i="151"/>
  <c r="C62" i="151"/>
  <c r="B57" i="151"/>
  <c r="B56" i="151"/>
  <c r="G48" i="151"/>
  <c r="C47" i="151"/>
  <c r="G39" i="151"/>
  <c r="S39" i="151" s="1"/>
  <c r="D45" i="151"/>
  <c r="B37" i="151"/>
  <c r="B61" i="151"/>
  <c r="D49" i="151"/>
  <c r="D64" i="151"/>
  <c r="D54" i="151"/>
  <c r="G58" i="151"/>
  <c r="G55" i="151"/>
  <c r="C32" i="151"/>
  <c r="G41" i="151"/>
  <c r="S41" i="151" s="1"/>
  <c r="G61" i="151"/>
  <c r="C63" i="151"/>
  <c r="D63" i="151"/>
  <c r="D62" i="151"/>
  <c r="B64" i="151"/>
  <c r="B63" i="151"/>
  <c r="D65" i="151"/>
  <c r="C65" i="151"/>
  <c r="G65" i="151"/>
  <c r="B65" i="151"/>
  <c r="D68" i="151"/>
  <c r="G64" i="151"/>
  <c r="C64" i="151"/>
  <c r="D66" i="151"/>
  <c r="B67" i="151"/>
  <c r="B68" i="151"/>
  <c r="B66" i="151"/>
  <c r="C70" i="151"/>
  <c r="G72" i="151"/>
  <c r="G69" i="151"/>
  <c r="D72" i="151"/>
  <c r="G74" i="151"/>
  <c r="G71" i="151"/>
  <c r="D69" i="151"/>
  <c r="C22" i="141"/>
  <c r="D22" i="141" s="1"/>
  <c r="F22" i="141" s="1"/>
  <c r="C66" i="151"/>
  <c r="B73" i="151"/>
  <c r="E22" i="140"/>
  <c r="E23" i="140" s="1"/>
  <c r="AB16" i="121" s="1"/>
  <c r="AD16" i="121" s="1"/>
  <c r="G66" i="151"/>
  <c r="B71" i="151"/>
  <c r="B69" i="151"/>
  <c r="C67" i="151"/>
  <c r="B72" i="151"/>
  <c r="C73" i="151"/>
  <c r="D71" i="151"/>
  <c r="C68" i="151"/>
  <c r="G68" i="151"/>
  <c r="E22" i="141" l="1"/>
  <c r="C23" i="141"/>
  <c r="D23" i="141" s="1"/>
  <c r="F23" i="141" s="1"/>
  <c r="C24" i="140"/>
  <c r="A77" i="151"/>
  <c r="G76" i="151"/>
  <c r="B76" i="151"/>
  <c r="C76" i="151"/>
  <c r="D76" i="151"/>
  <c r="P28" i="151"/>
  <c r="J29" i="151"/>
  <c r="N29" i="151"/>
  <c r="AA30" i="151"/>
  <c r="F29" i="151"/>
  <c r="O29" i="151"/>
  <c r="K29" i="151"/>
  <c r="L28" i="151"/>
  <c r="D17" i="145"/>
  <c r="F17" i="145" s="1"/>
  <c r="E17" i="145"/>
  <c r="E23" i="141" l="1"/>
  <c r="AB11" i="121" s="1"/>
  <c r="C18" i="145"/>
  <c r="D18" i="145" s="1"/>
  <c r="F18" i="145" s="1"/>
  <c r="A78" i="151"/>
  <c r="C77" i="151"/>
  <c r="D77" i="151"/>
  <c r="B77" i="151"/>
  <c r="G77" i="151"/>
  <c r="AD11" i="121"/>
  <c r="D24" i="140"/>
  <c r="F24" i="140" s="1"/>
  <c r="E24" i="140"/>
  <c r="L29" i="151"/>
  <c r="C24" i="141"/>
  <c r="P29" i="151"/>
  <c r="K30" i="151"/>
  <c r="AA31" i="151"/>
  <c r="N30" i="151"/>
  <c r="F30" i="151"/>
  <c r="J30" i="151"/>
  <c r="O30" i="151"/>
  <c r="L30" i="151" l="1"/>
  <c r="E18" i="145"/>
  <c r="P30" i="151"/>
  <c r="A79" i="151"/>
  <c r="B78" i="151"/>
  <c r="D78" i="151"/>
  <c r="G78" i="151"/>
  <c r="C78" i="151"/>
  <c r="C25" i="140"/>
  <c r="D25" i="140" s="1"/>
  <c r="F25" i="140" s="1"/>
  <c r="J31" i="151"/>
  <c r="K31" i="151"/>
  <c r="F31" i="151"/>
  <c r="AA32" i="151"/>
  <c r="O31" i="151"/>
  <c r="N31" i="151"/>
  <c r="C19" i="145"/>
  <c r="D19" i="145" s="1"/>
  <c r="F19" i="145" s="1"/>
  <c r="D24" i="141"/>
  <c r="F24" i="141" s="1"/>
  <c r="E24" i="141"/>
  <c r="P31" i="151" l="1"/>
  <c r="C26" i="140"/>
  <c r="D26" i="140" s="1"/>
  <c r="F26" i="140" s="1"/>
  <c r="C79" i="151"/>
  <c r="A80" i="151"/>
  <c r="D79" i="151"/>
  <c r="G79" i="151"/>
  <c r="B79" i="151"/>
  <c r="E19" i="145"/>
  <c r="C25" i="141"/>
  <c r="D25" i="141" s="1"/>
  <c r="F25" i="141" s="1"/>
  <c r="J32" i="151"/>
  <c r="K32" i="151"/>
  <c r="AA33" i="151"/>
  <c r="N32" i="151"/>
  <c r="F32" i="151"/>
  <c r="O32" i="151"/>
  <c r="E25" i="140"/>
  <c r="E26" i="140" s="1"/>
  <c r="C20" i="145"/>
  <c r="D20" i="145" s="1"/>
  <c r="F20" i="145" s="1"/>
  <c r="L31" i="151"/>
  <c r="E25" i="141" l="1"/>
  <c r="C21" i="145"/>
  <c r="D21" i="145" s="1"/>
  <c r="F21" i="145" s="1"/>
  <c r="L32" i="151"/>
  <c r="C26" i="141"/>
  <c r="D26" i="141" s="1"/>
  <c r="F26" i="141" s="1"/>
  <c r="E20" i="145"/>
  <c r="E21" i="145" s="1"/>
  <c r="P32" i="151"/>
  <c r="A81" i="151"/>
  <c r="C80" i="151"/>
  <c r="G80" i="151"/>
  <c r="D80" i="151"/>
  <c r="B80" i="151"/>
  <c r="C27" i="140"/>
  <c r="D27" i="140" s="1"/>
  <c r="F27" i="140" s="1"/>
  <c r="K33" i="151"/>
  <c r="AA34" i="151"/>
  <c r="O33" i="151"/>
  <c r="N33" i="151"/>
  <c r="F33" i="151"/>
  <c r="J33" i="151"/>
  <c r="E26" i="141" l="1"/>
  <c r="L33" i="151"/>
  <c r="C28" i="140"/>
  <c r="D28" i="140" s="1"/>
  <c r="F28" i="140" s="1"/>
  <c r="G81" i="151"/>
  <c r="D81" i="151"/>
  <c r="A82" i="151"/>
  <c r="B81" i="151"/>
  <c r="C81" i="151"/>
  <c r="K34" i="151"/>
  <c r="O34" i="151"/>
  <c r="N34" i="151"/>
  <c r="AA35" i="151"/>
  <c r="J34" i="151"/>
  <c r="L34" i="151" s="1"/>
  <c r="F34" i="151"/>
  <c r="C27" i="141"/>
  <c r="D27" i="141" s="1"/>
  <c r="F27" i="141" s="1"/>
  <c r="C28" i="141" s="1"/>
  <c r="D28" i="141" s="1"/>
  <c r="F28" i="141" s="1"/>
  <c r="P33" i="151"/>
  <c r="E27" i="140"/>
  <c r="C22" i="145"/>
  <c r="D22" i="145" s="1"/>
  <c r="F22" i="145" s="1"/>
  <c r="E28" i="140" l="1"/>
  <c r="E22" i="145"/>
  <c r="C23" i="145"/>
  <c r="D23" i="145" s="1"/>
  <c r="F23" i="145" s="1"/>
  <c r="C29" i="141"/>
  <c r="D29" i="141" s="1"/>
  <c r="F29" i="141" s="1"/>
  <c r="C29" i="140"/>
  <c r="D29" i="140" s="1"/>
  <c r="F29" i="140" s="1"/>
  <c r="P34" i="151"/>
  <c r="N35" i="151"/>
  <c r="AA36" i="151"/>
  <c r="F35" i="151"/>
  <c r="O35" i="151"/>
  <c r="J35" i="151"/>
  <c r="K35" i="151"/>
  <c r="E27" i="141"/>
  <c r="E28" i="141" s="1"/>
  <c r="D82" i="151"/>
  <c r="A83" i="151"/>
  <c r="C82" i="151"/>
  <c r="G82" i="151"/>
  <c r="B82" i="151"/>
  <c r="E29" i="141" l="1"/>
  <c r="E23" i="145"/>
  <c r="AB20" i="121" s="1"/>
  <c r="P35" i="151"/>
  <c r="L35" i="151"/>
  <c r="C30" i="140"/>
  <c r="D30" i="140" s="1"/>
  <c r="F30" i="140" s="1"/>
  <c r="C24" i="145"/>
  <c r="O36" i="151"/>
  <c r="K36" i="151"/>
  <c r="N36" i="151"/>
  <c r="AA37" i="151"/>
  <c r="J36" i="151"/>
  <c r="L36" i="151" s="1"/>
  <c r="F36" i="151"/>
  <c r="AD20" i="121"/>
  <c r="AD24" i="121" s="1"/>
  <c r="AB24" i="121"/>
  <c r="AB31" i="121"/>
  <c r="E29" i="140"/>
  <c r="G83" i="151"/>
  <c r="B83" i="151"/>
  <c r="C83" i="151"/>
  <c r="A84" i="151"/>
  <c r="D83" i="151"/>
  <c r="C30" i="141"/>
  <c r="D30" i="141" s="1"/>
  <c r="F30" i="141" s="1"/>
  <c r="C31" i="141" s="1"/>
  <c r="D31" i="141" s="1"/>
  <c r="F31" i="141" s="1"/>
  <c r="P36" i="151" l="1"/>
  <c r="E30" i="140"/>
  <c r="C32" i="141"/>
  <c r="D32" i="141" s="1"/>
  <c r="F32" i="141" s="1"/>
  <c r="C31" i="140"/>
  <c r="D31" i="140" s="1"/>
  <c r="F31" i="140" s="1"/>
  <c r="C32" i="140" s="1"/>
  <c r="D32" i="140" s="1"/>
  <c r="F32" i="140" s="1"/>
  <c r="C33" i="140" s="1"/>
  <c r="D33" i="140" s="1"/>
  <c r="F33" i="140" s="1"/>
  <c r="A85" i="151"/>
  <c r="B84" i="151"/>
  <c r="C84" i="151"/>
  <c r="D84" i="151"/>
  <c r="G84" i="151"/>
  <c r="E24" i="145"/>
  <c r="D24" i="145"/>
  <c r="F24" i="145" s="1"/>
  <c r="E30" i="141"/>
  <c r="E31" i="141" s="1"/>
  <c r="E32" i="141" s="1"/>
  <c r="O37" i="151"/>
  <c r="J37" i="151"/>
  <c r="N37" i="151"/>
  <c r="F37" i="151"/>
  <c r="AA38" i="151"/>
  <c r="K37" i="151"/>
  <c r="AB35" i="121"/>
  <c r="AD31" i="121"/>
  <c r="AD35" i="121" s="1"/>
  <c r="E31" i="140" l="1"/>
  <c r="P37" i="151"/>
  <c r="C34" i="140"/>
  <c r="D34" i="140" s="1"/>
  <c r="F34" i="140" s="1"/>
  <c r="C33" i="141"/>
  <c r="D33" i="141" s="1"/>
  <c r="F33" i="141" s="1"/>
  <c r="C25" i="145"/>
  <c r="D25" i="145" s="1"/>
  <c r="F25" i="145" s="1"/>
  <c r="K38" i="151"/>
  <c r="J38" i="151"/>
  <c r="N38" i="151"/>
  <c r="O38" i="151"/>
  <c r="F38" i="151"/>
  <c r="AA39" i="151"/>
  <c r="A86" i="151"/>
  <c r="D85" i="151"/>
  <c r="G85" i="151"/>
  <c r="C85" i="151"/>
  <c r="B85" i="151"/>
  <c r="E25" i="145"/>
  <c r="E33" i="141"/>
  <c r="L37" i="151"/>
  <c r="E32" i="140"/>
  <c r="E33" i="140" s="1"/>
  <c r="E34" i="140" s="1"/>
  <c r="L38" i="151" l="1"/>
  <c r="P38" i="151"/>
  <c r="C26" i="145"/>
  <c r="D26" i="145" s="1"/>
  <c r="F26" i="145" s="1"/>
  <c r="C34" i="141"/>
  <c r="D34" i="141" s="1"/>
  <c r="F34" i="141" s="1"/>
  <c r="F39" i="151"/>
  <c r="K39" i="151"/>
  <c r="AA40" i="151"/>
  <c r="J39" i="151"/>
  <c r="N39" i="151"/>
  <c r="O39" i="151"/>
  <c r="E26" i="145"/>
  <c r="C35" i="140"/>
  <c r="A87" i="151"/>
  <c r="D86" i="151"/>
  <c r="B86" i="151"/>
  <c r="C86" i="151"/>
  <c r="G86" i="151"/>
  <c r="L39" i="151" l="1"/>
  <c r="P39" i="151"/>
  <c r="E34" i="141"/>
  <c r="E35" i="141" s="1"/>
  <c r="C35" i="141"/>
  <c r="D35" i="141" s="1"/>
  <c r="F35" i="141"/>
  <c r="C27" i="145"/>
  <c r="D27" i="145" s="1"/>
  <c r="F27" i="145" s="1"/>
  <c r="A88" i="151"/>
  <c r="B87" i="151"/>
  <c r="D87" i="151"/>
  <c r="C87" i="151"/>
  <c r="G87" i="151"/>
  <c r="D35" i="140"/>
  <c r="C36" i="140"/>
  <c r="R58" i="121" s="1"/>
  <c r="AD58" i="121" s="1"/>
  <c r="AA41" i="151"/>
  <c r="N40" i="151"/>
  <c r="O40" i="151"/>
  <c r="J40" i="151"/>
  <c r="F40" i="151"/>
  <c r="K40" i="151"/>
  <c r="E35" i="140"/>
  <c r="E27" i="145" l="1"/>
  <c r="P40" i="151"/>
  <c r="D36" i="140"/>
  <c r="F35" i="140"/>
  <c r="G88" i="151"/>
  <c r="A89" i="151"/>
  <c r="D88" i="151"/>
  <c r="C88" i="151"/>
  <c r="B88" i="151"/>
  <c r="C28" i="145"/>
  <c r="D28" i="145" s="1"/>
  <c r="F28" i="145" s="1"/>
  <c r="C29" i="145" s="1"/>
  <c r="D29" i="145" s="1"/>
  <c r="F29" i="145" s="1"/>
  <c r="C30" i="145" s="1"/>
  <c r="D30" i="145" s="1"/>
  <c r="F30" i="145" s="1"/>
  <c r="L40" i="151"/>
  <c r="F41" i="151"/>
  <c r="O41" i="151"/>
  <c r="K41" i="151"/>
  <c r="N41" i="151"/>
  <c r="J41" i="151"/>
  <c r="AA42" i="151"/>
  <c r="C36" i="141"/>
  <c r="L41" i="151" l="1"/>
  <c r="P41" i="151"/>
  <c r="C31" i="145"/>
  <c r="D31" i="145" s="1"/>
  <c r="F31" i="145" s="1"/>
  <c r="E28" i="145"/>
  <c r="E29" i="145" s="1"/>
  <c r="E30" i="145" s="1"/>
  <c r="E31" i="145" s="1"/>
  <c r="K42" i="151"/>
  <c r="AA43" i="151"/>
  <c r="N42" i="151"/>
  <c r="J42" i="151"/>
  <c r="F42" i="151"/>
  <c r="O42" i="151"/>
  <c r="A90" i="151"/>
  <c r="D89" i="151"/>
  <c r="B89" i="151"/>
  <c r="G89" i="151"/>
  <c r="C89" i="151"/>
  <c r="E36" i="141"/>
  <c r="D36" i="141"/>
  <c r="F36" i="141" s="1"/>
  <c r="L42" i="151" l="1"/>
  <c r="P42" i="151"/>
  <c r="C32" i="145"/>
  <c r="D32" i="145" s="1"/>
  <c r="F32" i="145" s="1"/>
  <c r="O43" i="151"/>
  <c r="N43" i="151"/>
  <c r="J43" i="151"/>
  <c r="K43" i="151"/>
  <c r="AA44" i="151"/>
  <c r="F43" i="151"/>
  <c r="A91" i="151"/>
  <c r="B90" i="151"/>
  <c r="C90" i="151"/>
  <c r="D90" i="151"/>
  <c r="G90" i="151"/>
  <c r="C37" i="141"/>
  <c r="D37" i="141" s="1"/>
  <c r="F37" i="141" s="1"/>
  <c r="E37" i="141" l="1"/>
  <c r="C33" i="145"/>
  <c r="D33" i="145" s="1"/>
  <c r="F33" i="145" s="1"/>
  <c r="K44" i="151"/>
  <c r="AA45" i="151"/>
  <c r="F44" i="151"/>
  <c r="N44" i="151"/>
  <c r="J44" i="151"/>
  <c r="O44" i="151"/>
  <c r="A92" i="151"/>
  <c r="C91" i="151"/>
  <c r="B91" i="151"/>
  <c r="D91" i="151"/>
  <c r="G91" i="151"/>
  <c r="L43" i="151"/>
  <c r="P43" i="151"/>
  <c r="E32" i="145"/>
  <c r="E33" i="145" s="1"/>
  <c r="C38" i="141"/>
  <c r="D38" i="141" s="1"/>
  <c r="F38" i="141" s="1"/>
  <c r="L44" i="151" l="1"/>
  <c r="P44" i="151"/>
  <c r="C39" i="141"/>
  <c r="D39" i="141" s="1"/>
  <c r="F39" i="141" s="1"/>
  <c r="F45" i="151"/>
  <c r="AA46" i="151"/>
  <c r="J45" i="151"/>
  <c r="N45" i="151"/>
  <c r="K45" i="151"/>
  <c r="O45" i="151"/>
  <c r="A93" i="151"/>
  <c r="G92" i="151"/>
  <c r="C92" i="151"/>
  <c r="B92" i="151"/>
  <c r="D92" i="151"/>
  <c r="E38" i="141"/>
  <c r="C34" i="145"/>
  <c r="D34" i="145" s="1"/>
  <c r="F34" i="145" s="1"/>
  <c r="L45" i="151" l="1"/>
  <c r="C35" i="145"/>
  <c r="D35" i="145" s="1"/>
  <c r="F35" i="145" s="1"/>
  <c r="C40" i="141"/>
  <c r="D40" i="141" s="1"/>
  <c r="F40" i="141" s="1"/>
  <c r="C93" i="151"/>
  <c r="B93" i="151"/>
  <c r="A94" i="151"/>
  <c r="G93" i="151"/>
  <c r="D93" i="151"/>
  <c r="P45" i="151"/>
  <c r="AA47" i="151"/>
  <c r="O46" i="151"/>
  <c r="N46" i="151"/>
  <c r="J46" i="151"/>
  <c r="K46" i="151"/>
  <c r="L46" i="151" s="1"/>
  <c r="F46" i="151"/>
  <c r="E34" i="145"/>
  <c r="E39" i="141"/>
  <c r="E40" i="141" s="1"/>
  <c r="P46" i="151" l="1"/>
  <c r="C36" i="145"/>
  <c r="C41" i="141"/>
  <c r="D41" i="141" s="1"/>
  <c r="F41" i="141" s="1"/>
  <c r="F47" i="151"/>
  <c r="O47" i="151"/>
  <c r="K47" i="151"/>
  <c r="N47" i="151"/>
  <c r="AA48" i="151"/>
  <c r="J47" i="151"/>
  <c r="L47" i="151" s="1"/>
  <c r="D94" i="151"/>
  <c r="A95" i="151"/>
  <c r="G94" i="151"/>
  <c r="C94" i="151"/>
  <c r="B94" i="151"/>
  <c r="E41" i="141"/>
  <c r="E35" i="145"/>
  <c r="D95" i="151" l="1"/>
  <c r="B95" i="151"/>
  <c r="G95" i="151"/>
  <c r="C95" i="151"/>
  <c r="A96" i="151"/>
  <c r="J48" i="151"/>
  <c r="K48" i="151"/>
  <c r="N48" i="151"/>
  <c r="O48" i="151"/>
  <c r="F48" i="151"/>
  <c r="AA49" i="151"/>
  <c r="P47" i="151"/>
  <c r="C42" i="141"/>
  <c r="D42" i="141" s="1"/>
  <c r="F42" i="141" s="1"/>
  <c r="E36" i="145"/>
  <c r="D36" i="145"/>
  <c r="F36" i="145" s="1"/>
  <c r="P48" i="151" l="1"/>
  <c r="E42" i="141"/>
  <c r="L48" i="151"/>
  <c r="C37" i="145"/>
  <c r="D37" i="145" s="1"/>
  <c r="F37" i="145" s="1"/>
  <c r="G96" i="151"/>
  <c r="D96" i="151"/>
  <c r="C96" i="151"/>
  <c r="B96" i="151"/>
  <c r="A97" i="151"/>
  <c r="K49" i="151"/>
  <c r="N49" i="151"/>
  <c r="O49" i="151"/>
  <c r="F49" i="151"/>
  <c r="AA50" i="151"/>
  <c r="J49" i="151"/>
  <c r="C43" i="141"/>
  <c r="D43" i="141" s="1"/>
  <c r="F43" i="141" s="1"/>
  <c r="E43" i="141" l="1"/>
  <c r="E37" i="145"/>
  <c r="C44" i="141"/>
  <c r="D44" i="141" s="1"/>
  <c r="F44" i="141" s="1"/>
  <c r="C38" i="145"/>
  <c r="D38" i="145" s="1"/>
  <c r="F38" i="145" s="1"/>
  <c r="D97" i="151"/>
  <c r="G97" i="151"/>
  <c r="B97" i="151"/>
  <c r="C97" i="151"/>
  <c r="A98" i="151"/>
  <c r="P49" i="151"/>
  <c r="L49" i="151"/>
  <c r="AA51" i="151"/>
  <c r="J50" i="151"/>
  <c r="O50" i="151"/>
  <c r="N50" i="151"/>
  <c r="F50" i="151"/>
  <c r="K50" i="151"/>
  <c r="E38" i="145" l="1"/>
  <c r="L50" i="151"/>
  <c r="P50" i="151"/>
  <c r="C45" i="141"/>
  <c r="D45" i="141" s="1"/>
  <c r="F45" i="141"/>
  <c r="E44" i="141"/>
  <c r="E45" i="141" s="1"/>
  <c r="C39" i="145"/>
  <c r="D39" i="145" s="1"/>
  <c r="F39" i="145" s="1"/>
  <c r="G98" i="151"/>
  <c r="D98" i="151"/>
  <c r="B98" i="151"/>
  <c r="C98" i="151"/>
  <c r="A99" i="151"/>
  <c r="O51" i="151"/>
  <c r="J51" i="151"/>
  <c r="N51" i="151"/>
  <c r="F51" i="151"/>
  <c r="AA52" i="151"/>
  <c r="K51" i="151"/>
  <c r="C40" i="145" l="1"/>
  <c r="D40" i="145" s="1"/>
  <c r="F40" i="145" s="1"/>
  <c r="G99" i="151"/>
  <c r="D99" i="151"/>
  <c r="A100" i="151"/>
  <c r="C99" i="151"/>
  <c r="B99" i="151"/>
  <c r="K52" i="151"/>
  <c r="F52" i="151"/>
  <c r="N52" i="151"/>
  <c r="J52" i="151"/>
  <c r="AA53" i="151"/>
  <c r="O52" i="151"/>
  <c r="E39" i="145"/>
  <c r="E40" i="145" s="1"/>
  <c r="P51" i="151"/>
  <c r="C46" i="141"/>
  <c r="D46" i="141" s="1"/>
  <c r="F46" i="141" s="1"/>
  <c r="L51" i="151"/>
  <c r="P52" i="151" l="1"/>
  <c r="G100" i="151"/>
  <c r="A101" i="151"/>
  <c r="D100" i="151"/>
  <c r="C100" i="151"/>
  <c r="B100" i="151"/>
  <c r="F53" i="151"/>
  <c r="N53" i="151"/>
  <c r="K53" i="151"/>
  <c r="AA54" i="151"/>
  <c r="O53" i="151"/>
  <c r="P53" i="151" s="1"/>
  <c r="J53" i="151"/>
  <c r="L53" i="151" s="1"/>
  <c r="L52" i="151"/>
  <c r="C47" i="141"/>
  <c r="D47" i="141" s="1"/>
  <c r="F47" i="141" s="1"/>
  <c r="E46" i="141"/>
  <c r="C41" i="145"/>
  <c r="D41" i="145" s="1"/>
  <c r="F41" i="145" s="1"/>
  <c r="C42" i="145" l="1"/>
  <c r="D42" i="145" s="1"/>
  <c r="F42" i="145"/>
  <c r="C48" i="141"/>
  <c r="J54" i="151"/>
  <c r="AA55" i="151"/>
  <c r="O54" i="151"/>
  <c r="K54" i="151"/>
  <c r="N54" i="151"/>
  <c r="F54" i="151"/>
  <c r="E47" i="141"/>
  <c r="E41" i="145"/>
  <c r="E42" i="145" s="1"/>
  <c r="C101" i="151"/>
  <c r="B101" i="151"/>
  <c r="D101" i="151"/>
  <c r="A102" i="151"/>
  <c r="G101" i="151"/>
  <c r="P54" i="151" l="1"/>
  <c r="L54" i="151"/>
  <c r="F55" i="151"/>
  <c r="J55" i="151"/>
  <c r="AA56" i="151"/>
  <c r="O55" i="151"/>
  <c r="K55" i="151"/>
  <c r="N55" i="151"/>
  <c r="C102" i="151"/>
  <c r="G102" i="151"/>
  <c r="B102" i="151"/>
  <c r="D102" i="151"/>
  <c r="A103" i="151"/>
  <c r="D48" i="141"/>
  <c r="F48" i="141" s="1"/>
  <c r="E48" i="141"/>
  <c r="C43" i="145"/>
  <c r="D43" i="145" s="1"/>
  <c r="F43" i="145" s="1"/>
  <c r="P55" i="151" l="1"/>
  <c r="C44" i="145"/>
  <c r="D44" i="145" s="1"/>
  <c r="F44" i="145" s="1"/>
  <c r="C45" i="145" s="1"/>
  <c r="D45" i="145" s="1"/>
  <c r="F45" i="145" s="1"/>
  <c r="L55" i="151"/>
  <c r="G103" i="151"/>
  <c r="D103" i="151"/>
  <c r="B103" i="151"/>
  <c r="A104" i="151"/>
  <c r="C103" i="151"/>
  <c r="F56" i="151"/>
  <c r="K56" i="151"/>
  <c r="AA57" i="151"/>
  <c r="N56" i="151"/>
  <c r="P56" i="151" s="1"/>
  <c r="O56" i="151"/>
  <c r="J56" i="151"/>
  <c r="C49" i="141"/>
  <c r="D49" i="141" s="1"/>
  <c r="F49" i="141" s="1"/>
  <c r="E43" i="145"/>
  <c r="E44" i="145" s="1"/>
  <c r="C50" i="141" l="1"/>
  <c r="D50" i="141" s="1"/>
  <c r="F50" i="141" s="1"/>
  <c r="C46" i="145"/>
  <c r="D46" i="145" s="1"/>
  <c r="F46" i="145" s="1"/>
  <c r="K57" i="151"/>
  <c r="F57" i="151"/>
  <c r="N57" i="151"/>
  <c r="O57" i="151"/>
  <c r="AA58" i="151"/>
  <c r="J57" i="151"/>
  <c r="C104" i="151"/>
  <c r="B104" i="151"/>
  <c r="G104" i="151"/>
  <c r="D104" i="151"/>
  <c r="A105" i="151"/>
  <c r="E49" i="141"/>
  <c r="E50" i="141" s="1"/>
  <c r="L56" i="151"/>
  <c r="E45" i="145"/>
  <c r="E46" i="145" s="1"/>
  <c r="L57" i="151" l="1"/>
  <c r="P57" i="151"/>
  <c r="C51" i="141"/>
  <c r="D51" i="141" s="1"/>
  <c r="F51" i="141" s="1"/>
  <c r="N58" i="151"/>
  <c r="O58" i="151"/>
  <c r="J58" i="151"/>
  <c r="AA59" i="151"/>
  <c r="K58" i="151"/>
  <c r="F58" i="151"/>
  <c r="E51" i="141"/>
  <c r="C47" i="145"/>
  <c r="D47" i="145" s="1"/>
  <c r="F47" i="145" s="1"/>
  <c r="D105" i="151"/>
  <c r="C105" i="151"/>
  <c r="G105" i="151"/>
  <c r="A106" i="151"/>
  <c r="B105" i="151"/>
  <c r="P58" i="151" l="1"/>
  <c r="L58" i="151"/>
  <c r="C48" i="145"/>
  <c r="E47" i="145"/>
  <c r="F59" i="151"/>
  <c r="N59" i="151"/>
  <c r="K59" i="151"/>
  <c r="O59" i="151"/>
  <c r="J59" i="151"/>
  <c r="AA60" i="151"/>
  <c r="C52" i="141"/>
  <c r="D52" i="141" s="1"/>
  <c r="F52" i="141" s="1"/>
  <c r="C106" i="151"/>
  <c r="A107" i="151"/>
  <c r="G106" i="151"/>
  <c r="D106" i="151"/>
  <c r="B106" i="151"/>
  <c r="L59" i="151" l="1"/>
  <c r="F60" i="151"/>
  <c r="K60" i="151"/>
  <c r="AA61" i="151"/>
  <c r="N60" i="151"/>
  <c r="O60" i="151"/>
  <c r="J60" i="151"/>
  <c r="L60" i="151" s="1"/>
  <c r="C53" i="141"/>
  <c r="D53" i="141" s="1"/>
  <c r="F53" i="141" s="1"/>
  <c r="P59" i="151"/>
  <c r="E52" i="141"/>
  <c r="B107" i="151"/>
  <c r="G107" i="151"/>
  <c r="A108" i="151"/>
  <c r="D107" i="151"/>
  <c r="C107" i="151"/>
  <c r="E48" i="145"/>
  <c r="D48" i="145"/>
  <c r="F48" i="145" s="1"/>
  <c r="E53" i="141" l="1"/>
  <c r="C54" i="141"/>
  <c r="D54" i="141" s="1"/>
  <c r="F54" i="141" s="1"/>
  <c r="P60" i="151"/>
  <c r="N61" i="151"/>
  <c r="K61" i="151"/>
  <c r="AA62" i="151"/>
  <c r="F61" i="151"/>
  <c r="O61" i="151"/>
  <c r="P61" i="151" s="1"/>
  <c r="J61" i="151"/>
  <c r="C49" i="145"/>
  <c r="D49" i="145" s="1"/>
  <c r="F49" i="145" s="1"/>
  <c r="B108" i="151"/>
  <c r="A109" i="151"/>
  <c r="C108" i="151"/>
  <c r="G108" i="151"/>
  <c r="D108" i="151"/>
  <c r="L61" i="151" l="1"/>
  <c r="E54" i="141"/>
  <c r="C50" i="145"/>
  <c r="D50" i="145" s="1"/>
  <c r="F50" i="145" s="1"/>
  <c r="AA63" i="151"/>
  <c r="F62" i="151"/>
  <c r="N62" i="151"/>
  <c r="K62" i="151"/>
  <c r="O62" i="151"/>
  <c r="J62" i="151"/>
  <c r="L62" i="151" s="1"/>
  <c r="C109" i="151"/>
  <c r="D109" i="151"/>
  <c r="A110" i="151"/>
  <c r="B109" i="151"/>
  <c r="G109" i="151"/>
  <c r="C55" i="141"/>
  <c r="D55" i="141" s="1"/>
  <c r="F55" i="141" s="1"/>
  <c r="E49" i="145"/>
  <c r="E50" i="145" s="1"/>
  <c r="E55" i="141" l="1"/>
  <c r="C56" i="141"/>
  <c r="D56" i="141" s="1"/>
  <c r="F56" i="141" s="1"/>
  <c r="C51" i="145"/>
  <c r="D51" i="145" s="1"/>
  <c r="F51" i="145" s="1"/>
  <c r="A111" i="151"/>
  <c r="G110" i="151"/>
  <c r="C110" i="151"/>
  <c r="D110" i="151"/>
  <c r="B110" i="151"/>
  <c r="P62" i="151"/>
  <c r="E51" i="145"/>
  <c r="F63" i="151"/>
  <c r="AA64" i="151"/>
  <c r="J63" i="151"/>
  <c r="K63" i="151"/>
  <c r="O63" i="151"/>
  <c r="N63" i="151"/>
  <c r="E56" i="141" l="1"/>
  <c r="L63" i="151"/>
  <c r="P63" i="151"/>
  <c r="C52" i="145"/>
  <c r="D52" i="145" s="1"/>
  <c r="F52" i="145" s="1"/>
  <c r="A112" i="151"/>
  <c r="D111" i="151"/>
  <c r="C111" i="151"/>
  <c r="B111" i="151"/>
  <c r="G111" i="151"/>
  <c r="J64" i="151"/>
  <c r="O64" i="151"/>
  <c r="N64" i="151"/>
  <c r="K64" i="151"/>
  <c r="F64" i="151"/>
  <c r="AA65" i="151"/>
  <c r="C57" i="141"/>
  <c r="D57" i="141" s="1"/>
  <c r="F57" i="141" s="1"/>
  <c r="E52" i="145" l="1"/>
  <c r="E57" i="141"/>
  <c r="P64" i="151"/>
  <c r="C58" i="141"/>
  <c r="C53" i="145"/>
  <c r="D53" i="145" s="1"/>
  <c r="F53" i="145" s="1"/>
  <c r="L64" i="151"/>
  <c r="G112" i="151"/>
  <c r="B112" i="151"/>
  <c r="D112" i="151"/>
  <c r="A113" i="151"/>
  <c r="C112" i="151"/>
  <c r="E53" i="145"/>
  <c r="O65" i="151"/>
  <c r="AA66" i="151"/>
  <c r="N65" i="151"/>
  <c r="J65" i="151"/>
  <c r="K65" i="151"/>
  <c r="L65" i="151" s="1"/>
  <c r="F65" i="151"/>
  <c r="P65" i="151" l="1"/>
  <c r="C54" i="145"/>
  <c r="D54" i="145" s="1"/>
  <c r="F54" i="145" s="1"/>
  <c r="A114" i="151"/>
  <c r="G113" i="151"/>
  <c r="D113" i="151"/>
  <c r="B113" i="151"/>
  <c r="C113" i="151"/>
  <c r="J66" i="151"/>
  <c r="K66" i="151"/>
  <c r="N66" i="151"/>
  <c r="O66" i="151"/>
  <c r="AA67" i="151"/>
  <c r="F66" i="151"/>
  <c r="E58" i="141"/>
  <c r="D58" i="141"/>
  <c r="F58" i="141" s="1"/>
  <c r="E54" i="145" l="1"/>
  <c r="P66" i="151"/>
  <c r="L66" i="151"/>
  <c r="C59" i="141"/>
  <c r="C55" i="145"/>
  <c r="D55" i="145" s="1"/>
  <c r="F55" i="145" s="1"/>
  <c r="D114" i="151"/>
  <c r="G114" i="151"/>
  <c r="C114" i="151"/>
  <c r="A115" i="151"/>
  <c r="B114" i="151"/>
  <c r="E59" i="141"/>
  <c r="K67" i="151"/>
  <c r="J67" i="151"/>
  <c r="F67" i="151"/>
  <c r="N67" i="151"/>
  <c r="AA68" i="151"/>
  <c r="O67" i="151"/>
  <c r="P67" i="151" l="1"/>
  <c r="C56" i="145"/>
  <c r="D56" i="145" s="1"/>
  <c r="F56" i="145" s="1"/>
  <c r="AA69" i="151"/>
  <c r="F68" i="151"/>
  <c r="O68" i="151"/>
  <c r="J68" i="151"/>
  <c r="L68" i="151" s="1"/>
  <c r="K68" i="151"/>
  <c r="N68" i="151"/>
  <c r="G115" i="151"/>
  <c r="C115" i="151"/>
  <c r="B115" i="151"/>
  <c r="A116" i="151"/>
  <c r="D115" i="151"/>
  <c r="E55" i="145"/>
  <c r="L67" i="151"/>
  <c r="D59" i="141"/>
  <c r="C60" i="141"/>
  <c r="R52" i="121" s="1"/>
  <c r="P68" i="151" l="1"/>
  <c r="E56" i="145"/>
  <c r="D116" i="151"/>
  <c r="C116" i="151"/>
  <c r="B116" i="151"/>
  <c r="G116" i="151"/>
  <c r="A117" i="151"/>
  <c r="AD52" i="121"/>
  <c r="D60" i="141"/>
  <c r="F59" i="141"/>
  <c r="F69" i="151"/>
  <c r="O69" i="151"/>
  <c r="J69" i="151"/>
  <c r="K69" i="151"/>
  <c r="N69" i="151"/>
  <c r="AA70" i="151"/>
  <c r="C57" i="145"/>
  <c r="D57" i="145" s="1"/>
  <c r="F57" i="145" s="1"/>
  <c r="P69" i="151" l="1"/>
  <c r="E57" i="145"/>
  <c r="O70" i="151"/>
  <c r="K70" i="151"/>
  <c r="J70" i="151"/>
  <c r="N70" i="151"/>
  <c r="AA71" i="151"/>
  <c r="F70" i="151"/>
  <c r="C58" i="145"/>
  <c r="D58" i="145" s="1"/>
  <c r="F58" i="145" s="1"/>
  <c r="C117" i="151"/>
  <c r="A118" i="151"/>
  <c r="D117" i="151"/>
  <c r="B117" i="151"/>
  <c r="G117" i="151"/>
  <c r="L69" i="151"/>
  <c r="A119" i="151" l="1"/>
  <c r="G118" i="151"/>
  <c r="B118" i="151"/>
  <c r="D118" i="151"/>
  <c r="C118" i="151"/>
  <c r="C59" i="145"/>
  <c r="N71" i="151"/>
  <c r="K71" i="151"/>
  <c r="O71" i="151"/>
  <c r="F71" i="151"/>
  <c r="J71" i="151"/>
  <c r="AA72" i="151"/>
  <c r="L70" i="151"/>
  <c r="P70" i="151"/>
  <c r="E58" i="145"/>
  <c r="L71" i="151" l="1"/>
  <c r="P71" i="151"/>
  <c r="D59" i="145"/>
  <c r="C60" i="145"/>
  <c r="R64" i="121" s="1"/>
  <c r="E59" i="145"/>
  <c r="J72" i="151"/>
  <c r="N72" i="151"/>
  <c r="AA73" i="151"/>
  <c r="K72" i="151"/>
  <c r="F72" i="151"/>
  <c r="O72" i="151"/>
  <c r="A120" i="151"/>
  <c r="C119" i="151"/>
  <c r="D119" i="151"/>
  <c r="B119" i="151"/>
  <c r="G119" i="151"/>
  <c r="F73" i="151" l="1"/>
  <c r="J73" i="151"/>
  <c r="K73" i="151"/>
  <c r="AA74" i="151"/>
  <c r="O73" i="151"/>
  <c r="N73" i="151"/>
  <c r="P73" i="151" s="1"/>
  <c r="B120" i="151"/>
  <c r="C120" i="151"/>
  <c r="G120" i="151"/>
  <c r="D120" i="151"/>
  <c r="A121" i="151"/>
  <c r="L72" i="151"/>
  <c r="P72" i="151"/>
  <c r="AD64" i="121"/>
  <c r="AD74" i="121" s="1"/>
  <c r="R74" i="121"/>
  <c r="D60" i="145"/>
  <c r="F59" i="145"/>
  <c r="L73" i="151" l="1"/>
  <c r="G121" i="151"/>
  <c r="A122" i="151"/>
  <c r="D121" i="151"/>
  <c r="B121" i="151"/>
  <c r="C121" i="151"/>
  <c r="AA75" i="151"/>
  <c r="N74" i="151"/>
  <c r="J74" i="151"/>
  <c r="F74" i="151"/>
  <c r="K74" i="151"/>
  <c r="O74" i="151"/>
  <c r="L74" i="151" l="1"/>
  <c r="P74" i="151"/>
  <c r="N75" i="151"/>
  <c r="F75" i="151"/>
  <c r="AA76" i="151"/>
  <c r="K75" i="151"/>
  <c r="J75" i="151"/>
  <c r="O75" i="151"/>
  <c r="D122" i="151"/>
  <c r="B122" i="151"/>
  <c r="A123" i="151"/>
  <c r="G122" i="151"/>
  <c r="C122" i="151"/>
  <c r="P75" i="151" l="1"/>
  <c r="L75" i="151"/>
  <c r="C123" i="151"/>
  <c r="G123" i="151"/>
  <c r="B123" i="151"/>
  <c r="A124" i="151"/>
  <c r="D123" i="151"/>
  <c r="AA77" i="151"/>
  <c r="N76" i="151"/>
  <c r="F76" i="151"/>
  <c r="K76" i="151"/>
  <c r="J76" i="151"/>
  <c r="O76" i="151"/>
  <c r="P76" i="151" l="1"/>
  <c r="O77" i="151"/>
  <c r="AA78" i="151"/>
  <c r="F77" i="151"/>
  <c r="N77" i="151"/>
  <c r="P77" i="151" s="1"/>
  <c r="J77" i="151"/>
  <c r="K77" i="151"/>
  <c r="L77" i="151" s="1"/>
  <c r="B124" i="151"/>
  <c r="A125" i="151"/>
  <c r="D124" i="151"/>
  <c r="G124" i="151"/>
  <c r="C124" i="151"/>
  <c r="L76" i="151"/>
  <c r="F78" i="151" l="1"/>
  <c r="AA79" i="151"/>
  <c r="O78" i="151"/>
  <c r="K78" i="151"/>
  <c r="J78" i="151"/>
  <c r="L78" i="151" s="1"/>
  <c r="N78" i="151"/>
  <c r="G125" i="151"/>
  <c r="C125" i="151"/>
  <c r="A126" i="151"/>
  <c r="B125" i="151"/>
  <c r="D125" i="151"/>
  <c r="P78" i="151" l="1"/>
  <c r="D126" i="151"/>
  <c r="C126" i="151"/>
  <c r="G126" i="151"/>
  <c r="A127" i="151"/>
  <c r="B126" i="151"/>
  <c r="AA80" i="151"/>
  <c r="O79" i="151"/>
  <c r="J79" i="151"/>
  <c r="K79" i="151"/>
  <c r="F79" i="151"/>
  <c r="N79" i="151"/>
  <c r="P79" i="151" s="1"/>
  <c r="AA81" i="151" l="1"/>
  <c r="K80" i="151"/>
  <c r="O80" i="151"/>
  <c r="J80" i="151"/>
  <c r="L80" i="151" s="1"/>
  <c r="N80" i="151"/>
  <c r="P80" i="151" s="1"/>
  <c r="F80" i="151"/>
  <c r="D127" i="151"/>
  <c r="A128" i="151"/>
  <c r="B127" i="151"/>
  <c r="C127" i="151"/>
  <c r="G127" i="151"/>
  <c r="L79" i="151"/>
  <c r="D128" i="151" l="1"/>
  <c r="C128" i="151"/>
  <c r="A129" i="151"/>
  <c r="B128" i="151"/>
  <c r="G128" i="151"/>
  <c r="J81" i="151"/>
  <c r="AA82" i="151"/>
  <c r="K81" i="151"/>
  <c r="F81" i="151"/>
  <c r="O81" i="151"/>
  <c r="N81" i="151"/>
  <c r="P81" i="151" l="1"/>
  <c r="AA83" i="151"/>
  <c r="O82" i="151"/>
  <c r="F82" i="151"/>
  <c r="N82" i="151"/>
  <c r="P82" i="151" s="1"/>
  <c r="K82" i="151"/>
  <c r="J82" i="151"/>
  <c r="L81" i="151"/>
  <c r="G129" i="151"/>
  <c r="B129" i="151"/>
  <c r="C129" i="151"/>
  <c r="D129" i="151"/>
  <c r="A130" i="151"/>
  <c r="L82" i="151" l="1"/>
  <c r="AA84" i="151"/>
  <c r="J83" i="151"/>
  <c r="F83" i="151"/>
  <c r="K83" i="151"/>
  <c r="N83" i="151"/>
  <c r="O83" i="151"/>
  <c r="C130" i="151"/>
  <c r="D130" i="151"/>
  <c r="B130" i="151"/>
  <c r="A131" i="151"/>
  <c r="G130" i="151"/>
  <c r="P83" i="151" l="1"/>
  <c r="L83" i="151"/>
  <c r="D131" i="151"/>
  <c r="B131" i="151"/>
  <c r="G131" i="151"/>
  <c r="C131" i="151"/>
  <c r="A132" i="151"/>
  <c r="J84" i="151"/>
  <c r="AA85" i="151"/>
  <c r="N84" i="151"/>
  <c r="K84" i="151"/>
  <c r="O84" i="151"/>
  <c r="F84" i="151"/>
  <c r="L84" i="151" l="1"/>
  <c r="AA86" i="151"/>
  <c r="K85" i="151"/>
  <c r="N85" i="151"/>
  <c r="J85" i="151"/>
  <c r="L85" i="151" s="1"/>
  <c r="F85" i="151"/>
  <c r="O85" i="151"/>
  <c r="P84" i="151"/>
  <c r="A133" i="151"/>
  <c r="B132" i="151"/>
  <c r="D132" i="151"/>
  <c r="C132" i="151"/>
  <c r="G132" i="151"/>
  <c r="G133" i="151" l="1"/>
  <c r="B133" i="151"/>
  <c r="A134" i="151"/>
  <c r="C133" i="151"/>
  <c r="D133" i="151"/>
  <c r="P85" i="151"/>
  <c r="F86" i="151"/>
  <c r="K86" i="151"/>
  <c r="J86" i="151"/>
  <c r="AA87" i="151"/>
  <c r="N86" i="151"/>
  <c r="O86" i="151"/>
  <c r="P86" i="151" s="1"/>
  <c r="L86" i="151" l="1"/>
  <c r="D134" i="151"/>
  <c r="C134" i="151"/>
  <c r="A135" i="151"/>
  <c r="B134" i="151"/>
  <c r="G134" i="151"/>
  <c r="K87" i="151"/>
  <c r="F87" i="151"/>
  <c r="O87" i="151"/>
  <c r="AA88" i="151"/>
  <c r="N87" i="151"/>
  <c r="P87" i="151" s="1"/>
  <c r="J87" i="151"/>
  <c r="L87" i="151" s="1"/>
  <c r="O88" i="151" l="1"/>
  <c r="AA89" i="151"/>
  <c r="K88" i="151"/>
  <c r="N88" i="151"/>
  <c r="J88" i="151"/>
  <c r="L88" i="151" s="1"/>
  <c r="F88" i="151"/>
  <c r="G135" i="151"/>
  <c r="A136" i="151"/>
  <c r="D135" i="151"/>
  <c r="B135" i="151"/>
  <c r="C135" i="151"/>
  <c r="A137" i="151" l="1"/>
  <c r="C136" i="151"/>
  <c r="G136" i="151"/>
  <c r="B136" i="151"/>
  <c r="D136" i="151"/>
  <c r="O89" i="151"/>
  <c r="F89" i="151"/>
  <c r="K89" i="151"/>
  <c r="J89" i="151"/>
  <c r="AA90" i="151"/>
  <c r="N89" i="151"/>
  <c r="P88" i="151"/>
  <c r="P89" i="151" l="1"/>
  <c r="F90" i="151"/>
  <c r="AA91" i="151"/>
  <c r="J90" i="151"/>
  <c r="N90" i="151"/>
  <c r="O90" i="151"/>
  <c r="K90" i="151"/>
  <c r="L89" i="151"/>
  <c r="D137" i="151"/>
  <c r="B137" i="151"/>
  <c r="A138" i="151"/>
  <c r="C137" i="151"/>
  <c r="G137" i="151"/>
  <c r="L90" i="151" l="1"/>
  <c r="P90" i="151"/>
  <c r="F91" i="151"/>
  <c r="AA92" i="151"/>
  <c r="J91" i="151"/>
  <c r="K91" i="151"/>
  <c r="O91" i="151"/>
  <c r="N91" i="151"/>
  <c r="A139" i="151"/>
  <c r="B138" i="151"/>
  <c r="D138" i="151"/>
  <c r="C138" i="151"/>
  <c r="G138" i="151"/>
  <c r="P91" i="151" l="1"/>
  <c r="L91" i="151"/>
  <c r="D139" i="151"/>
  <c r="A140" i="151"/>
  <c r="B139" i="151"/>
  <c r="G139" i="151"/>
  <c r="C139" i="151"/>
  <c r="AA93" i="151"/>
  <c r="O92" i="151"/>
  <c r="F92" i="151"/>
  <c r="K92" i="151"/>
  <c r="N92" i="151"/>
  <c r="P92" i="151" s="1"/>
  <c r="J92" i="151"/>
  <c r="L92" i="151" l="1"/>
  <c r="AA94" i="151"/>
  <c r="F93" i="151"/>
  <c r="N93" i="151"/>
  <c r="O93" i="151"/>
  <c r="K93" i="151"/>
  <c r="J93" i="151"/>
  <c r="C140" i="151"/>
  <c r="A141" i="151"/>
  <c r="G140" i="151"/>
  <c r="B140" i="151"/>
  <c r="D140" i="151"/>
  <c r="L93" i="151" l="1"/>
  <c r="P93" i="151"/>
  <c r="C141" i="151"/>
  <c r="B141" i="151"/>
  <c r="D141" i="151"/>
  <c r="G141" i="151"/>
  <c r="S141" i="151" s="1"/>
  <c r="A142" i="151"/>
  <c r="A143" i="151" s="1"/>
  <c r="A144" i="151" s="1"/>
  <c r="A145" i="151" s="1"/>
  <c r="A146" i="151" s="1"/>
  <c r="K94" i="151"/>
  <c r="F94" i="151"/>
  <c r="O94" i="151"/>
  <c r="AA95" i="151"/>
  <c r="N94" i="151"/>
  <c r="P94" i="151" s="1"/>
  <c r="J94" i="151"/>
  <c r="L94" i="151" l="1"/>
  <c r="K95" i="151"/>
  <c r="J95" i="151"/>
  <c r="L95" i="151" s="1"/>
  <c r="N95" i="151"/>
  <c r="F95" i="151"/>
  <c r="AA96" i="151"/>
  <c r="O95" i="151"/>
  <c r="C146" i="151"/>
  <c r="B146" i="151"/>
  <c r="A147" i="151"/>
  <c r="G146" i="151"/>
  <c r="S146" i="151" s="1"/>
  <c r="D146" i="151"/>
  <c r="G147" i="151" l="1"/>
  <c r="S147" i="151" s="1"/>
  <c r="D147" i="151"/>
  <c r="A148" i="151"/>
  <c r="B147" i="151"/>
  <c r="C147" i="151"/>
  <c r="P95" i="151"/>
  <c r="F96" i="151"/>
  <c r="K96" i="151"/>
  <c r="O96" i="151"/>
  <c r="N96" i="151"/>
  <c r="J96" i="151"/>
  <c r="L96" i="151" s="1"/>
  <c r="AA97" i="151"/>
  <c r="P96" i="151" l="1"/>
  <c r="J97" i="151"/>
  <c r="F97" i="151"/>
  <c r="K97" i="151"/>
  <c r="O97" i="151"/>
  <c r="N97" i="151"/>
  <c r="AA98" i="151"/>
  <c r="A149" i="151"/>
  <c r="C148" i="151"/>
  <c r="G148" i="151"/>
  <c r="S148" i="151" s="1"/>
  <c r="D148" i="151"/>
  <c r="B148" i="151"/>
  <c r="G149" i="151" l="1"/>
  <c r="S149" i="151" s="1"/>
  <c r="S330" i="151" s="1"/>
  <c r="S332" i="151" s="1"/>
  <c r="C149" i="151"/>
  <c r="D149" i="151"/>
  <c r="A150" i="151"/>
  <c r="B149" i="151"/>
  <c r="O98" i="151"/>
  <c r="N98" i="151"/>
  <c r="J98" i="151"/>
  <c r="K98" i="151"/>
  <c r="AA99" i="151"/>
  <c r="F98" i="151"/>
  <c r="P97" i="151"/>
  <c r="L97" i="151"/>
  <c r="P98" i="151" l="1"/>
  <c r="K99" i="151"/>
  <c r="AA100" i="151"/>
  <c r="F99" i="151"/>
  <c r="J99" i="151"/>
  <c r="L99" i="151" s="1"/>
  <c r="N99" i="151"/>
  <c r="O99" i="151"/>
  <c r="L98" i="151"/>
  <c r="G150" i="151"/>
  <c r="D150" i="151"/>
  <c r="A151" i="151"/>
  <c r="C150" i="151"/>
  <c r="B150" i="151"/>
  <c r="P99" i="151" l="1"/>
  <c r="C151" i="151"/>
  <c r="G151" i="151"/>
  <c r="A152" i="151"/>
  <c r="B151" i="151"/>
  <c r="D151" i="151"/>
  <c r="K100" i="151"/>
  <c r="N100" i="151"/>
  <c r="J100" i="151"/>
  <c r="L100" i="151" s="1"/>
  <c r="F100" i="151"/>
  <c r="AA101" i="151"/>
  <c r="O100" i="151"/>
  <c r="P100" i="151" l="1"/>
  <c r="D152" i="151"/>
  <c r="C152" i="151"/>
  <c r="B152" i="151"/>
  <c r="G152" i="151"/>
  <c r="A153" i="151"/>
  <c r="F101" i="151"/>
  <c r="J101" i="151"/>
  <c r="O101" i="151"/>
  <c r="N101" i="151"/>
  <c r="K101" i="151"/>
  <c r="AA102" i="151"/>
  <c r="P101" i="151" l="1"/>
  <c r="N102" i="151"/>
  <c r="K102" i="151"/>
  <c r="AA103" i="151"/>
  <c r="O102" i="151"/>
  <c r="J102" i="151"/>
  <c r="L102" i="151" s="1"/>
  <c r="F102" i="151"/>
  <c r="L101" i="151"/>
  <c r="A154" i="151"/>
  <c r="B153" i="151"/>
  <c r="G153" i="151"/>
  <c r="C153" i="151"/>
  <c r="D153" i="151"/>
  <c r="G154" i="151" l="1"/>
  <c r="B154" i="151"/>
  <c r="A155" i="151"/>
  <c r="C154" i="151"/>
  <c r="D154" i="151"/>
  <c r="K103" i="151"/>
  <c r="J103" i="151"/>
  <c r="O103" i="151"/>
  <c r="F103" i="151"/>
  <c r="N103" i="151"/>
  <c r="AA104" i="151"/>
  <c r="P102" i="151"/>
  <c r="L103" i="151" l="1"/>
  <c r="P103" i="151"/>
  <c r="O104" i="151"/>
  <c r="N104" i="151"/>
  <c r="P104" i="151" s="1"/>
  <c r="K104" i="151"/>
  <c r="J104" i="151"/>
  <c r="F104" i="151"/>
  <c r="AA105" i="151"/>
  <c r="A156" i="151"/>
  <c r="G155" i="151"/>
  <c r="C155" i="151"/>
  <c r="B155" i="151"/>
  <c r="D155" i="151"/>
  <c r="L104" i="151" l="1"/>
  <c r="B156" i="151"/>
  <c r="C156" i="151"/>
  <c r="D156" i="151"/>
  <c r="G156" i="151"/>
  <c r="A157" i="151"/>
  <c r="K105" i="151"/>
  <c r="F105" i="151"/>
  <c r="J105" i="151"/>
  <c r="N105" i="151"/>
  <c r="AA106" i="151"/>
  <c r="O105" i="151"/>
  <c r="L105" i="151" l="1"/>
  <c r="P105" i="151"/>
  <c r="C157" i="151"/>
  <c r="B157" i="151"/>
  <c r="G157" i="151"/>
  <c r="D157" i="151"/>
  <c r="A158" i="151"/>
  <c r="J106" i="151"/>
  <c r="F106" i="151"/>
  <c r="N106" i="151"/>
  <c r="K106" i="151"/>
  <c r="O106" i="151"/>
  <c r="AA107" i="151"/>
  <c r="P106" i="151" l="1"/>
  <c r="J107" i="151"/>
  <c r="N107" i="151"/>
  <c r="AA108" i="151"/>
  <c r="K107" i="151"/>
  <c r="O107" i="151"/>
  <c r="F107" i="151"/>
  <c r="L106" i="151"/>
  <c r="B158" i="151"/>
  <c r="G158" i="151"/>
  <c r="D158" i="151"/>
  <c r="C158" i="151"/>
  <c r="A159" i="151"/>
  <c r="D159" i="151" l="1"/>
  <c r="C159" i="151"/>
  <c r="G159" i="151"/>
  <c r="B159" i="151"/>
  <c r="A160" i="151"/>
  <c r="K108" i="151"/>
  <c r="N108" i="151"/>
  <c r="J108" i="151"/>
  <c r="AA109" i="151"/>
  <c r="F108" i="151"/>
  <c r="O108" i="151"/>
  <c r="P107" i="151"/>
  <c r="L107" i="151"/>
  <c r="L108" i="151" l="1"/>
  <c r="AA110" i="151"/>
  <c r="F109" i="151"/>
  <c r="O109" i="151"/>
  <c r="J109" i="151"/>
  <c r="N109" i="151"/>
  <c r="P109" i="151" s="1"/>
  <c r="K109" i="151"/>
  <c r="P108" i="151"/>
  <c r="G160" i="151"/>
  <c r="D160" i="151"/>
  <c r="A161" i="151"/>
  <c r="C160" i="151"/>
  <c r="B160" i="151"/>
  <c r="A162" i="151" l="1"/>
  <c r="C161" i="151"/>
  <c r="G161" i="151"/>
  <c r="B161" i="151"/>
  <c r="D161" i="151"/>
  <c r="L109" i="151"/>
  <c r="F110" i="151"/>
  <c r="AA111" i="151"/>
  <c r="K110" i="151"/>
  <c r="O110" i="151"/>
  <c r="J110" i="151"/>
  <c r="N110" i="151"/>
  <c r="P110" i="151" s="1"/>
  <c r="L110" i="151" l="1"/>
  <c r="K111" i="151"/>
  <c r="F111" i="151"/>
  <c r="J111" i="151"/>
  <c r="L111" i="151" s="1"/>
  <c r="AA112" i="151"/>
  <c r="O111" i="151"/>
  <c r="N111" i="151"/>
  <c r="D162" i="151"/>
  <c r="B162" i="151"/>
  <c r="C162" i="151"/>
  <c r="G162" i="151"/>
  <c r="A163" i="151"/>
  <c r="P111" i="151" l="1"/>
  <c r="N112" i="151"/>
  <c r="F112" i="151"/>
  <c r="O112" i="151"/>
  <c r="P112" i="151" s="1"/>
  <c r="AA113" i="151"/>
  <c r="J112" i="151"/>
  <c r="K112" i="151"/>
  <c r="D163" i="151"/>
  <c r="C163" i="151"/>
  <c r="G163" i="151"/>
  <c r="A164" i="151"/>
  <c r="B163" i="151"/>
  <c r="L112" i="151" l="1"/>
  <c r="G164" i="151"/>
  <c r="C164" i="151"/>
  <c r="D164" i="151"/>
  <c r="B164" i="151"/>
  <c r="A165" i="151"/>
  <c r="F113" i="151"/>
  <c r="N113" i="151"/>
  <c r="O113" i="151"/>
  <c r="AA114" i="151"/>
  <c r="K113" i="151"/>
  <c r="J113" i="151"/>
  <c r="P113" i="151" l="1"/>
  <c r="C165" i="151"/>
  <c r="D165" i="151"/>
  <c r="A166" i="151"/>
  <c r="G165" i="151"/>
  <c r="B165" i="151"/>
  <c r="L113" i="151"/>
  <c r="N114" i="151"/>
  <c r="K114" i="151"/>
  <c r="AA115" i="151"/>
  <c r="F114" i="151"/>
  <c r="J114" i="151"/>
  <c r="L114" i="151" s="1"/>
  <c r="O114" i="151"/>
  <c r="K115" i="151" l="1"/>
  <c r="AA116" i="151"/>
  <c r="N115" i="151"/>
  <c r="O115" i="151"/>
  <c r="F115" i="151"/>
  <c r="J115" i="151"/>
  <c r="P114" i="151"/>
  <c r="D166" i="151"/>
  <c r="B166" i="151"/>
  <c r="C166" i="151"/>
  <c r="G166" i="151"/>
  <c r="A167" i="151"/>
  <c r="P115" i="151" l="1"/>
  <c r="A168" i="151"/>
  <c r="C167" i="151"/>
  <c r="D167" i="151"/>
  <c r="B167" i="151"/>
  <c r="G167" i="151"/>
  <c r="K116" i="151"/>
  <c r="O116" i="151"/>
  <c r="N116" i="151"/>
  <c r="F116" i="151"/>
  <c r="AA117" i="151"/>
  <c r="J116" i="151"/>
  <c r="L116" i="151" s="1"/>
  <c r="L115" i="151"/>
  <c r="P116" i="151" l="1"/>
  <c r="K117" i="151"/>
  <c r="AA118" i="151"/>
  <c r="O117" i="151"/>
  <c r="J117" i="151"/>
  <c r="L117" i="151" s="1"/>
  <c r="F117" i="151"/>
  <c r="N117" i="151"/>
  <c r="P117" i="151" s="1"/>
  <c r="B168" i="151"/>
  <c r="G168" i="151"/>
  <c r="C168" i="151"/>
  <c r="A169" i="151"/>
  <c r="D168" i="151"/>
  <c r="A170" i="151" l="1"/>
  <c r="G169" i="151"/>
  <c r="B169" i="151"/>
  <c r="C169" i="151"/>
  <c r="D169" i="151"/>
  <c r="AA119" i="151"/>
  <c r="N118" i="151"/>
  <c r="J118" i="151"/>
  <c r="K118" i="151"/>
  <c r="O118" i="151"/>
  <c r="F118" i="151"/>
  <c r="L118" i="151" l="1"/>
  <c r="P118" i="151"/>
  <c r="O119" i="151"/>
  <c r="J119" i="151"/>
  <c r="AA120" i="151"/>
  <c r="N119" i="151"/>
  <c r="P119" i="151" s="1"/>
  <c r="K119" i="151"/>
  <c r="F119" i="151"/>
  <c r="B170" i="151"/>
  <c r="C170" i="151"/>
  <c r="D170" i="151"/>
  <c r="G170" i="151"/>
  <c r="A171" i="151"/>
  <c r="A172" i="151" l="1"/>
  <c r="D171" i="151"/>
  <c r="B171" i="151"/>
  <c r="C171" i="151"/>
  <c r="G171" i="151"/>
  <c r="J120" i="151"/>
  <c r="AA121" i="151"/>
  <c r="F120" i="151"/>
  <c r="N120" i="151"/>
  <c r="K120" i="151"/>
  <c r="O120" i="151"/>
  <c r="L119" i="151"/>
  <c r="P120" i="151" l="1"/>
  <c r="J121" i="151"/>
  <c r="O121" i="151"/>
  <c r="F121" i="151"/>
  <c r="N121" i="151"/>
  <c r="P121" i="151" s="1"/>
  <c r="AA122" i="151"/>
  <c r="K121" i="151"/>
  <c r="L120" i="151"/>
  <c r="A173" i="151"/>
  <c r="C172" i="151"/>
  <c r="D172" i="151"/>
  <c r="B172" i="151"/>
  <c r="G172" i="151"/>
  <c r="A174" i="151" l="1"/>
  <c r="D173" i="151"/>
  <c r="B173" i="151"/>
  <c r="G173" i="151"/>
  <c r="C173" i="151"/>
  <c r="N122" i="151"/>
  <c r="O122" i="151"/>
  <c r="F122" i="151"/>
  <c r="J122" i="151"/>
  <c r="K122" i="151"/>
  <c r="AA123" i="151"/>
  <c r="L121" i="151"/>
  <c r="K123" i="151" l="1"/>
  <c r="F123" i="151"/>
  <c r="AA124" i="151"/>
  <c r="N123" i="151"/>
  <c r="O123" i="151"/>
  <c r="P123" i="151" s="1"/>
  <c r="J123" i="151"/>
  <c r="L122" i="151"/>
  <c r="P122" i="151"/>
  <c r="G174" i="151"/>
  <c r="C174" i="151"/>
  <c r="A175" i="151"/>
  <c r="D174" i="151"/>
  <c r="B174" i="151"/>
  <c r="D175" i="151" l="1"/>
  <c r="G175" i="151"/>
  <c r="B175" i="151"/>
  <c r="C175" i="151"/>
  <c r="A176" i="151"/>
  <c r="N124" i="151"/>
  <c r="K124" i="151"/>
  <c r="O124" i="151"/>
  <c r="F124" i="151"/>
  <c r="AA125" i="151"/>
  <c r="J124" i="151"/>
  <c r="L124" i="151" s="1"/>
  <c r="L123" i="151"/>
  <c r="P124" i="151" l="1"/>
  <c r="AA126" i="151"/>
  <c r="J125" i="151"/>
  <c r="N125" i="151"/>
  <c r="F125" i="151"/>
  <c r="O125" i="151"/>
  <c r="K125" i="151"/>
  <c r="D176" i="151"/>
  <c r="C176" i="151"/>
  <c r="A177" i="151"/>
  <c r="B176" i="151"/>
  <c r="G176" i="151"/>
  <c r="A178" i="151" l="1"/>
  <c r="G177" i="151"/>
  <c r="D177" i="151"/>
  <c r="B177" i="151"/>
  <c r="C177" i="151"/>
  <c r="P125" i="151"/>
  <c r="L125" i="151"/>
  <c r="K126" i="151"/>
  <c r="AA127" i="151"/>
  <c r="F126" i="151"/>
  <c r="J126" i="151"/>
  <c r="L126" i="151" s="1"/>
  <c r="O126" i="151"/>
  <c r="N126" i="151"/>
  <c r="J127" i="151" l="1"/>
  <c r="F127" i="151"/>
  <c r="N127" i="151"/>
  <c r="K127" i="151"/>
  <c r="O127" i="151"/>
  <c r="AA128" i="151"/>
  <c r="P126" i="151"/>
  <c r="A179" i="151"/>
  <c r="B178" i="151"/>
  <c r="G178" i="151"/>
  <c r="D178" i="151"/>
  <c r="C178" i="151"/>
  <c r="P127" i="151" l="1"/>
  <c r="D179" i="151"/>
  <c r="B179" i="151"/>
  <c r="C179" i="151"/>
  <c r="A180" i="151"/>
  <c r="G179" i="151"/>
  <c r="N128" i="151"/>
  <c r="O128" i="151"/>
  <c r="J128" i="151"/>
  <c r="K128" i="151"/>
  <c r="AA129" i="151"/>
  <c r="F128" i="151"/>
  <c r="L127" i="151"/>
  <c r="F129" i="151" l="1"/>
  <c r="N129" i="151"/>
  <c r="AA130" i="151"/>
  <c r="J129" i="151"/>
  <c r="O129" i="151"/>
  <c r="K129" i="151"/>
  <c r="L128" i="151"/>
  <c r="P128" i="151"/>
  <c r="B180" i="151"/>
  <c r="C180" i="151"/>
  <c r="A181" i="151"/>
  <c r="G180" i="151"/>
  <c r="D180" i="151"/>
  <c r="A182" i="151" l="1"/>
  <c r="G181" i="151"/>
  <c r="B181" i="151"/>
  <c r="D181" i="151"/>
  <c r="C181" i="151"/>
  <c r="L129" i="151"/>
  <c r="K130" i="151"/>
  <c r="AA131" i="151"/>
  <c r="N130" i="151"/>
  <c r="O130" i="151"/>
  <c r="J130" i="151"/>
  <c r="L130" i="151" s="1"/>
  <c r="F130" i="151"/>
  <c r="P129" i="151"/>
  <c r="P130" i="151" l="1"/>
  <c r="F131" i="151"/>
  <c r="K131" i="151"/>
  <c r="AA132" i="151"/>
  <c r="O131" i="151"/>
  <c r="N131" i="151"/>
  <c r="J131" i="151"/>
  <c r="D182" i="151"/>
  <c r="B182" i="151"/>
  <c r="A183" i="151"/>
  <c r="C182" i="151"/>
  <c r="G182" i="151"/>
  <c r="L131" i="151" l="1"/>
  <c r="K132" i="151"/>
  <c r="O132" i="151"/>
  <c r="AA133" i="151"/>
  <c r="F132" i="151"/>
  <c r="N132" i="151"/>
  <c r="P132" i="151" s="1"/>
  <c r="J132" i="151"/>
  <c r="D183" i="151"/>
  <c r="C183" i="151"/>
  <c r="B183" i="151"/>
  <c r="A184" i="151"/>
  <c r="G183" i="151"/>
  <c r="P131" i="151"/>
  <c r="L132" i="151" l="1"/>
  <c r="C184" i="151"/>
  <c r="A185" i="151"/>
  <c r="D184" i="151"/>
  <c r="G184" i="151"/>
  <c r="B184" i="151"/>
  <c r="K133" i="151"/>
  <c r="N133" i="151"/>
  <c r="F133" i="151"/>
  <c r="AA134" i="151"/>
  <c r="J133" i="151"/>
  <c r="L133" i="151" s="1"/>
  <c r="O133" i="151"/>
  <c r="P133" i="151" l="1"/>
  <c r="D185" i="151"/>
  <c r="C185" i="151"/>
  <c r="A186" i="151"/>
  <c r="G185" i="151"/>
  <c r="B185" i="151"/>
  <c r="N134" i="151"/>
  <c r="F134" i="151"/>
  <c r="AA135" i="151"/>
  <c r="J134" i="151"/>
  <c r="K134" i="151"/>
  <c r="O134" i="151"/>
  <c r="L134" i="151" l="1"/>
  <c r="P134" i="151"/>
  <c r="C186" i="151"/>
  <c r="A187" i="151"/>
  <c r="D186" i="151"/>
  <c r="G186" i="151"/>
  <c r="B186" i="151"/>
  <c r="J135" i="151"/>
  <c r="N135" i="151"/>
  <c r="K135" i="151"/>
  <c r="AA136" i="151"/>
  <c r="F135" i="151"/>
  <c r="O135" i="151"/>
  <c r="P135" i="151" s="1"/>
  <c r="N136" i="151" l="1"/>
  <c r="J136" i="151"/>
  <c r="K136" i="151"/>
  <c r="AA137" i="151"/>
  <c r="O136" i="151"/>
  <c r="F136" i="151"/>
  <c r="L135" i="151"/>
  <c r="G187" i="151"/>
  <c r="B187" i="151"/>
  <c r="C187" i="151"/>
  <c r="D187" i="151"/>
  <c r="A188" i="151"/>
  <c r="O137" i="151" l="1"/>
  <c r="F137" i="151"/>
  <c r="J137" i="151"/>
  <c r="AA138" i="151"/>
  <c r="K137" i="151"/>
  <c r="N137" i="151"/>
  <c r="P137" i="151" s="1"/>
  <c r="D188" i="151"/>
  <c r="G188" i="151"/>
  <c r="A189" i="151"/>
  <c r="C188" i="151"/>
  <c r="B188" i="151"/>
  <c r="L136" i="151"/>
  <c r="P136" i="151"/>
  <c r="L137" i="151" l="1"/>
  <c r="J138" i="151"/>
  <c r="N138" i="151"/>
  <c r="O138" i="151"/>
  <c r="K138" i="151"/>
  <c r="F138" i="151"/>
  <c r="AA139" i="151"/>
  <c r="D189" i="151"/>
  <c r="A190" i="151"/>
  <c r="G189" i="151"/>
  <c r="B189" i="151"/>
  <c r="C189" i="151"/>
  <c r="G190" i="151" l="1"/>
  <c r="B190" i="151"/>
  <c r="C190" i="151"/>
  <c r="D190" i="151"/>
  <c r="A191" i="151"/>
  <c r="N139" i="151"/>
  <c r="K139" i="151"/>
  <c r="AA140" i="151"/>
  <c r="F139" i="151"/>
  <c r="J139" i="151"/>
  <c r="L139" i="151" s="1"/>
  <c r="O139" i="151"/>
  <c r="P138" i="151"/>
  <c r="L138" i="151"/>
  <c r="P139" i="151" l="1"/>
  <c r="J140" i="151"/>
  <c r="F140" i="151"/>
  <c r="AA141" i="151"/>
  <c r="K140" i="151"/>
  <c r="N140" i="151"/>
  <c r="O140" i="151"/>
  <c r="D191" i="151"/>
  <c r="G191" i="151"/>
  <c r="B191" i="151"/>
  <c r="A192" i="151"/>
  <c r="C191" i="151"/>
  <c r="P140" i="151" l="1"/>
  <c r="G192" i="151"/>
  <c r="D192" i="151"/>
  <c r="A193" i="151"/>
  <c r="B192" i="151"/>
  <c r="C192" i="151"/>
  <c r="AA142" i="151"/>
  <c r="AA143" i="151" s="1"/>
  <c r="AA144" i="151" s="1"/>
  <c r="AA145" i="151" s="1"/>
  <c r="AA146" i="151" s="1"/>
  <c r="K141" i="151"/>
  <c r="K143" i="151" s="1"/>
  <c r="N141" i="151"/>
  <c r="J141" i="151"/>
  <c r="F141" i="151"/>
  <c r="O141" i="151"/>
  <c r="O143" i="151" s="1"/>
  <c r="L140" i="151"/>
  <c r="P141" i="151" l="1"/>
  <c r="P143" i="151" s="1"/>
  <c r="N143" i="151"/>
  <c r="L141" i="151"/>
  <c r="L143" i="151" s="1"/>
  <c r="J143" i="151"/>
  <c r="F146" i="151"/>
  <c r="K146" i="151"/>
  <c r="O146" i="151"/>
  <c r="J146" i="151"/>
  <c r="N146" i="151"/>
  <c r="AA147" i="151"/>
  <c r="G193" i="151"/>
  <c r="C193" i="151"/>
  <c r="B193" i="151"/>
  <c r="A194" i="151"/>
  <c r="D193" i="151"/>
  <c r="P146" i="151" l="1"/>
  <c r="L146" i="151"/>
  <c r="N147" i="151"/>
  <c r="K147" i="151"/>
  <c r="AA148" i="151"/>
  <c r="J147" i="151"/>
  <c r="L147" i="151" s="1"/>
  <c r="F147" i="151"/>
  <c r="O147" i="151"/>
  <c r="B194" i="151"/>
  <c r="D194" i="151"/>
  <c r="G194" i="151"/>
  <c r="A195" i="151"/>
  <c r="C194" i="151"/>
  <c r="P147" i="151" l="1"/>
  <c r="AA149" i="151"/>
  <c r="N148" i="151"/>
  <c r="O148" i="151"/>
  <c r="F148" i="151"/>
  <c r="K148" i="151"/>
  <c r="J148" i="151"/>
  <c r="B195" i="151"/>
  <c r="G195" i="151"/>
  <c r="D195" i="151"/>
  <c r="A196" i="151"/>
  <c r="C195" i="151"/>
  <c r="L148" i="151" l="1"/>
  <c r="P148" i="151"/>
  <c r="B196" i="151"/>
  <c r="G196" i="151"/>
  <c r="A197" i="151"/>
  <c r="C196" i="151"/>
  <c r="D196" i="151"/>
  <c r="O149" i="151"/>
  <c r="AA150" i="151"/>
  <c r="J149" i="151"/>
  <c r="K149" i="151"/>
  <c r="N149" i="151"/>
  <c r="F149" i="151"/>
  <c r="L149" i="151" l="1"/>
  <c r="F150" i="151"/>
  <c r="J150" i="151"/>
  <c r="N150" i="151"/>
  <c r="AA151" i="151"/>
  <c r="K150" i="151"/>
  <c r="L150" i="151" s="1"/>
  <c r="O150" i="151"/>
  <c r="B197" i="151"/>
  <c r="G197" i="151"/>
  <c r="A198" i="151"/>
  <c r="C197" i="151"/>
  <c r="D197" i="151"/>
  <c r="P149" i="151"/>
  <c r="P150" i="151" l="1"/>
  <c r="A199" i="151"/>
  <c r="C198" i="151"/>
  <c r="B198" i="151"/>
  <c r="D198" i="151"/>
  <c r="G198" i="151"/>
  <c r="N151" i="151"/>
  <c r="J151" i="151"/>
  <c r="K151" i="151"/>
  <c r="AA152" i="151"/>
  <c r="F151" i="151"/>
  <c r="O151" i="151"/>
  <c r="P151" i="151" s="1"/>
  <c r="L151" i="151" l="1"/>
  <c r="K152" i="151"/>
  <c r="O152" i="151"/>
  <c r="F152" i="151"/>
  <c r="AA153" i="151"/>
  <c r="J152" i="151"/>
  <c r="L152" i="151" s="1"/>
  <c r="N152" i="151"/>
  <c r="C199" i="151"/>
  <c r="A200" i="151"/>
  <c r="G199" i="151"/>
  <c r="B199" i="151"/>
  <c r="D199" i="151"/>
  <c r="P152" i="151" l="1"/>
  <c r="D200" i="151"/>
  <c r="C200" i="151"/>
  <c r="A201" i="151"/>
  <c r="B200" i="151"/>
  <c r="G200" i="151"/>
  <c r="F153" i="151"/>
  <c r="N153" i="151"/>
  <c r="J153" i="151"/>
  <c r="AA154" i="151"/>
  <c r="O153" i="151"/>
  <c r="K153" i="151"/>
  <c r="L153" i="151" l="1"/>
  <c r="K154" i="151"/>
  <c r="F154" i="151"/>
  <c r="AA155" i="151"/>
  <c r="J154" i="151"/>
  <c r="L154" i="151" s="1"/>
  <c r="N154" i="151"/>
  <c r="O154" i="151"/>
  <c r="P153" i="151"/>
  <c r="D201" i="151"/>
  <c r="B201" i="151"/>
  <c r="C201" i="151"/>
  <c r="A202" i="151"/>
  <c r="G201" i="151"/>
  <c r="B202" i="151" l="1"/>
  <c r="G202" i="151"/>
  <c r="C202" i="151"/>
  <c r="A203" i="151"/>
  <c r="D202" i="151"/>
  <c r="O155" i="151"/>
  <c r="F155" i="151"/>
  <c r="AA156" i="151"/>
  <c r="N155" i="151"/>
  <c r="J155" i="151"/>
  <c r="K155" i="151"/>
  <c r="P154" i="151"/>
  <c r="P155" i="151" l="1"/>
  <c r="L155" i="151"/>
  <c r="K156" i="151"/>
  <c r="F156" i="151"/>
  <c r="AA157" i="151"/>
  <c r="N156" i="151"/>
  <c r="O156" i="151"/>
  <c r="J156" i="151"/>
  <c r="A204" i="151"/>
  <c r="D203" i="151"/>
  <c r="B203" i="151"/>
  <c r="C203" i="151"/>
  <c r="G203" i="151"/>
  <c r="L156" i="151" l="1"/>
  <c r="G204" i="151"/>
  <c r="D204" i="151"/>
  <c r="C204" i="151"/>
  <c r="A205" i="151"/>
  <c r="B204" i="151"/>
  <c r="P156" i="151"/>
  <c r="F157" i="151"/>
  <c r="AA158" i="151"/>
  <c r="O157" i="151"/>
  <c r="J157" i="151"/>
  <c r="N157" i="151"/>
  <c r="K157" i="151"/>
  <c r="P157" i="151" l="1"/>
  <c r="K158" i="151"/>
  <c r="AA159" i="151"/>
  <c r="F158" i="151"/>
  <c r="J158" i="151"/>
  <c r="L158" i="151" s="1"/>
  <c r="N158" i="151"/>
  <c r="O158" i="151"/>
  <c r="G205" i="151"/>
  <c r="C205" i="151"/>
  <c r="A206" i="151"/>
  <c r="B205" i="151"/>
  <c r="D205" i="151"/>
  <c r="L157" i="151"/>
  <c r="P158" i="151" l="1"/>
  <c r="C206" i="151"/>
  <c r="A207" i="151"/>
  <c r="G206" i="151"/>
  <c r="D206" i="151"/>
  <c r="B206" i="151"/>
  <c r="K159" i="151"/>
  <c r="F159" i="151"/>
  <c r="N159" i="151"/>
  <c r="J159" i="151"/>
  <c r="L159" i="151" s="1"/>
  <c r="O159" i="151"/>
  <c r="AA160" i="151"/>
  <c r="P159" i="151" l="1"/>
  <c r="D207" i="151"/>
  <c r="A208" i="151"/>
  <c r="G207" i="151"/>
  <c r="B207" i="151"/>
  <c r="C207" i="151"/>
  <c r="N160" i="151"/>
  <c r="F160" i="151"/>
  <c r="AA161" i="151"/>
  <c r="J160" i="151"/>
  <c r="K160" i="151"/>
  <c r="O160" i="151"/>
  <c r="P160" i="151" s="1"/>
  <c r="L160" i="151" l="1"/>
  <c r="J161" i="151"/>
  <c r="K161" i="151"/>
  <c r="AA162" i="151"/>
  <c r="O161" i="151"/>
  <c r="N161" i="151"/>
  <c r="F161" i="151"/>
  <c r="A209" i="151"/>
  <c r="G208" i="151"/>
  <c r="B208" i="151"/>
  <c r="D208" i="151"/>
  <c r="C208" i="151"/>
  <c r="P161" i="151" l="1"/>
  <c r="C209" i="151"/>
  <c r="B209" i="151"/>
  <c r="A210" i="151"/>
  <c r="D209" i="151"/>
  <c r="G209" i="151"/>
  <c r="K162" i="151"/>
  <c r="AA163" i="151"/>
  <c r="F162" i="151"/>
  <c r="J162" i="151"/>
  <c r="L162" i="151" s="1"/>
  <c r="O162" i="151"/>
  <c r="N162" i="151"/>
  <c r="L161" i="151"/>
  <c r="P162" i="151" l="1"/>
  <c r="K163" i="151"/>
  <c r="O163" i="151"/>
  <c r="J163" i="151"/>
  <c r="N163" i="151"/>
  <c r="F163" i="151"/>
  <c r="AA164" i="151"/>
  <c r="D210" i="151"/>
  <c r="C210" i="151"/>
  <c r="G210" i="151"/>
  <c r="B210" i="151"/>
  <c r="A211" i="151"/>
  <c r="B211" i="151" l="1"/>
  <c r="G211" i="151"/>
  <c r="D211" i="151"/>
  <c r="C211" i="151"/>
  <c r="A212" i="151"/>
  <c r="AA165" i="151"/>
  <c r="O164" i="151"/>
  <c r="K164" i="151"/>
  <c r="N164" i="151"/>
  <c r="P164" i="151" s="1"/>
  <c r="J164" i="151"/>
  <c r="F164" i="151"/>
  <c r="P163" i="151"/>
  <c r="L163" i="151"/>
  <c r="L164" i="151" l="1"/>
  <c r="N165" i="151"/>
  <c r="J165" i="151"/>
  <c r="AA166" i="151"/>
  <c r="O165" i="151"/>
  <c r="P165" i="151" s="1"/>
  <c r="K165" i="151"/>
  <c r="F165" i="151"/>
  <c r="A213" i="151"/>
  <c r="B212" i="151"/>
  <c r="D212" i="151"/>
  <c r="C212" i="151"/>
  <c r="G212" i="151"/>
  <c r="F166" i="151" l="1"/>
  <c r="AA167" i="151"/>
  <c r="N166" i="151"/>
  <c r="K166" i="151"/>
  <c r="J166" i="151"/>
  <c r="L166" i="151" s="1"/>
  <c r="O166" i="151"/>
  <c r="P166" i="151" s="1"/>
  <c r="L165" i="151"/>
  <c r="A214" i="151"/>
  <c r="G213" i="151"/>
  <c r="C213" i="151"/>
  <c r="B213" i="151"/>
  <c r="D213" i="151"/>
  <c r="C214" i="151" l="1"/>
  <c r="D214" i="151"/>
  <c r="A215" i="151"/>
  <c r="B214" i="151"/>
  <c r="G214" i="151"/>
  <c r="AA168" i="151"/>
  <c r="K167" i="151"/>
  <c r="J167" i="151"/>
  <c r="O167" i="151"/>
  <c r="N167" i="151"/>
  <c r="F167" i="151"/>
  <c r="P167" i="151" l="1"/>
  <c r="L167" i="151"/>
  <c r="K168" i="151"/>
  <c r="J168" i="151"/>
  <c r="AA169" i="151"/>
  <c r="N168" i="151"/>
  <c r="O168" i="151"/>
  <c r="F168" i="151"/>
  <c r="D215" i="151"/>
  <c r="C215" i="151"/>
  <c r="A216" i="151"/>
  <c r="B215" i="151"/>
  <c r="G215" i="151"/>
  <c r="B216" i="151" l="1"/>
  <c r="C216" i="151"/>
  <c r="A217" i="151"/>
  <c r="D216" i="151"/>
  <c r="G216" i="151"/>
  <c r="P168" i="151"/>
  <c r="F169" i="151"/>
  <c r="K169" i="151"/>
  <c r="N169" i="151"/>
  <c r="O169" i="151"/>
  <c r="P169" i="151" s="1"/>
  <c r="J169" i="151"/>
  <c r="AA170" i="151"/>
  <c r="L168" i="151"/>
  <c r="L169" i="151" l="1"/>
  <c r="D217" i="151"/>
  <c r="B217" i="151"/>
  <c r="A218" i="151"/>
  <c r="C217" i="151"/>
  <c r="G217" i="151"/>
  <c r="AA171" i="151"/>
  <c r="K170" i="151"/>
  <c r="N170" i="151"/>
  <c r="O170" i="151"/>
  <c r="P170" i="151" s="1"/>
  <c r="F170" i="151"/>
  <c r="J170" i="151"/>
  <c r="L170" i="151" s="1"/>
  <c r="AA172" i="151" l="1"/>
  <c r="F171" i="151"/>
  <c r="O171" i="151"/>
  <c r="N171" i="151"/>
  <c r="P171" i="151" s="1"/>
  <c r="K171" i="151"/>
  <c r="J171" i="151"/>
  <c r="D218" i="151"/>
  <c r="G218" i="151"/>
  <c r="C218" i="151"/>
  <c r="B218" i="151"/>
  <c r="A219" i="151"/>
  <c r="C219" i="151" l="1"/>
  <c r="B219" i="151"/>
  <c r="G219" i="151"/>
  <c r="D219" i="151"/>
  <c r="A220" i="151"/>
  <c r="L171" i="151"/>
  <c r="AA173" i="151"/>
  <c r="O172" i="151"/>
  <c r="J172" i="151"/>
  <c r="N172" i="151"/>
  <c r="P172" i="151" s="1"/>
  <c r="F172" i="151"/>
  <c r="K172" i="151"/>
  <c r="L172" i="151" l="1"/>
  <c r="J173" i="151"/>
  <c r="K173" i="151"/>
  <c r="AA174" i="151"/>
  <c r="O173" i="151"/>
  <c r="N173" i="151"/>
  <c r="P173" i="151" s="1"/>
  <c r="F173" i="151"/>
  <c r="B220" i="151"/>
  <c r="C220" i="151"/>
  <c r="D220" i="151"/>
  <c r="G220" i="151"/>
  <c r="A221" i="151"/>
  <c r="L173" i="151" l="1"/>
  <c r="G221" i="151"/>
  <c r="A222" i="151"/>
  <c r="B221" i="151"/>
  <c r="D221" i="151"/>
  <c r="C221" i="151"/>
  <c r="O174" i="151"/>
  <c r="J174" i="151"/>
  <c r="K174" i="151"/>
  <c r="AA175" i="151"/>
  <c r="F174" i="151"/>
  <c r="N174" i="151"/>
  <c r="P174" i="151" s="1"/>
  <c r="N175" i="151" l="1"/>
  <c r="J175" i="151"/>
  <c r="O175" i="151"/>
  <c r="F175" i="151"/>
  <c r="K175" i="151"/>
  <c r="AA176" i="151"/>
  <c r="L174" i="151"/>
  <c r="A223" i="151"/>
  <c r="G222" i="151"/>
  <c r="D222" i="151"/>
  <c r="B222" i="151"/>
  <c r="C222" i="151"/>
  <c r="D223" i="151" l="1"/>
  <c r="A224" i="151"/>
  <c r="G223" i="151"/>
  <c r="C223" i="151"/>
  <c r="B223" i="151"/>
  <c r="L175" i="151"/>
  <c r="O176" i="151"/>
  <c r="F176" i="151"/>
  <c r="K176" i="151"/>
  <c r="AA177" i="151"/>
  <c r="N176" i="151"/>
  <c r="P176" i="151" s="1"/>
  <c r="J176" i="151"/>
  <c r="L176" i="151" s="1"/>
  <c r="P175" i="151"/>
  <c r="O177" i="151" l="1"/>
  <c r="J177" i="151"/>
  <c r="K177" i="151"/>
  <c r="F177" i="151"/>
  <c r="N177" i="151"/>
  <c r="AA178" i="151"/>
  <c r="A225" i="151"/>
  <c r="D224" i="151"/>
  <c r="C224" i="151"/>
  <c r="B224" i="151"/>
  <c r="G224" i="151"/>
  <c r="L177" i="151" l="1"/>
  <c r="N178" i="151"/>
  <c r="AA179" i="151"/>
  <c r="O178" i="151"/>
  <c r="J178" i="151"/>
  <c r="K178" i="151"/>
  <c r="F178" i="151"/>
  <c r="G225" i="151"/>
  <c r="B225" i="151"/>
  <c r="D225" i="151"/>
  <c r="C225" i="151"/>
  <c r="A226" i="151"/>
  <c r="P177" i="151"/>
  <c r="L178" i="151" l="1"/>
  <c r="D226" i="151"/>
  <c r="B226" i="151"/>
  <c r="G226" i="151"/>
  <c r="C226" i="151"/>
  <c r="A227" i="151"/>
  <c r="AA180" i="151"/>
  <c r="K179" i="151"/>
  <c r="F179" i="151"/>
  <c r="N179" i="151"/>
  <c r="J179" i="151"/>
  <c r="L179" i="151" s="1"/>
  <c r="O179" i="151"/>
  <c r="P178" i="151"/>
  <c r="P179" i="151" l="1"/>
  <c r="J180" i="151"/>
  <c r="K180" i="151"/>
  <c r="O180" i="151"/>
  <c r="AA181" i="151"/>
  <c r="N180" i="151"/>
  <c r="P180" i="151" s="1"/>
  <c r="F180" i="151"/>
  <c r="D227" i="151"/>
  <c r="G227" i="151"/>
  <c r="B227" i="151"/>
  <c r="C227" i="151"/>
  <c r="A228" i="151"/>
  <c r="N181" i="151" l="1"/>
  <c r="O181" i="151"/>
  <c r="J181" i="151"/>
  <c r="F181" i="151"/>
  <c r="AA182" i="151"/>
  <c r="K181" i="151"/>
  <c r="G228" i="151"/>
  <c r="B228" i="151"/>
  <c r="A229" i="151"/>
  <c r="D228" i="151"/>
  <c r="C228" i="151"/>
  <c r="L180" i="151"/>
  <c r="F182" i="151" l="1"/>
  <c r="J182" i="151"/>
  <c r="O182" i="151"/>
  <c r="AA183" i="151"/>
  <c r="K182" i="151"/>
  <c r="N182" i="151"/>
  <c r="L181" i="151"/>
  <c r="B229" i="151"/>
  <c r="D229" i="151"/>
  <c r="A230" i="151"/>
  <c r="G229" i="151"/>
  <c r="C229" i="151"/>
  <c r="P181" i="151"/>
  <c r="P182" i="151" l="1"/>
  <c r="D230" i="151"/>
  <c r="C230" i="151"/>
  <c r="B230" i="151"/>
  <c r="G230" i="151"/>
  <c r="A231" i="151"/>
  <c r="N183" i="151"/>
  <c r="AA184" i="151"/>
  <c r="F183" i="151"/>
  <c r="O183" i="151"/>
  <c r="K183" i="151"/>
  <c r="J183" i="151"/>
  <c r="L183" i="151" s="1"/>
  <c r="L182" i="151"/>
  <c r="P183" i="151" l="1"/>
  <c r="D231" i="151"/>
  <c r="C231" i="151"/>
  <c r="A232" i="151"/>
  <c r="G231" i="151"/>
  <c r="B231" i="151"/>
  <c r="N184" i="151"/>
  <c r="F184" i="151"/>
  <c r="J184" i="151"/>
  <c r="AA185" i="151"/>
  <c r="O184" i="151"/>
  <c r="K184" i="151"/>
  <c r="L184" i="151" l="1"/>
  <c r="O185" i="151"/>
  <c r="AA186" i="151"/>
  <c r="J185" i="151"/>
  <c r="F185" i="151"/>
  <c r="N185" i="151"/>
  <c r="P185" i="151" s="1"/>
  <c r="K185" i="151"/>
  <c r="P184" i="151"/>
  <c r="C232" i="151"/>
  <c r="B232" i="151"/>
  <c r="D232" i="151"/>
  <c r="G232" i="151"/>
  <c r="A233" i="151"/>
  <c r="J186" i="151" l="1"/>
  <c r="K186" i="151"/>
  <c r="N186" i="151"/>
  <c r="AA187" i="151"/>
  <c r="O186" i="151"/>
  <c r="F186" i="151"/>
  <c r="L185" i="151"/>
  <c r="G233" i="151"/>
  <c r="D233" i="151"/>
  <c r="A234" i="151"/>
  <c r="B233" i="151"/>
  <c r="C233" i="151"/>
  <c r="P186" i="151" l="1"/>
  <c r="A235" i="151"/>
  <c r="D234" i="151"/>
  <c r="B234" i="151"/>
  <c r="G234" i="151"/>
  <c r="C234" i="151"/>
  <c r="N187" i="151"/>
  <c r="K187" i="151"/>
  <c r="AA188" i="151"/>
  <c r="F187" i="151"/>
  <c r="O187" i="151"/>
  <c r="J187" i="151"/>
  <c r="L187" i="151" s="1"/>
  <c r="L186" i="151"/>
  <c r="O188" i="151" l="1"/>
  <c r="K188" i="151"/>
  <c r="J188" i="151"/>
  <c r="L188" i="151" s="1"/>
  <c r="AA189" i="151"/>
  <c r="N188" i="151"/>
  <c r="P188" i="151" s="1"/>
  <c r="F188" i="151"/>
  <c r="P187" i="151"/>
  <c r="B235" i="151"/>
  <c r="D235" i="151"/>
  <c r="A236" i="151"/>
  <c r="G235" i="151"/>
  <c r="C235" i="151"/>
  <c r="G236" i="151" l="1"/>
  <c r="A237" i="151"/>
  <c r="C236" i="151"/>
  <c r="D236" i="151"/>
  <c r="B236" i="151"/>
  <c r="F189" i="151"/>
  <c r="O189" i="151"/>
  <c r="AA190" i="151"/>
  <c r="J189" i="151"/>
  <c r="N189" i="151"/>
  <c r="P189" i="151" s="1"/>
  <c r="K189" i="151"/>
  <c r="L189" i="151" l="1"/>
  <c r="N190" i="151"/>
  <c r="AA191" i="151"/>
  <c r="K190" i="151"/>
  <c r="O190" i="151"/>
  <c r="F190" i="151"/>
  <c r="J190" i="151"/>
  <c r="C237" i="151"/>
  <c r="A238" i="151"/>
  <c r="D237" i="151"/>
  <c r="G237" i="151"/>
  <c r="B237" i="151"/>
  <c r="L190" i="151" l="1"/>
  <c r="G238" i="151"/>
  <c r="B238" i="151"/>
  <c r="A239" i="151"/>
  <c r="C238" i="151"/>
  <c r="D238" i="151"/>
  <c r="P190" i="151"/>
  <c r="AA192" i="151"/>
  <c r="J191" i="151"/>
  <c r="N191" i="151"/>
  <c r="F191" i="151"/>
  <c r="K191" i="151"/>
  <c r="L191" i="151" s="1"/>
  <c r="O191" i="151"/>
  <c r="P191" i="151" l="1"/>
  <c r="N192" i="151"/>
  <c r="F192" i="151"/>
  <c r="J192" i="151"/>
  <c r="K192" i="151"/>
  <c r="AA193" i="151"/>
  <c r="O192" i="151"/>
  <c r="A240" i="151"/>
  <c r="D239" i="151"/>
  <c r="C239" i="151"/>
  <c r="B239" i="151"/>
  <c r="G239" i="151"/>
  <c r="C240" i="151" l="1"/>
  <c r="D240" i="151"/>
  <c r="A241" i="151"/>
  <c r="G240" i="151"/>
  <c r="B240" i="151"/>
  <c r="J193" i="151"/>
  <c r="K193" i="151"/>
  <c r="F193" i="151"/>
  <c r="O193" i="151"/>
  <c r="N193" i="151"/>
  <c r="P193" i="151" s="1"/>
  <c r="AA194" i="151"/>
  <c r="L192" i="151"/>
  <c r="P192" i="151"/>
  <c r="L193" i="151" l="1"/>
  <c r="C241" i="151"/>
  <c r="G241" i="151"/>
  <c r="A242" i="151"/>
  <c r="B241" i="151"/>
  <c r="D241" i="151"/>
  <c r="N194" i="151"/>
  <c r="O194" i="151"/>
  <c r="P194" i="151" s="1"/>
  <c r="J194" i="151"/>
  <c r="K194" i="151"/>
  <c r="F194" i="151"/>
  <c r="AA195" i="151"/>
  <c r="L194" i="151" l="1"/>
  <c r="O195" i="151"/>
  <c r="AA196" i="151"/>
  <c r="K195" i="151"/>
  <c r="N195" i="151"/>
  <c r="P195" i="151" s="1"/>
  <c r="F195" i="151"/>
  <c r="J195" i="151"/>
  <c r="A243" i="151"/>
  <c r="G242" i="151"/>
  <c r="C242" i="151"/>
  <c r="B242" i="151"/>
  <c r="D242" i="151"/>
  <c r="L195" i="151" l="1"/>
  <c r="F196" i="151"/>
  <c r="N196" i="151"/>
  <c r="AA197" i="151"/>
  <c r="K196" i="151"/>
  <c r="J196" i="151"/>
  <c r="O196" i="151"/>
  <c r="C243" i="151"/>
  <c r="B243" i="151"/>
  <c r="D243" i="151"/>
  <c r="A244" i="151"/>
  <c r="G243" i="151"/>
  <c r="L196" i="151" l="1"/>
  <c r="K197" i="151"/>
  <c r="J197" i="151"/>
  <c r="O197" i="151"/>
  <c r="F197" i="151"/>
  <c r="N197" i="151"/>
  <c r="AA198" i="151"/>
  <c r="P196" i="151"/>
  <c r="B244" i="151"/>
  <c r="G244" i="151"/>
  <c r="C244" i="151"/>
  <c r="D244" i="151"/>
  <c r="A245" i="151"/>
  <c r="L197" i="151" l="1"/>
  <c r="G245" i="151"/>
  <c r="C245" i="151"/>
  <c r="A246" i="151"/>
  <c r="D245" i="151"/>
  <c r="B245" i="151"/>
  <c r="J198" i="151"/>
  <c r="F198" i="151"/>
  <c r="AA199" i="151"/>
  <c r="O198" i="151"/>
  <c r="N198" i="151"/>
  <c r="K198" i="151"/>
  <c r="P197" i="151"/>
  <c r="P198" i="151" l="1"/>
  <c r="K199" i="151"/>
  <c r="N199" i="151"/>
  <c r="J199" i="151"/>
  <c r="L199" i="151" s="1"/>
  <c r="AA200" i="151"/>
  <c r="O199" i="151"/>
  <c r="F199" i="151"/>
  <c r="L198" i="151"/>
  <c r="B246" i="151"/>
  <c r="G246" i="151"/>
  <c r="C246" i="151"/>
  <c r="A247" i="151"/>
  <c r="D246" i="151"/>
  <c r="N200" i="151" l="1"/>
  <c r="J200" i="151"/>
  <c r="O200" i="151"/>
  <c r="K200" i="151"/>
  <c r="F200" i="151"/>
  <c r="AA201" i="151"/>
  <c r="C247" i="151"/>
  <c r="A248" i="151"/>
  <c r="B247" i="151"/>
  <c r="G247" i="151"/>
  <c r="D247" i="151"/>
  <c r="P199" i="151"/>
  <c r="B248" i="151" l="1"/>
  <c r="D248" i="151"/>
  <c r="G248" i="151"/>
  <c r="A249" i="151"/>
  <c r="C248" i="151"/>
  <c r="F201" i="151"/>
  <c r="AA202" i="151"/>
  <c r="N201" i="151"/>
  <c r="K201" i="151"/>
  <c r="J201" i="151"/>
  <c r="O201" i="151"/>
  <c r="L200" i="151"/>
  <c r="P200" i="151"/>
  <c r="L201" i="151" l="1"/>
  <c r="P201" i="151"/>
  <c r="AA203" i="151"/>
  <c r="K202" i="151"/>
  <c r="N202" i="151"/>
  <c r="O202" i="151"/>
  <c r="F202" i="151"/>
  <c r="J202" i="151"/>
  <c r="A250" i="151"/>
  <c r="D249" i="151"/>
  <c r="B249" i="151"/>
  <c r="C249" i="151"/>
  <c r="G249" i="151"/>
  <c r="L202" i="151" l="1"/>
  <c r="P202" i="151"/>
  <c r="O203" i="151"/>
  <c r="AA204" i="151"/>
  <c r="F203" i="151"/>
  <c r="J203" i="151"/>
  <c r="K203" i="151"/>
  <c r="N203" i="151"/>
  <c r="D250" i="151"/>
  <c r="B250" i="151"/>
  <c r="C250" i="151"/>
  <c r="G250" i="151"/>
  <c r="A251" i="151"/>
  <c r="P203" i="151" l="1"/>
  <c r="L203" i="151"/>
  <c r="B251" i="151"/>
  <c r="D251" i="151"/>
  <c r="G251" i="151"/>
  <c r="A252" i="151"/>
  <c r="C251" i="151"/>
  <c r="AA205" i="151"/>
  <c r="F204" i="151"/>
  <c r="K204" i="151"/>
  <c r="J204" i="151"/>
  <c r="N204" i="151"/>
  <c r="O204" i="151"/>
  <c r="L204" i="151" l="1"/>
  <c r="P204" i="151"/>
  <c r="K205" i="151"/>
  <c r="N205" i="151"/>
  <c r="O205" i="151"/>
  <c r="J205" i="151"/>
  <c r="L205" i="151" s="1"/>
  <c r="AA206" i="151"/>
  <c r="F205" i="151"/>
  <c r="D252" i="151"/>
  <c r="B252" i="151"/>
  <c r="C252" i="151"/>
  <c r="G252" i="151"/>
  <c r="A253" i="151"/>
  <c r="D253" i="151" l="1"/>
  <c r="C253" i="151"/>
  <c r="G253" i="151"/>
  <c r="A254" i="151"/>
  <c r="B253" i="151"/>
  <c r="AA207" i="151"/>
  <c r="J206" i="151"/>
  <c r="N206" i="151"/>
  <c r="K206" i="151"/>
  <c r="F206" i="151"/>
  <c r="O206" i="151"/>
  <c r="P205" i="151"/>
  <c r="L206" i="151" l="1"/>
  <c r="P206" i="151"/>
  <c r="K207" i="151"/>
  <c r="J207" i="151"/>
  <c r="F207" i="151"/>
  <c r="N207" i="151"/>
  <c r="AA208" i="151"/>
  <c r="O207" i="151"/>
  <c r="G254" i="151"/>
  <c r="A255" i="151"/>
  <c r="C254" i="151"/>
  <c r="D254" i="151"/>
  <c r="B254" i="151"/>
  <c r="L207" i="151" l="1"/>
  <c r="A256" i="151"/>
  <c r="D255" i="151"/>
  <c r="G255" i="151"/>
  <c r="B255" i="151"/>
  <c r="C255" i="151"/>
  <c r="K208" i="151"/>
  <c r="O208" i="151"/>
  <c r="N208" i="151"/>
  <c r="J208" i="151"/>
  <c r="L208" i="151" s="1"/>
  <c r="AA209" i="151"/>
  <c r="F208" i="151"/>
  <c r="P207" i="151"/>
  <c r="P208" i="151" l="1"/>
  <c r="K209" i="151"/>
  <c r="J209" i="151"/>
  <c r="L209" i="151" s="1"/>
  <c r="N209" i="151"/>
  <c r="O209" i="151"/>
  <c r="AA210" i="151"/>
  <c r="F209" i="151"/>
  <c r="B256" i="151"/>
  <c r="A257" i="151"/>
  <c r="C256" i="151"/>
  <c r="D256" i="151"/>
  <c r="G256" i="151"/>
  <c r="N210" i="151" l="1"/>
  <c r="K210" i="151"/>
  <c r="AA211" i="151"/>
  <c r="O210" i="151"/>
  <c r="F210" i="151"/>
  <c r="J210" i="151"/>
  <c r="G257" i="151"/>
  <c r="A258" i="151"/>
  <c r="C257" i="151"/>
  <c r="D257" i="151"/>
  <c r="B257" i="151"/>
  <c r="P209" i="151"/>
  <c r="L210" i="151" l="1"/>
  <c r="C258" i="151"/>
  <c r="G258" i="151"/>
  <c r="D258" i="151"/>
  <c r="B258" i="151"/>
  <c r="A259" i="151"/>
  <c r="K211" i="151"/>
  <c r="J211" i="151"/>
  <c r="AA212" i="151"/>
  <c r="N211" i="151"/>
  <c r="O211" i="151"/>
  <c r="F211" i="151"/>
  <c r="P210" i="151"/>
  <c r="L211" i="151" l="1"/>
  <c r="P211" i="151"/>
  <c r="K212" i="151"/>
  <c r="N212" i="151"/>
  <c r="AA213" i="151"/>
  <c r="F212" i="151"/>
  <c r="J212" i="151"/>
  <c r="O212" i="151"/>
  <c r="D259" i="151"/>
  <c r="G259" i="151"/>
  <c r="A260" i="151"/>
  <c r="C259" i="151"/>
  <c r="B259" i="151"/>
  <c r="C260" i="151" l="1"/>
  <c r="B260" i="151"/>
  <c r="G260" i="151"/>
  <c r="D260" i="151"/>
  <c r="A261" i="151"/>
  <c r="F213" i="151"/>
  <c r="N213" i="151"/>
  <c r="J213" i="151"/>
  <c r="AA214" i="151"/>
  <c r="O213" i="151"/>
  <c r="K213" i="151"/>
  <c r="L213" i="151" s="1"/>
  <c r="L212" i="151"/>
  <c r="P212" i="151"/>
  <c r="K214" i="151" l="1"/>
  <c r="F214" i="151"/>
  <c r="J214" i="151"/>
  <c r="O214" i="151"/>
  <c r="AA215" i="151"/>
  <c r="N214" i="151"/>
  <c r="P213" i="151"/>
  <c r="C261" i="151"/>
  <c r="B261" i="151"/>
  <c r="A262" i="151"/>
  <c r="G261" i="151"/>
  <c r="D261" i="151"/>
  <c r="P214" i="151" l="1"/>
  <c r="G262" i="151"/>
  <c r="B262" i="151"/>
  <c r="D262" i="151"/>
  <c r="A263" i="151"/>
  <c r="C262" i="151"/>
  <c r="N215" i="151"/>
  <c r="K215" i="151"/>
  <c r="O215" i="151"/>
  <c r="J215" i="151"/>
  <c r="L215" i="151" s="1"/>
  <c r="AA216" i="151"/>
  <c r="F215" i="151"/>
  <c r="L214" i="151"/>
  <c r="O216" i="151" l="1"/>
  <c r="J216" i="151"/>
  <c r="N216" i="151"/>
  <c r="P216" i="151" s="1"/>
  <c r="F216" i="151"/>
  <c r="AA217" i="151"/>
  <c r="K216" i="151"/>
  <c r="P215" i="151"/>
  <c r="D263" i="151"/>
  <c r="G263" i="151"/>
  <c r="A264" i="151"/>
  <c r="B263" i="151"/>
  <c r="C263" i="151"/>
  <c r="A265" i="151" l="1"/>
  <c r="B264" i="151"/>
  <c r="G264" i="151"/>
  <c r="D264" i="151"/>
  <c r="C264" i="151"/>
  <c r="L216" i="151"/>
  <c r="N217" i="151"/>
  <c r="J217" i="151"/>
  <c r="O217" i="151"/>
  <c r="AA218" i="151"/>
  <c r="K217" i="151"/>
  <c r="F217" i="151"/>
  <c r="AA219" i="151" l="1"/>
  <c r="J218" i="151"/>
  <c r="O218" i="151"/>
  <c r="N218" i="151"/>
  <c r="P218" i="151" s="1"/>
  <c r="K218" i="151"/>
  <c r="L218" i="151" s="1"/>
  <c r="F218" i="151"/>
  <c r="L217" i="151"/>
  <c r="P217" i="151"/>
  <c r="B265" i="151"/>
  <c r="D265" i="151"/>
  <c r="A266" i="151"/>
  <c r="G265" i="151"/>
  <c r="C265" i="151"/>
  <c r="A267" i="151" l="1"/>
  <c r="G266" i="151"/>
  <c r="D266" i="151"/>
  <c r="B266" i="151"/>
  <c r="C266" i="151"/>
  <c r="K219" i="151"/>
  <c r="F219" i="151"/>
  <c r="O219" i="151"/>
  <c r="AA220" i="151"/>
  <c r="J219" i="151"/>
  <c r="N219" i="151"/>
  <c r="L219" i="151" l="1"/>
  <c r="P219" i="151"/>
  <c r="J220" i="151"/>
  <c r="N220" i="151"/>
  <c r="O220" i="151"/>
  <c r="F220" i="151"/>
  <c r="K220" i="151"/>
  <c r="AA221" i="151"/>
  <c r="C267" i="151"/>
  <c r="A268" i="151"/>
  <c r="B267" i="151"/>
  <c r="G267" i="151"/>
  <c r="D267" i="151"/>
  <c r="L220" i="151" l="1"/>
  <c r="A269" i="151"/>
  <c r="C268" i="151"/>
  <c r="G268" i="151"/>
  <c r="B268" i="151"/>
  <c r="D268" i="151"/>
  <c r="P220" i="151"/>
  <c r="F221" i="151"/>
  <c r="K221" i="151"/>
  <c r="J221" i="151"/>
  <c r="N221" i="151"/>
  <c r="O221" i="151"/>
  <c r="AA222" i="151"/>
  <c r="L221" i="151" l="1"/>
  <c r="P221" i="151"/>
  <c r="F222" i="151"/>
  <c r="K222" i="151"/>
  <c r="N222" i="151"/>
  <c r="J222" i="151"/>
  <c r="L222" i="151" s="1"/>
  <c r="AA223" i="151"/>
  <c r="O222" i="151"/>
  <c r="A270" i="151"/>
  <c r="G269" i="151"/>
  <c r="D269" i="151"/>
  <c r="C269" i="151"/>
  <c r="B269" i="151"/>
  <c r="J223" i="151" l="1"/>
  <c r="F223" i="151"/>
  <c r="K223" i="151"/>
  <c r="O223" i="151"/>
  <c r="N223" i="151"/>
  <c r="AA224" i="151"/>
  <c r="C270" i="151"/>
  <c r="A271" i="151"/>
  <c r="D270" i="151"/>
  <c r="G270" i="151"/>
  <c r="B270" i="151"/>
  <c r="P222" i="151"/>
  <c r="P223" i="151" l="1"/>
  <c r="L223" i="151"/>
  <c r="O224" i="151"/>
  <c r="K224" i="151"/>
  <c r="J224" i="151"/>
  <c r="F224" i="151"/>
  <c r="AA225" i="151"/>
  <c r="N224" i="151"/>
  <c r="C271" i="151"/>
  <c r="B271" i="151"/>
  <c r="G271" i="151"/>
  <c r="A272" i="151"/>
  <c r="D271" i="151"/>
  <c r="P224" i="151" l="1"/>
  <c r="K225" i="151"/>
  <c r="N225" i="151"/>
  <c r="O225" i="151"/>
  <c r="F225" i="151"/>
  <c r="J225" i="151"/>
  <c r="L225" i="151" s="1"/>
  <c r="AA226" i="151"/>
  <c r="G272" i="151"/>
  <c r="D272" i="151"/>
  <c r="B272" i="151"/>
  <c r="C272" i="151"/>
  <c r="A273" i="151"/>
  <c r="L224" i="151"/>
  <c r="N226" i="151" l="1"/>
  <c r="F226" i="151"/>
  <c r="K226" i="151"/>
  <c r="O226" i="151"/>
  <c r="AA227" i="151"/>
  <c r="J226" i="151"/>
  <c r="L226" i="151" s="1"/>
  <c r="D273" i="151"/>
  <c r="G273" i="151"/>
  <c r="C273" i="151"/>
  <c r="A274" i="151"/>
  <c r="B273" i="151"/>
  <c r="P225" i="151"/>
  <c r="C274" i="151" l="1"/>
  <c r="G274" i="151"/>
  <c r="B274" i="151"/>
  <c r="D274" i="151"/>
  <c r="A275" i="151"/>
  <c r="N227" i="151"/>
  <c r="K227" i="151"/>
  <c r="O227" i="151"/>
  <c r="F227" i="151"/>
  <c r="J227" i="151"/>
  <c r="L227" i="151" s="1"/>
  <c r="AA228" i="151"/>
  <c r="P226" i="151"/>
  <c r="F228" i="151" l="1"/>
  <c r="N228" i="151"/>
  <c r="O228" i="151"/>
  <c r="K228" i="151"/>
  <c r="AA229" i="151"/>
  <c r="J228" i="151"/>
  <c r="P227" i="151"/>
  <c r="C275" i="151"/>
  <c r="D275" i="151"/>
  <c r="A276" i="151"/>
  <c r="G275" i="151"/>
  <c r="B275" i="151"/>
  <c r="L228" i="151" l="1"/>
  <c r="C276" i="151"/>
  <c r="A277" i="151"/>
  <c r="B276" i="151"/>
  <c r="G276" i="151"/>
  <c r="D276" i="151"/>
  <c r="K229" i="151"/>
  <c r="F229" i="151"/>
  <c r="AA230" i="151"/>
  <c r="N229" i="151"/>
  <c r="J229" i="151"/>
  <c r="L229" i="151" s="1"/>
  <c r="O229" i="151"/>
  <c r="P228" i="151"/>
  <c r="P229" i="151" l="1"/>
  <c r="F230" i="151"/>
  <c r="J230" i="151"/>
  <c r="N230" i="151"/>
  <c r="K230" i="151"/>
  <c r="O230" i="151"/>
  <c r="AA231" i="151"/>
  <c r="C277" i="151"/>
  <c r="D277" i="151"/>
  <c r="A278" i="151"/>
  <c r="G277" i="151"/>
  <c r="B277" i="151"/>
  <c r="P230" i="151" l="1"/>
  <c r="A279" i="151"/>
  <c r="D278" i="151"/>
  <c r="C278" i="151"/>
  <c r="G278" i="151"/>
  <c r="B278" i="151"/>
  <c r="K231" i="151"/>
  <c r="O231" i="151"/>
  <c r="F231" i="151"/>
  <c r="J231" i="151"/>
  <c r="L231" i="151" s="1"/>
  <c r="AA232" i="151"/>
  <c r="N231" i="151"/>
  <c r="L230" i="151"/>
  <c r="P231" i="151" l="1"/>
  <c r="J232" i="151"/>
  <c r="O232" i="151"/>
  <c r="F232" i="151"/>
  <c r="K232" i="151"/>
  <c r="N232" i="151"/>
  <c r="P232" i="151" s="1"/>
  <c r="AA233" i="151"/>
  <c r="G279" i="151"/>
  <c r="A280" i="151"/>
  <c r="B279" i="151"/>
  <c r="D279" i="151"/>
  <c r="C279" i="151"/>
  <c r="B280" i="151" l="1"/>
  <c r="D280" i="151"/>
  <c r="G280" i="151"/>
  <c r="A281" i="151"/>
  <c r="C280" i="151"/>
  <c r="N233" i="151"/>
  <c r="AA234" i="151"/>
  <c r="K233" i="151"/>
  <c r="O233" i="151"/>
  <c r="J233" i="151"/>
  <c r="L233" i="151" s="1"/>
  <c r="F233" i="151"/>
  <c r="L232" i="151"/>
  <c r="AA235" i="151" l="1"/>
  <c r="F234" i="151"/>
  <c r="K234" i="151"/>
  <c r="N234" i="151"/>
  <c r="O234" i="151"/>
  <c r="J234" i="151"/>
  <c r="L234" i="151" s="1"/>
  <c r="P233" i="151"/>
  <c r="C281" i="151"/>
  <c r="D281" i="151"/>
  <c r="B281" i="151"/>
  <c r="A282" i="151"/>
  <c r="G281" i="151"/>
  <c r="P234" i="151" l="1"/>
  <c r="G282" i="151"/>
  <c r="C282" i="151"/>
  <c r="A283" i="151"/>
  <c r="D282" i="151"/>
  <c r="B282" i="151"/>
  <c r="O235" i="151"/>
  <c r="K235" i="151"/>
  <c r="AA236" i="151"/>
  <c r="F235" i="151"/>
  <c r="N235" i="151"/>
  <c r="P235" i="151" s="1"/>
  <c r="J235" i="151"/>
  <c r="L235" i="151" s="1"/>
  <c r="AA237" i="151" l="1"/>
  <c r="K236" i="151"/>
  <c r="J236" i="151"/>
  <c r="N236" i="151"/>
  <c r="F236" i="151"/>
  <c r="O236" i="151"/>
  <c r="P236" i="151" s="1"/>
  <c r="D283" i="151"/>
  <c r="A284" i="151"/>
  <c r="C283" i="151"/>
  <c r="B283" i="151"/>
  <c r="G283" i="151"/>
  <c r="L236" i="151" l="1"/>
  <c r="C284" i="151"/>
  <c r="B284" i="151"/>
  <c r="D284" i="151"/>
  <c r="G284" i="151"/>
  <c r="A285" i="151"/>
  <c r="AA238" i="151"/>
  <c r="N237" i="151"/>
  <c r="K237" i="151"/>
  <c r="O237" i="151"/>
  <c r="P237" i="151" s="1"/>
  <c r="J237" i="151"/>
  <c r="L237" i="151" s="1"/>
  <c r="F237" i="151"/>
  <c r="O238" i="151" l="1"/>
  <c r="N238" i="151"/>
  <c r="P238" i="151" s="1"/>
  <c r="F238" i="151"/>
  <c r="K238" i="151"/>
  <c r="AA239" i="151"/>
  <c r="J238" i="151"/>
  <c r="A286" i="151"/>
  <c r="B285" i="151"/>
  <c r="C285" i="151"/>
  <c r="G285" i="151"/>
  <c r="D285" i="151"/>
  <c r="C286" i="151" l="1"/>
  <c r="A287" i="151"/>
  <c r="D286" i="151"/>
  <c r="B286" i="151"/>
  <c r="G286" i="151"/>
  <c r="L238" i="151"/>
  <c r="J239" i="151"/>
  <c r="AA240" i="151"/>
  <c r="N239" i="151"/>
  <c r="K239" i="151"/>
  <c r="F239" i="151"/>
  <c r="O239" i="151"/>
  <c r="P239" i="151" l="1"/>
  <c r="AA241" i="151"/>
  <c r="O240" i="151"/>
  <c r="N240" i="151"/>
  <c r="K240" i="151"/>
  <c r="F240" i="151"/>
  <c r="J240" i="151"/>
  <c r="L239" i="151"/>
  <c r="B287" i="151"/>
  <c r="D287" i="151"/>
  <c r="G287" i="151"/>
  <c r="A288" i="151"/>
  <c r="C287" i="151"/>
  <c r="L240" i="151" l="1"/>
  <c r="P240" i="151"/>
  <c r="B288" i="151"/>
  <c r="C288" i="151"/>
  <c r="D288" i="151"/>
  <c r="G288" i="151"/>
  <c r="A289" i="151"/>
  <c r="AA242" i="151"/>
  <c r="O241" i="151"/>
  <c r="N241" i="151"/>
  <c r="K241" i="151"/>
  <c r="F241" i="151"/>
  <c r="J241" i="151"/>
  <c r="P241" i="151" l="1"/>
  <c r="L241" i="151"/>
  <c r="O242" i="151"/>
  <c r="N242" i="151"/>
  <c r="P242" i="151" s="1"/>
  <c r="F242" i="151"/>
  <c r="J242" i="151"/>
  <c r="K242" i="151"/>
  <c r="AA243" i="151"/>
  <c r="C289" i="151"/>
  <c r="B289" i="151"/>
  <c r="A290" i="151"/>
  <c r="G289" i="151"/>
  <c r="D289" i="151"/>
  <c r="L242" i="151" l="1"/>
  <c r="B290" i="151"/>
  <c r="G290" i="151"/>
  <c r="D290" i="151"/>
  <c r="A291" i="151"/>
  <c r="C290" i="151"/>
  <c r="AA244" i="151"/>
  <c r="N243" i="151"/>
  <c r="J243" i="151"/>
  <c r="K243" i="151"/>
  <c r="F243" i="151"/>
  <c r="O243" i="151"/>
  <c r="P243" i="151" l="1"/>
  <c r="L243" i="151"/>
  <c r="O244" i="151"/>
  <c r="J244" i="151"/>
  <c r="AA245" i="151"/>
  <c r="F244" i="151"/>
  <c r="K244" i="151"/>
  <c r="N244" i="151"/>
  <c r="G291" i="151"/>
  <c r="C291" i="151"/>
  <c r="D291" i="151"/>
  <c r="B291" i="151"/>
  <c r="A292" i="151"/>
  <c r="P244" i="151" l="1"/>
  <c r="F245" i="151"/>
  <c r="K245" i="151"/>
  <c r="N245" i="151"/>
  <c r="J245" i="151"/>
  <c r="L245" i="151" s="1"/>
  <c r="AA246" i="151"/>
  <c r="O245" i="151"/>
  <c r="L244" i="151"/>
  <c r="B292" i="151"/>
  <c r="D292" i="151"/>
  <c r="C292" i="151"/>
  <c r="A293" i="151"/>
  <c r="G292" i="151"/>
  <c r="C293" i="151" l="1"/>
  <c r="G293" i="151"/>
  <c r="B293" i="151"/>
  <c r="D293" i="151"/>
  <c r="A294" i="151"/>
  <c r="N246" i="151"/>
  <c r="K246" i="151"/>
  <c r="J246" i="151"/>
  <c r="AA247" i="151"/>
  <c r="F246" i="151"/>
  <c r="O246" i="151"/>
  <c r="P245" i="151"/>
  <c r="P246" i="151" l="1"/>
  <c r="AA248" i="151"/>
  <c r="F247" i="151"/>
  <c r="O247" i="151"/>
  <c r="N247" i="151"/>
  <c r="P247" i="151" s="1"/>
  <c r="K247" i="151"/>
  <c r="J247" i="151"/>
  <c r="L246" i="151"/>
  <c r="A295" i="151"/>
  <c r="G294" i="151"/>
  <c r="D294" i="151"/>
  <c r="B294" i="151"/>
  <c r="C294" i="151"/>
  <c r="L247" i="151" l="1"/>
  <c r="A296" i="151"/>
  <c r="C295" i="151"/>
  <c r="D295" i="151"/>
  <c r="G295" i="151"/>
  <c r="B295" i="151"/>
  <c r="K248" i="151"/>
  <c r="AA249" i="151"/>
  <c r="F248" i="151"/>
  <c r="O248" i="151"/>
  <c r="N248" i="151"/>
  <c r="P248" i="151" s="1"/>
  <c r="J248" i="151"/>
  <c r="L248" i="151" s="1"/>
  <c r="O249" i="151" l="1"/>
  <c r="J249" i="151"/>
  <c r="AA250" i="151"/>
  <c r="N249" i="151"/>
  <c r="P249" i="151" s="1"/>
  <c r="F249" i="151"/>
  <c r="K249" i="151"/>
  <c r="C296" i="151"/>
  <c r="G296" i="151"/>
  <c r="B296" i="151"/>
  <c r="A297" i="151"/>
  <c r="D296" i="151"/>
  <c r="G297" i="151" l="1"/>
  <c r="A298" i="151"/>
  <c r="D297" i="151"/>
  <c r="B297" i="151"/>
  <c r="C297" i="151"/>
  <c r="K250" i="151"/>
  <c r="N250" i="151"/>
  <c r="O250" i="151"/>
  <c r="AA251" i="151"/>
  <c r="F250" i="151"/>
  <c r="J250" i="151"/>
  <c r="L249" i="151"/>
  <c r="L250" i="151" l="1"/>
  <c r="P250" i="151"/>
  <c r="J251" i="151"/>
  <c r="F251" i="151"/>
  <c r="K251" i="151"/>
  <c r="AA252" i="151"/>
  <c r="O251" i="151"/>
  <c r="N251" i="151"/>
  <c r="P251" i="151" s="1"/>
  <c r="C298" i="151"/>
  <c r="A299" i="151"/>
  <c r="G298" i="151"/>
  <c r="B298" i="151"/>
  <c r="D298" i="151"/>
  <c r="N252" i="151" l="1"/>
  <c r="AA253" i="151"/>
  <c r="O252" i="151"/>
  <c r="F252" i="151"/>
  <c r="J252" i="151"/>
  <c r="K252" i="151"/>
  <c r="G299" i="151"/>
  <c r="B299" i="151"/>
  <c r="D299" i="151"/>
  <c r="C299" i="151"/>
  <c r="A300" i="151"/>
  <c r="L251" i="151"/>
  <c r="G300" i="151" l="1"/>
  <c r="B300" i="151"/>
  <c r="A301" i="151"/>
  <c r="D300" i="151"/>
  <c r="C300" i="151"/>
  <c r="L252" i="151"/>
  <c r="N253" i="151"/>
  <c r="AA254" i="151"/>
  <c r="O253" i="151"/>
  <c r="K253" i="151"/>
  <c r="F253" i="151"/>
  <c r="J253" i="151"/>
  <c r="P252" i="151"/>
  <c r="P253" i="151" l="1"/>
  <c r="F254" i="151"/>
  <c r="AA255" i="151"/>
  <c r="N254" i="151"/>
  <c r="K254" i="151"/>
  <c r="O254" i="151"/>
  <c r="J254" i="151"/>
  <c r="L253" i="151"/>
  <c r="B301" i="151"/>
  <c r="D301" i="151"/>
  <c r="A302" i="151"/>
  <c r="C301" i="151"/>
  <c r="G301" i="151"/>
  <c r="L254" i="151" l="1"/>
  <c r="C302" i="151"/>
  <c r="D302" i="151"/>
  <c r="B302" i="151"/>
  <c r="A303" i="151"/>
  <c r="G302" i="151"/>
  <c r="P254" i="151"/>
  <c r="AA256" i="151"/>
  <c r="F255" i="151"/>
  <c r="N255" i="151"/>
  <c r="O255" i="151"/>
  <c r="K255" i="151"/>
  <c r="J255" i="151"/>
  <c r="P255" i="151" l="1"/>
  <c r="L255" i="151"/>
  <c r="AA257" i="151"/>
  <c r="N256" i="151"/>
  <c r="K256" i="151"/>
  <c r="F256" i="151"/>
  <c r="J256" i="151"/>
  <c r="O256" i="151"/>
  <c r="G303" i="151"/>
  <c r="B303" i="151"/>
  <c r="D303" i="151"/>
  <c r="A304" i="151"/>
  <c r="C303" i="151"/>
  <c r="G304" i="151" l="1"/>
  <c r="A305" i="151"/>
  <c r="D304" i="151"/>
  <c r="B304" i="151"/>
  <c r="C304" i="151"/>
  <c r="P256" i="151"/>
  <c r="L256" i="151"/>
  <c r="O257" i="151"/>
  <c r="F257" i="151"/>
  <c r="K257" i="151"/>
  <c r="J257" i="151"/>
  <c r="AA258" i="151"/>
  <c r="N257" i="151"/>
  <c r="P257" i="151" s="1"/>
  <c r="L257" i="151" l="1"/>
  <c r="F258" i="151"/>
  <c r="AA259" i="151"/>
  <c r="N258" i="151"/>
  <c r="J258" i="151"/>
  <c r="O258" i="151"/>
  <c r="P258" i="151" s="1"/>
  <c r="K258" i="151"/>
  <c r="A306" i="151"/>
  <c r="D305" i="151"/>
  <c r="B305" i="151"/>
  <c r="C305" i="151"/>
  <c r="G305" i="151"/>
  <c r="L258" i="151" l="1"/>
  <c r="AA260" i="151"/>
  <c r="K259" i="151"/>
  <c r="O259" i="151"/>
  <c r="N259" i="151"/>
  <c r="P259" i="151" s="1"/>
  <c r="J259" i="151"/>
  <c r="L259" i="151" s="1"/>
  <c r="F259" i="151"/>
  <c r="A307" i="151"/>
  <c r="D306" i="151"/>
  <c r="B306" i="151"/>
  <c r="C306" i="151"/>
  <c r="G306" i="151"/>
  <c r="A308" i="151" l="1"/>
  <c r="C307" i="151"/>
  <c r="B307" i="151"/>
  <c r="G307" i="151"/>
  <c r="D307" i="151"/>
  <c r="F260" i="151"/>
  <c r="K260" i="151"/>
  <c r="J260" i="151"/>
  <c r="L260" i="151" s="1"/>
  <c r="O260" i="151"/>
  <c r="N260" i="151"/>
  <c r="AA261" i="151"/>
  <c r="K261" i="151" l="1"/>
  <c r="AA262" i="151"/>
  <c r="F261" i="151"/>
  <c r="O261" i="151"/>
  <c r="N261" i="151"/>
  <c r="J261" i="151"/>
  <c r="L261" i="151" s="1"/>
  <c r="P260" i="151"/>
  <c r="B308" i="151"/>
  <c r="A309" i="151"/>
  <c r="C308" i="151"/>
  <c r="D308" i="151"/>
  <c r="G308" i="151"/>
  <c r="A310" i="151" l="1"/>
  <c r="D309" i="151"/>
  <c r="C309" i="151"/>
  <c r="B309" i="151"/>
  <c r="G309" i="151"/>
  <c r="N262" i="151"/>
  <c r="O262" i="151"/>
  <c r="F262" i="151"/>
  <c r="AA263" i="151"/>
  <c r="K262" i="151"/>
  <c r="J262" i="151"/>
  <c r="P261" i="151"/>
  <c r="F263" i="151" l="1"/>
  <c r="J263" i="151"/>
  <c r="AA264" i="151"/>
  <c r="K263" i="151"/>
  <c r="O263" i="151"/>
  <c r="N263" i="151"/>
  <c r="L262" i="151"/>
  <c r="P262" i="151"/>
  <c r="D310" i="151"/>
  <c r="B310" i="151"/>
  <c r="A311" i="151"/>
  <c r="C310" i="151"/>
  <c r="G310" i="151"/>
  <c r="P263" i="151" l="1"/>
  <c r="G311" i="151"/>
  <c r="D311" i="151"/>
  <c r="B311" i="151"/>
  <c r="A312" i="151"/>
  <c r="C311" i="151"/>
  <c r="O264" i="151"/>
  <c r="F264" i="151"/>
  <c r="K264" i="151"/>
  <c r="J264" i="151"/>
  <c r="L264" i="151" s="1"/>
  <c r="N264" i="151"/>
  <c r="P264" i="151" s="1"/>
  <c r="AA265" i="151"/>
  <c r="L263" i="151"/>
  <c r="F265" i="151" l="1"/>
  <c r="N265" i="151"/>
  <c r="O265" i="151"/>
  <c r="J265" i="151"/>
  <c r="K265" i="151"/>
  <c r="AA266" i="151"/>
  <c r="G312" i="151"/>
  <c r="D312" i="151"/>
  <c r="C312" i="151"/>
  <c r="A313" i="151"/>
  <c r="B312" i="151"/>
  <c r="C313" i="151" l="1"/>
  <c r="B313" i="151"/>
  <c r="A314" i="151"/>
  <c r="G313" i="151"/>
  <c r="D313" i="151"/>
  <c r="L265" i="151"/>
  <c r="P265" i="151"/>
  <c r="K266" i="151"/>
  <c r="O266" i="151"/>
  <c r="N266" i="151"/>
  <c r="P266" i="151" s="1"/>
  <c r="AA267" i="151"/>
  <c r="J266" i="151"/>
  <c r="L266" i="151" s="1"/>
  <c r="F266" i="151"/>
  <c r="N267" i="151" l="1"/>
  <c r="O267" i="151"/>
  <c r="J267" i="151"/>
  <c r="F267" i="151"/>
  <c r="AA268" i="151"/>
  <c r="K267" i="151"/>
  <c r="C314" i="151"/>
  <c r="D314" i="151"/>
  <c r="A315" i="151"/>
  <c r="B314" i="151"/>
  <c r="G314" i="151"/>
  <c r="C315" i="151" l="1"/>
  <c r="D315" i="151"/>
  <c r="A316" i="151"/>
  <c r="B315" i="151"/>
  <c r="G315" i="151"/>
  <c r="L267" i="151"/>
  <c r="J268" i="151"/>
  <c r="N268" i="151"/>
  <c r="O268" i="151"/>
  <c r="K268" i="151"/>
  <c r="F268" i="151"/>
  <c r="AA269" i="151"/>
  <c r="P267" i="151"/>
  <c r="P268" i="151" l="1"/>
  <c r="J269" i="151"/>
  <c r="O269" i="151"/>
  <c r="AA270" i="151"/>
  <c r="K269" i="151"/>
  <c r="N269" i="151"/>
  <c r="P269" i="151" s="1"/>
  <c r="F269" i="151"/>
  <c r="L268" i="151"/>
  <c r="D316" i="151"/>
  <c r="B316" i="151"/>
  <c r="G316" i="151"/>
  <c r="A317" i="151"/>
  <c r="C316" i="151"/>
  <c r="B317" i="151" l="1"/>
  <c r="A318" i="151"/>
  <c r="C317" i="151"/>
  <c r="D317" i="151"/>
  <c r="G317" i="151"/>
  <c r="N270" i="151"/>
  <c r="J270" i="151"/>
  <c r="K270" i="151"/>
  <c r="O270" i="151"/>
  <c r="AA271" i="151"/>
  <c r="F270" i="151"/>
  <c r="L269" i="151"/>
  <c r="L270" i="151" l="1"/>
  <c r="K271" i="151"/>
  <c r="O271" i="151"/>
  <c r="F271" i="151"/>
  <c r="N271" i="151"/>
  <c r="P271" i="151" s="1"/>
  <c r="J271" i="151"/>
  <c r="L271" i="151" s="1"/>
  <c r="AA272" i="151"/>
  <c r="P270" i="151"/>
  <c r="A319" i="151"/>
  <c r="G318" i="151"/>
  <c r="C318" i="151"/>
  <c r="D318" i="151"/>
  <c r="B318" i="151"/>
  <c r="A320" i="151" l="1"/>
  <c r="B319" i="151"/>
  <c r="G319" i="151"/>
  <c r="C319" i="151"/>
  <c r="D319" i="151"/>
  <c r="N272" i="151"/>
  <c r="O272" i="151"/>
  <c r="AA273" i="151"/>
  <c r="F272" i="151"/>
  <c r="J272" i="151"/>
  <c r="K272" i="151"/>
  <c r="P272" i="151" l="1"/>
  <c r="L272" i="151"/>
  <c r="AA274" i="151"/>
  <c r="F273" i="151"/>
  <c r="K273" i="151"/>
  <c r="N273" i="151"/>
  <c r="J273" i="151"/>
  <c r="O273" i="151"/>
  <c r="G320" i="151"/>
  <c r="C320" i="151"/>
  <c r="A321" i="151"/>
  <c r="D320" i="151"/>
  <c r="B320" i="151"/>
  <c r="L273" i="151" l="1"/>
  <c r="P273" i="151"/>
  <c r="A322" i="151"/>
  <c r="B321" i="151"/>
  <c r="C321" i="151"/>
  <c r="D321" i="151"/>
  <c r="G321" i="151"/>
  <c r="F274" i="151"/>
  <c r="K274" i="151"/>
  <c r="AA275" i="151"/>
  <c r="J274" i="151"/>
  <c r="O274" i="151"/>
  <c r="N274" i="151"/>
  <c r="P274" i="151" l="1"/>
  <c r="L274" i="151"/>
  <c r="F275" i="151"/>
  <c r="J275" i="151"/>
  <c r="N275" i="151"/>
  <c r="AA276" i="151"/>
  <c r="O275" i="151"/>
  <c r="K275" i="151"/>
  <c r="D322" i="151"/>
  <c r="G322" i="151"/>
  <c r="A323" i="151"/>
  <c r="C322" i="151"/>
  <c r="B322" i="151"/>
  <c r="AA277" i="151" l="1"/>
  <c r="J276" i="151"/>
  <c r="O276" i="151"/>
  <c r="K276" i="151"/>
  <c r="N276" i="151"/>
  <c r="P276" i="151" s="1"/>
  <c r="F276" i="151"/>
  <c r="P275" i="151"/>
  <c r="B323" i="151"/>
  <c r="C323" i="151"/>
  <c r="A324" i="151"/>
  <c r="D323" i="151"/>
  <c r="G323" i="151"/>
  <c r="L275" i="151"/>
  <c r="L276" i="151" l="1"/>
  <c r="D324" i="151"/>
  <c r="B324" i="151"/>
  <c r="G324" i="151"/>
  <c r="A325" i="151"/>
  <c r="C324" i="151"/>
  <c r="F277" i="151"/>
  <c r="K277" i="151"/>
  <c r="N277" i="151"/>
  <c r="O277" i="151"/>
  <c r="J277" i="151"/>
  <c r="L277" i="151" s="1"/>
  <c r="AA278" i="151"/>
  <c r="P277" i="151" l="1"/>
  <c r="K278" i="151"/>
  <c r="N278" i="151"/>
  <c r="O278" i="151"/>
  <c r="AA279" i="151"/>
  <c r="J278" i="151"/>
  <c r="L278" i="151" s="1"/>
  <c r="F278" i="151"/>
  <c r="A326" i="151"/>
  <c r="D325" i="151"/>
  <c r="C325" i="151"/>
  <c r="B325" i="151"/>
  <c r="G325" i="151"/>
  <c r="D326" i="151" l="1"/>
  <c r="C326" i="151"/>
  <c r="G326" i="151"/>
  <c r="B326" i="151"/>
  <c r="A327" i="151"/>
  <c r="K279" i="151"/>
  <c r="F279" i="151"/>
  <c r="O279" i="151"/>
  <c r="N279" i="151"/>
  <c r="J279" i="151"/>
  <c r="AA280" i="151"/>
  <c r="P278" i="151"/>
  <c r="L279" i="151" l="1"/>
  <c r="F280" i="151"/>
  <c r="J280" i="151"/>
  <c r="K280" i="151"/>
  <c r="AA281" i="151"/>
  <c r="N280" i="151"/>
  <c r="O280" i="151"/>
  <c r="P279" i="151"/>
  <c r="B327" i="151"/>
  <c r="G327" i="151"/>
  <c r="D327" i="151"/>
  <c r="C327" i="151"/>
  <c r="A328" i="151"/>
  <c r="P280" i="151" l="1"/>
  <c r="L280" i="151"/>
  <c r="C328" i="151"/>
  <c r="A329" i="151"/>
  <c r="G328" i="151"/>
  <c r="S328" i="151" s="1"/>
  <c r="D328" i="151"/>
  <c r="B328" i="151"/>
  <c r="AA282" i="151"/>
  <c r="O281" i="151"/>
  <c r="K281" i="151"/>
  <c r="J281" i="151"/>
  <c r="N281" i="151"/>
  <c r="F281" i="151"/>
  <c r="L281" i="151" l="1"/>
  <c r="P281" i="151"/>
  <c r="F282" i="151"/>
  <c r="K282" i="151"/>
  <c r="AA283" i="151"/>
  <c r="J282" i="151"/>
  <c r="O282" i="151"/>
  <c r="N282" i="151"/>
  <c r="P282" i="151" s="1"/>
  <c r="B329" i="151"/>
  <c r="A330" i="151"/>
  <c r="L282" i="151" l="1"/>
  <c r="F283" i="151"/>
  <c r="J283" i="151"/>
  <c r="K283" i="151"/>
  <c r="L283" i="151" s="1"/>
  <c r="O283" i="151"/>
  <c r="AA284" i="151"/>
  <c r="N283" i="151"/>
  <c r="P283" i="151" l="1"/>
  <c r="J284" i="151"/>
  <c r="F284" i="151"/>
  <c r="N284" i="151"/>
  <c r="AA285" i="151"/>
  <c r="K284" i="151"/>
  <c r="O284" i="151"/>
  <c r="AA286" i="151" l="1"/>
  <c r="F285" i="151"/>
  <c r="O285" i="151"/>
  <c r="K285" i="151"/>
  <c r="N285" i="151"/>
  <c r="P285" i="151" s="1"/>
  <c r="J285" i="151"/>
  <c r="L285" i="151" s="1"/>
  <c r="P284" i="151"/>
  <c r="L284" i="151"/>
  <c r="F286" i="151" l="1"/>
  <c r="N286" i="151"/>
  <c r="J286" i="151"/>
  <c r="AA287" i="151"/>
  <c r="K286" i="151"/>
  <c r="O286" i="151"/>
  <c r="F287" i="151" l="1"/>
  <c r="N287" i="151"/>
  <c r="K287" i="151"/>
  <c r="J287" i="151"/>
  <c r="O287" i="151"/>
  <c r="AA288" i="151"/>
  <c r="L286" i="151"/>
  <c r="P286" i="151"/>
  <c r="L287" i="151" l="1"/>
  <c r="O288" i="151"/>
  <c r="AA289" i="151"/>
  <c r="F288" i="151"/>
  <c r="N288" i="151"/>
  <c r="P288" i="151" s="1"/>
  <c r="K288" i="151"/>
  <c r="J288" i="151"/>
  <c r="P287" i="151"/>
  <c r="L288" i="151" l="1"/>
  <c r="N289" i="151"/>
  <c r="O289" i="151"/>
  <c r="F289" i="151"/>
  <c r="J289" i="151"/>
  <c r="AA290" i="151"/>
  <c r="K289" i="151"/>
  <c r="P289" i="151" l="1"/>
  <c r="K290" i="151"/>
  <c r="J290" i="151"/>
  <c r="L290" i="151" s="1"/>
  <c r="N290" i="151"/>
  <c r="O290" i="151"/>
  <c r="P290" i="151" s="1"/>
  <c r="F290" i="151"/>
  <c r="AA291" i="151"/>
  <c r="L289" i="151"/>
  <c r="O291" i="151" l="1"/>
  <c r="AA292" i="151"/>
  <c r="J291" i="151"/>
  <c r="N291" i="151"/>
  <c r="P291" i="151" s="1"/>
  <c r="K291" i="151"/>
  <c r="F291" i="151"/>
  <c r="L291" i="151" l="1"/>
  <c r="J292" i="151"/>
  <c r="AA293" i="151"/>
  <c r="O292" i="151"/>
  <c r="F292" i="151"/>
  <c r="N292" i="151"/>
  <c r="P292" i="151" s="1"/>
  <c r="K292" i="151"/>
  <c r="L292" i="151" l="1"/>
  <c r="O293" i="151"/>
  <c r="J293" i="151"/>
  <c r="K293" i="151"/>
  <c r="N293" i="151"/>
  <c r="P293" i="151" s="1"/>
  <c r="F293" i="151"/>
  <c r="AA294" i="151"/>
  <c r="L293" i="151" l="1"/>
  <c r="O294" i="151"/>
  <c r="N294" i="151"/>
  <c r="K294" i="151"/>
  <c r="F294" i="151"/>
  <c r="J294" i="151"/>
  <c r="L294" i="151" s="1"/>
  <c r="AA295" i="151"/>
  <c r="P294" i="151" l="1"/>
  <c r="F295" i="151"/>
  <c r="N295" i="151"/>
  <c r="J295" i="151"/>
  <c r="O295" i="151"/>
  <c r="K295" i="151"/>
  <c r="AA296" i="151"/>
  <c r="N296" i="151" l="1"/>
  <c r="J296" i="151"/>
  <c r="K296" i="151"/>
  <c r="O296" i="151"/>
  <c r="P296" i="151" s="1"/>
  <c r="F296" i="151"/>
  <c r="AA297" i="151"/>
  <c r="L295" i="151"/>
  <c r="P295" i="151"/>
  <c r="L296" i="151" l="1"/>
  <c r="N297" i="151"/>
  <c r="F297" i="151"/>
  <c r="K297" i="151"/>
  <c r="AA298" i="151"/>
  <c r="J297" i="151"/>
  <c r="O297" i="151"/>
  <c r="F298" i="151" l="1"/>
  <c r="AA299" i="151"/>
  <c r="J298" i="151"/>
  <c r="N298" i="151"/>
  <c r="K298" i="151"/>
  <c r="O298" i="151"/>
  <c r="L297" i="151"/>
  <c r="P297" i="151"/>
  <c r="P298" i="151" l="1"/>
  <c r="L298" i="151"/>
  <c r="K299" i="151"/>
  <c r="N299" i="151"/>
  <c r="O299" i="151"/>
  <c r="J299" i="151"/>
  <c r="L299" i="151" s="1"/>
  <c r="AA300" i="151"/>
  <c r="F299" i="151"/>
  <c r="P299" i="151" l="1"/>
  <c r="N300" i="151"/>
  <c r="J300" i="151"/>
  <c r="K300" i="151"/>
  <c r="O300" i="151"/>
  <c r="AA301" i="151"/>
  <c r="F300" i="151"/>
  <c r="N301" i="151" l="1"/>
  <c r="AA302" i="151"/>
  <c r="K301" i="151"/>
  <c r="F301" i="151"/>
  <c r="O301" i="151"/>
  <c r="J301" i="151"/>
  <c r="L300" i="151"/>
  <c r="P300" i="151"/>
  <c r="L301" i="151" l="1"/>
  <c r="N302" i="151"/>
  <c r="AA303" i="151"/>
  <c r="F302" i="151"/>
  <c r="K302" i="151"/>
  <c r="J302" i="151"/>
  <c r="O302" i="151"/>
  <c r="P301" i="151"/>
  <c r="L302" i="151" l="1"/>
  <c r="O303" i="151"/>
  <c r="K303" i="151"/>
  <c r="F303" i="151"/>
  <c r="N303" i="151"/>
  <c r="P303" i="151" s="1"/>
  <c r="J303" i="151"/>
  <c r="L303" i="151" s="1"/>
  <c r="AA304" i="151"/>
  <c r="P302" i="151"/>
  <c r="AA305" i="151" l="1"/>
  <c r="F304" i="151"/>
  <c r="N304" i="151"/>
  <c r="O304" i="151"/>
  <c r="K304" i="151"/>
  <c r="J304" i="151"/>
  <c r="P304" i="151" l="1"/>
  <c r="L304" i="151"/>
  <c r="K305" i="151"/>
  <c r="F305" i="151"/>
  <c r="O305" i="151"/>
  <c r="J305" i="151"/>
  <c r="L305" i="151" s="1"/>
  <c r="N305" i="151"/>
  <c r="AA306" i="151"/>
  <c r="P305" i="151" l="1"/>
  <c r="AA307" i="151"/>
  <c r="F306" i="151"/>
  <c r="N306" i="151"/>
  <c r="J306" i="151"/>
  <c r="K306" i="151"/>
  <c r="O306" i="151"/>
  <c r="P306" i="151" l="1"/>
  <c r="L306" i="151"/>
  <c r="K307" i="151"/>
  <c r="O307" i="151"/>
  <c r="AA308" i="151"/>
  <c r="J307" i="151"/>
  <c r="L307" i="151" s="1"/>
  <c r="F307" i="151"/>
  <c r="N307" i="151"/>
  <c r="P307" i="151" l="1"/>
  <c r="J308" i="151"/>
  <c r="K308" i="151"/>
  <c r="O308" i="151"/>
  <c r="N308" i="151"/>
  <c r="F308" i="151"/>
  <c r="AA309" i="151"/>
  <c r="P308" i="151" l="1"/>
  <c r="J309" i="151"/>
  <c r="O309" i="151"/>
  <c r="F309" i="151"/>
  <c r="N309" i="151"/>
  <c r="P309" i="151" s="1"/>
  <c r="K309" i="151"/>
  <c r="AA310" i="151"/>
  <c r="L308" i="151"/>
  <c r="K310" i="151" l="1"/>
  <c r="F310" i="151"/>
  <c r="AA311" i="151"/>
  <c r="O310" i="151"/>
  <c r="N310" i="151"/>
  <c r="J310" i="151"/>
  <c r="L310" i="151" s="1"/>
  <c r="L309" i="151"/>
  <c r="F311" i="151" l="1"/>
  <c r="O311" i="151"/>
  <c r="AA312" i="151"/>
  <c r="K311" i="151"/>
  <c r="J311" i="151"/>
  <c r="L311" i="151" s="1"/>
  <c r="N311" i="151"/>
  <c r="P311" i="151" s="1"/>
  <c r="P310" i="151"/>
  <c r="N312" i="151" l="1"/>
  <c r="J312" i="151"/>
  <c r="O312" i="151"/>
  <c r="K312" i="151"/>
  <c r="F312" i="151"/>
  <c r="AA313" i="151"/>
  <c r="AA314" i="151" l="1"/>
  <c r="J313" i="151"/>
  <c r="F313" i="151"/>
  <c r="N313" i="151"/>
  <c r="O313" i="151"/>
  <c r="K313" i="151"/>
  <c r="L312" i="151"/>
  <c r="P312" i="151"/>
  <c r="P313" i="151" l="1"/>
  <c r="L313" i="151"/>
  <c r="K314" i="151"/>
  <c r="AA315" i="151"/>
  <c r="N314" i="151"/>
  <c r="F314" i="151"/>
  <c r="J314" i="151"/>
  <c r="O314" i="151"/>
  <c r="L314" i="151" l="1"/>
  <c r="P314" i="151"/>
  <c r="K315" i="151"/>
  <c r="O315" i="151"/>
  <c r="N315" i="151"/>
  <c r="F315" i="151"/>
  <c r="J315" i="151"/>
  <c r="AA316" i="151"/>
  <c r="P315" i="151" l="1"/>
  <c r="L315" i="151"/>
  <c r="AA317" i="151"/>
  <c r="F316" i="151"/>
  <c r="J316" i="151"/>
  <c r="K316" i="151"/>
  <c r="N316" i="151"/>
  <c r="O316" i="151"/>
  <c r="P316" i="151" l="1"/>
  <c r="L316" i="151"/>
  <c r="O317" i="151"/>
  <c r="AA318" i="151"/>
  <c r="F317" i="151"/>
  <c r="N317" i="151"/>
  <c r="P317" i="151" s="1"/>
  <c r="J317" i="151"/>
  <c r="K317" i="151"/>
  <c r="L317" i="151" l="1"/>
  <c r="O318" i="151"/>
  <c r="K318" i="151"/>
  <c r="F318" i="151"/>
  <c r="J318" i="151"/>
  <c r="L318" i="151" s="1"/>
  <c r="AA319" i="151"/>
  <c r="N318" i="151"/>
  <c r="P318" i="151" l="1"/>
  <c r="O319" i="151"/>
  <c r="J319" i="151"/>
  <c r="K319" i="151"/>
  <c r="AA320" i="151"/>
  <c r="F319" i="151"/>
  <c r="N319" i="151"/>
  <c r="P319" i="151" l="1"/>
  <c r="J320" i="151"/>
  <c r="AA321" i="151"/>
  <c r="K320" i="151"/>
  <c r="F320" i="151"/>
  <c r="N320" i="151"/>
  <c r="O320" i="151"/>
  <c r="L319" i="151"/>
  <c r="P320" i="151" l="1"/>
  <c r="J321" i="151"/>
  <c r="AA322" i="151"/>
  <c r="F321" i="151"/>
  <c r="K321" i="151"/>
  <c r="N321" i="151"/>
  <c r="O321" i="151"/>
  <c r="L320" i="151"/>
  <c r="P321" i="151" l="1"/>
  <c r="K322" i="151"/>
  <c r="O322" i="151"/>
  <c r="N322" i="151"/>
  <c r="J322" i="151"/>
  <c r="F322" i="151"/>
  <c r="AA323" i="151"/>
  <c r="L321" i="151"/>
  <c r="P322" i="151" l="1"/>
  <c r="J323" i="151"/>
  <c r="O323" i="151"/>
  <c r="K323" i="151"/>
  <c r="F323" i="151"/>
  <c r="AA324" i="151"/>
  <c r="N323" i="151"/>
  <c r="L322" i="151"/>
  <c r="P323" i="151" l="1"/>
  <c r="K324" i="151"/>
  <c r="F324" i="151"/>
  <c r="O324" i="151"/>
  <c r="AA325" i="151"/>
  <c r="J324" i="151"/>
  <c r="L324" i="151" s="1"/>
  <c r="N324" i="151"/>
  <c r="L323" i="151"/>
  <c r="P324" i="151" l="1"/>
  <c r="K325" i="151"/>
  <c r="J325" i="151"/>
  <c r="L325" i="151" s="1"/>
  <c r="O325" i="151"/>
  <c r="N325" i="151"/>
  <c r="F325" i="151"/>
  <c r="AA326" i="151"/>
  <c r="P325" i="151" l="1"/>
  <c r="N326" i="151"/>
  <c r="O326" i="151"/>
  <c r="J326" i="151"/>
  <c r="F326" i="151"/>
  <c r="K326" i="151"/>
  <c r="AA327" i="151"/>
  <c r="L326" i="151" l="1"/>
  <c r="O327" i="151"/>
  <c r="K327" i="151"/>
  <c r="N327" i="151"/>
  <c r="P327" i="151" s="1"/>
  <c r="AA328" i="151"/>
  <c r="F327" i="151"/>
  <c r="J327" i="151"/>
  <c r="P326" i="151"/>
  <c r="L327" i="151" l="1"/>
  <c r="K328" i="151"/>
  <c r="J328" i="151"/>
  <c r="L328" i="151" s="1"/>
  <c r="F328" i="151"/>
  <c r="O328" i="151"/>
  <c r="O330" i="151" s="1"/>
  <c r="O332" i="151" s="1"/>
  <c r="AA329" i="151"/>
  <c r="N328" i="151"/>
  <c r="P328" i="151" l="1"/>
  <c r="P330" i="151" s="1"/>
  <c r="P332" i="151" s="1"/>
  <c r="N330" i="151"/>
  <c r="N332" i="151" s="1"/>
  <c r="J329" i="151"/>
  <c r="AA330" i="151"/>
  <c r="AA331" i="151" s="1"/>
  <c r="AA332" i="151" s="1"/>
  <c r="AA333" i="151" s="1"/>
  <c r="AA334" i="151" s="1"/>
  <c r="AA335" i="151" s="1"/>
  <c r="AA336" i="151" s="1"/>
  <c r="AA337" i="151" s="1"/>
  <c r="AA338" i="151" s="1"/>
  <c r="AA339" i="151" s="1"/>
  <c r="AA340" i="151" s="1"/>
  <c r="AA341" i="151" s="1"/>
  <c r="AA342" i="151" s="1"/>
  <c r="AA343" i="151" s="1"/>
  <c r="AA344" i="151" s="1"/>
  <c r="AA345" i="151" s="1"/>
  <c r="AA346" i="151" s="1"/>
  <c r="AA347" i="151" s="1"/>
  <c r="AA348" i="151" s="1"/>
  <c r="AA349" i="151" s="1"/>
  <c r="AA350" i="151" s="1"/>
  <c r="AA351" i="151" s="1"/>
  <c r="AA352" i="151" s="1"/>
  <c r="AA353" i="151" s="1"/>
  <c r="AA354" i="151" s="1"/>
  <c r="AA355" i="151" s="1"/>
  <c r="AA356" i="151" s="1"/>
  <c r="AA357" i="151" s="1"/>
  <c r="AA358" i="151" s="1"/>
  <c r="AA359" i="151" s="1"/>
  <c r="AA360" i="151" s="1"/>
  <c r="AA361" i="151" s="1"/>
  <c r="AA362" i="151" s="1"/>
  <c r="AA363" i="151" s="1"/>
  <c r="AA364" i="151" s="1"/>
  <c r="AA365" i="151" s="1"/>
  <c r="AA366" i="151" s="1"/>
  <c r="AA367" i="151" s="1"/>
  <c r="AA368" i="151" s="1"/>
  <c r="AA369" i="151" s="1"/>
  <c r="AA370" i="151" s="1"/>
  <c r="AA371" i="151" s="1"/>
  <c r="AA372" i="151" s="1"/>
  <c r="AA373" i="151" s="1"/>
  <c r="AA374" i="151" s="1"/>
  <c r="AA375" i="151" s="1"/>
  <c r="AA376" i="151" s="1"/>
  <c r="AA377" i="151" s="1"/>
  <c r="AA378" i="151" s="1"/>
  <c r="AA379" i="151" s="1"/>
  <c r="AA380" i="151" s="1"/>
  <c r="AA381" i="151" s="1"/>
  <c r="AA382" i="151" s="1"/>
  <c r="AA383" i="151" s="1"/>
  <c r="AA384" i="151" s="1"/>
  <c r="AA385" i="151" s="1"/>
  <c r="AA386" i="151" s="1"/>
  <c r="AA387" i="151" s="1"/>
  <c r="AA388" i="151" s="1"/>
  <c r="AA389" i="151" s="1"/>
  <c r="AA390" i="151" s="1"/>
  <c r="AA391" i="151" s="1"/>
  <c r="AA392" i="151" s="1"/>
  <c r="AA393" i="151" s="1"/>
  <c r="AA394" i="151" s="1"/>
  <c r="AA395" i="151" s="1"/>
  <c r="AA396" i="151" s="1"/>
  <c r="AA397" i="151" s="1"/>
  <c r="AA398" i="151" s="1"/>
  <c r="AA399" i="151" s="1"/>
  <c r="AA400" i="151" s="1"/>
  <c r="AA401" i="151" s="1"/>
  <c r="AA402" i="151" s="1"/>
  <c r="AA403" i="151" s="1"/>
  <c r="AA404" i="151" s="1"/>
  <c r="AA405" i="151" s="1"/>
  <c r="AA406" i="151" s="1"/>
  <c r="AA407" i="151" s="1"/>
  <c r="AA408" i="151" s="1"/>
  <c r="AA409" i="151" s="1"/>
  <c r="AA410" i="151" s="1"/>
  <c r="AA411" i="151" s="1"/>
  <c r="AA412" i="151" s="1"/>
  <c r="AA413" i="151" s="1"/>
  <c r="AA414" i="151" s="1"/>
  <c r="AA415" i="151" s="1"/>
  <c r="AA416" i="151" s="1"/>
  <c r="AA417" i="151" s="1"/>
  <c r="AA418" i="151" s="1"/>
  <c r="AA419" i="151" s="1"/>
  <c r="AA420" i="151" s="1"/>
  <c r="AA421" i="151" s="1"/>
  <c r="AA422" i="151" s="1"/>
  <c r="AA423" i="151" s="1"/>
  <c r="AA424" i="151" s="1"/>
  <c r="AA425" i="151" s="1"/>
  <c r="AA426" i="151" s="1"/>
  <c r="AA427" i="151" s="1"/>
  <c r="AA428" i="151" s="1"/>
  <c r="AA429" i="151" s="1"/>
  <c r="AA430" i="151" s="1"/>
  <c r="AA431" i="151" s="1"/>
  <c r="AA432" i="151" s="1"/>
  <c r="AA433" i="151" s="1"/>
  <c r="AA434" i="151" s="1"/>
  <c r="AA435" i="151" s="1"/>
  <c r="AA436" i="151" s="1"/>
  <c r="AA437" i="151" s="1"/>
  <c r="AA438" i="151" s="1"/>
  <c r="AA439" i="151" s="1"/>
  <c r="AA440" i="151" s="1"/>
  <c r="AA441" i="151" s="1"/>
  <c r="AA442" i="151" s="1"/>
  <c r="AA443" i="151" s="1"/>
  <c r="AA444" i="151" s="1"/>
  <c r="AA445" i="151" s="1"/>
  <c r="AA446" i="151" s="1"/>
  <c r="AA447" i="151" s="1"/>
  <c r="AA448" i="151" s="1"/>
  <c r="AA449" i="151" s="1"/>
  <c r="AA450" i="151" s="1"/>
  <c r="AA451" i="151" s="1"/>
  <c r="AA452" i="151" s="1"/>
  <c r="AA453" i="151" s="1"/>
  <c r="AA454" i="151" s="1"/>
  <c r="AA455" i="151" s="1"/>
  <c r="AA456" i="151" s="1"/>
  <c r="AA457" i="151" s="1"/>
  <c r="AA458" i="151" s="1"/>
  <c r="AA459" i="151" s="1"/>
  <c r="AA460" i="151" s="1"/>
  <c r="AA461" i="151" s="1"/>
  <c r="AA462" i="151" s="1"/>
  <c r="K329" i="151"/>
  <c r="K330" i="151" s="1"/>
  <c r="K332" i="151" s="1"/>
  <c r="L329" i="151" l="1"/>
  <c r="L330" i="151" s="1"/>
  <c r="L332" i="151" s="1"/>
  <c r="J330" i="151"/>
  <c r="J332" i="1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N10" authorId="0" shapeId="0" xr:uid="{00000000-0006-0000-02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use the HLOOKUP funtion, format cell to be white font on white background</t>
        </r>
      </text>
    </comment>
    <comment ref="C12" authorId="0" shapeId="0" xr:uid="{00000000-0006-0000-0200-000002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List all suites whether they are budgeted for rent of not.</t>
        </r>
      </text>
    </comment>
    <comment ref="A14" authorId="0" shapeId="0" xr:uid="{00000000-0006-0000-0200-000003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  <comment ref="H56" authorId="0" shapeId="0" xr:uid="{00000000-0006-0000-0200-000004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Total Square feet  should  tie to monthly occupancy report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N10" authorId="0" shapeId="0" xr:uid="{00000000-0006-0000-03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use the HLOOKUP funtion, format cell to be white font on white background</t>
        </r>
      </text>
    </comment>
    <comment ref="C12" authorId="0" shapeId="0" xr:uid="{00000000-0006-0000-0300-000002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List all suites whether they are budgeted for rent of not.</t>
        </r>
      </text>
    </comment>
    <comment ref="A14" authorId="0" shapeId="0" xr:uid="{00000000-0006-0000-0300-000003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  <comment ref="H56" authorId="0" shapeId="0" xr:uid="{00000000-0006-0000-0300-000004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Total Square feet  should  tie to monthly occupancy report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B46" authorId="0" shapeId="0" xr:uid="{00000000-0006-0000-04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need to add tenants, insert rows here to keep the formulas intact.</t>
        </r>
      </text>
    </comment>
    <comment ref="Z46" authorId="0" shapeId="0" xr:uid="{00000000-0006-0000-0400-000002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need to add tenants, insert rows here to keep the formulas intact.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10" authorId="0" shapeId="0" xr:uid="{00000000-0006-0000-08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11" authorId="0" shapeId="0" xr:uid="{00000000-0006-0000-09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Irvine Company</author>
  </authors>
  <commentList>
    <comment ref="F8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H8" authorId="0" shapeId="0" xr:uid="{00000000-0006-0000-0B00-000002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forecast.</t>
        </r>
      </text>
    </comment>
    <comment ref="M8" authorId="0" shapeId="0" xr:uid="{00000000-0006-0000-0B00-000003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N8" authorId="0" shapeId="0" xr:uid="{00000000-0006-0000-0B00-000004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</t>
        </r>
      </text>
    </comment>
    <comment ref="P8" authorId="0" shapeId="0" xr:uid="{00000000-0006-0000-0B00-000005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negative amount.</t>
        </r>
      </text>
    </comment>
    <comment ref="Q8" authorId="0" shapeId="0" xr:uid="{00000000-0006-0000-0B00-000006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Total after recaptured.</t>
        </r>
      </text>
    </comment>
    <comment ref="R8" authorId="0" shapeId="0" xr:uid="{00000000-0006-0000-0B00-000007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percentage rent billed.</t>
        </r>
      </text>
    </comment>
    <comment ref="T8" authorId="0" shapeId="0" xr:uid="{00000000-0006-0000-0B00-000008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negative amount.</t>
        </r>
      </text>
    </comment>
    <comment ref="T117" authorId="0" shapeId="0" xr:uid="{00000000-0006-0000-0B00-000009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For your monthly JE purpose.</t>
        </r>
      </text>
    </comment>
    <comment ref="F126" authorId="0" shapeId="0" xr:uid="{00000000-0006-0000-0B00-00000A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H126" authorId="0" shapeId="0" xr:uid="{00000000-0006-0000-0B00-00000B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forecast.</t>
        </r>
      </text>
    </comment>
    <comment ref="M126" authorId="0" shapeId="0" xr:uid="{00000000-0006-0000-0B00-00000C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N126" authorId="0" shapeId="0" xr:uid="{00000000-0006-0000-0B00-00000D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 Nguyen</author>
  </authors>
  <commentList>
    <comment ref="C22" authorId="0" shapeId="0" xr:uid="{00000000-0006-0000-1400-000001000000}">
      <text>
        <r>
          <rPr>
            <b/>
            <sz val="8"/>
            <color indexed="81"/>
            <rFont val="Tahoma"/>
            <family val="2"/>
          </rPr>
          <t>Chi Nguyen:</t>
        </r>
        <r>
          <rPr>
            <sz val="8"/>
            <color indexed="81"/>
            <rFont val="Tahoma"/>
            <family val="2"/>
          </rPr>
          <t xml:space="preserve">
Job ID: 112  $75K per 07/08 CAM budget.
Project cost =$23,633 as of 5/08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<sst xmlns="http://schemas.openxmlformats.org/spreadsheetml/2006/main" count="3241" uniqueCount="1053">
  <si>
    <t xml:space="preserve">Monthly Financial Analysis </t>
  </si>
  <si>
    <t>Review Comments</t>
  </si>
  <si>
    <t>Property:</t>
  </si>
  <si>
    <t>Month: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</si>
  <si>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</si>
  <si>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</si>
  <si>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</si>
  <si>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</si>
  <si>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</si>
  <si>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</si>
  <si>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</si>
  <si>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</si>
  <si>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</si>
  <si>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</si>
  <si>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Month to Date</t>
  </si>
  <si>
    <t>Weighted Average</t>
  </si>
  <si>
    <t>MINIMUM RENT VARIANCE REPORT 2009/2010</t>
  </si>
  <si>
    <t>Inline</t>
  </si>
  <si>
    <t>Overall</t>
  </si>
  <si>
    <t>ACTUAL VS. PLAN</t>
  </si>
  <si>
    <t>Occupied Sq Ft</t>
  </si>
  <si>
    <t>Vacant Sq Ft</t>
  </si>
  <si>
    <t>Total Sq Ft</t>
  </si>
  <si>
    <t xml:space="preserve">Percentage Occupied  </t>
  </si>
  <si>
    <t>Pct Occupied</t>
  </si>
  <si>
    <t>Inline Rate</t>
  </si>
  <si>
    <t>N/A</t>
  </si>
  <si>
    <t>Tenant</t>
  </si>
  <si>
    <t>Suite</t>
  </si>
  <si>
    <t>July</t>
  </si>
  <si>
    <t>JULY</t>
  </si>
  <si>
    <t>Year to Date</t>
  </si>
  <si>
    <t>Aug</t>
  </si>
  <si>
    <t>AUGUST</t>
  </si>
  <si>
    <t>Sep</t>
  </si>
  <si>
    <t>SEPT</t>
  </si>
  <si>
    <t>Oct</t>
  </si>
  <si>
    <t>OCT</t>
  </si>
  <si>
    <t>Nov</t>
  </si>
  <si>
    <t>NOV</t>
  </si>
  <si>
    <t>Dec</t>
  </si>
  <si>
    <t>DEC</t>
  </si>
  <si>
    <t>Jan</t>
  </si>
  <si>
    <t>JAN</t>
  </si>
  <si>
    <t>Feb</t>
  </si>
  <si>
    <t>FEB</t>
  </si>
  <si>
    <t>Mar</t>
  </si>
  <si>
    <t>MAR</t>
  </si>
  <si>
    <t>Apr</t>
  </si>
  <si>
    <t>APR</t>
  </si>
  <si>
    <t>May</t>
  </si>
  <si>
    <t>MAY</t>
  </si>
  <si>
    <t>June</t>
  </si>
  <si>
    <t>JUNE</t>
  </si>
  <si>
    <t>Annual</t>
  </si>
  <si>
    <t>Name</t>
  </si>
  <si>
    <t>Lse Start</t>
  </si>
  <si>
    <t>Lse Exp.</t>
  </si>
  <si>
    <t>Status</t>
  </si>
  <si>
    <t>No.</t>
  </si>
  <si>
    <t>Sq Ft</t>
  </si>
  <si>
    <t>Month</t>
  </si>
  <si>
    <t>MRI</t>
  </si>
  <si>
    <t>Adjustment</t>
  </si>
  <si>
    <t>Actual</t>
  </si>
  <si>
    <t>Plan</t>
  </si>
  <si>
    <t>Variance</t>
  </si>
  <si>
    <t>Explanation</t>
  </si>
  <si>
    <t>Var. to Plan</t>
  </si>
  <si>
    <t>621201-000001</t>
  </si>
  <si>
    <t>Bayside Cleaners</t>
  </si>
  <si>
    <t>Occupied</t>
  </si>
  <si>
    <t>1056</t>
  </si>
  <si>
    <t>621201-000013</t>
  </si>
  <si>
    <t>Carol Klein Fine Jewelry 1028</t>
  </si>
  <si>
    <t>1028</t>
  </si>
  <si>
    <t>621201-000004</t>
  </si>
  <si>
    <t>Java City Bakery Café</t>
  </si>
  <si>
    <t>1064</t>
  </si>
  <si>
    <t>621201-000005</t>
  </si>
  <si>
    <t>Just Alterations</t>
  </si>
  <si>
    <t>1032A</t>
  </si>
  <si>
    <t>621201-000006</t>
  </si>
  <si>
    <t>Pacific Coast Floral</t>
  </si>
  <si>
    <t>1072</t>
  </si>
  <si>
    <t xml:space="preserve">Tenant on rent relief 7/09-12/09 pay greater of 10% of sales or 50% of base rent.  TT security deposit $5,346 was applied to the Deferral  amount.  TT repay 1/2 of the deferral amount in a promissory note.     TT rent relief extended 01/10-6/10 pay greater of 20% of sales or 50% of base rent.  TT repay 1/2 of the deferral amount in a promissory note. </t>
  </si>
  <si>
    <t>621201-000008</t>
  </si>
  <si>
    <t xml:space="preserve">Photo Lab - The </t>
  </si>
  <si>
    <t>1048</t>
  </si>
  <si>
    <t>Tenant on rent relief 5/09-12/09 pay the greater of 10% of sales or 50% of base rent.  Per 6th Amendment dated 5/14/10, tenant on rent relief 3/10-9/10 pay the greater of 15% of sales or 50% of base rent. Retained SD $4K.</t>
  </si>
  <si>
    <t>621201-S44199</t>
  </si>
  <si>
    <t>Salon "L"</t>
  </si>
  <si>
    <t>1040</t>
  </si>
  <si>
    <t>Tenant on rent relief 8/09-12/09 pay greater of 10% of sales or 50% of base rent.  TT repay the deferral amount in a promissory note.</t>
  </si>
  <si>
    <t>621201-000007</t>
  </si>
  <si>
    <t>Sapori Restaurant Italiano</t>
  </si>
  <si>
    <t>1080</t>
  </si>
  <si>
    <t>Per 7th Amendment dated 10/13/09, tenant renewed eff 1/1/10 @ $50/sf vs. Plan @ $56/sf</t>
  </si>
  <si>
    <t>Sapori Restaurant Italiano-Patio</t>
  </si>
  <si>
    <t>1080A</t>
  </si>
  <si>
    <t>Vacant</t>
  </si>
  <si>
    <t>1024</t>
  </si>
  <si>
    <t>Space vacant, planned for occupancy 12/09</t>
  </si>
  <si>
    <t>Total In-Line</t>
  </si>
  <si>
    <t>Anchor/Pads/Storage</t>
  </si>
  <si>
    <t>621201-000016</t>
  </si>
  <si>
    <t>Bayside Restaurant</t>
  </si>
  <si>
    <t>900</t>
  </si>
  <si>
    <t>621201-000009</t>
  </si>
  <si>
    <t>Pavilions #235</t>
  </si>
  <si>
    <t>1000</t>
  </si>
  <si>
    <t>621201-000015</t>
  </si>
  <si>
    <t>Rite-Aid #5747</t>
  </si>
  <si>
    <t>1016</t>
  </si>
  <si>
    <t>Per 1st Amendment dated 6/1/10, tenant renewed eff 1/1/10 @ $29/sf vs. Plan @ $20/sf.</t>
  </si>
  <si>
    <t>621201-000010</t>
  </si>
  <si>
    <t>Union Bank #062</t>
  </si>
  <si>
    <t>1090</t>
  </si>
  <si>
    <t>ROUNDING</t>
  </si>
  <si>
    <t>Total Anchors/Pads/Storage</t>
  </si>
  <si>
    <t>TOTAL</t>
  </si>
  <si>
    <t>ACTUAL VS. FORECAST</t>
  </si>
  <si>
    <t>Forecast</t>
  </si>
  <si>
    <t>Var. to FC</t>
  </si>
  <si>
    <t xml:space="preserve">TT rent relief extended 01/10-6/10 pay greater of 20% of sales or 50% of base rent.  TT repay 1/2 of the deferral amount in a promissory note. TT rent relief extended 01/10-6/10 pay greater of 20% of sales or 50% of base rent.  TT repay 1/2 of the deferral amount in a promissory note. </t>
  </si>
  <si>
    <t>Tenant on rent relief 5/09-12/09 pay the greater of 10% of sales or 50% of base rent, actual sales greater than estimated sales.  Per 6th Amendment dated 5/14/10, tenant on rent relief 3/10-9/10 pay the greater of 15% of sales or 50% of base rent. Retained SD $4K</t>
  </si>
  <si>
    <t>Per 6th Amendment dated 5/14/10, tenant on rent relief 3/10-9/10 pay the greater of 15% of sales or 50% of base rent. Retained SD $4K.</t>
  </si>
  <si>
    <t>Increase in base rent scheduled to occur on 9/1/09 deferred until 9/1/10</t>
  </si>
  <si>
    <t>Space vacant, forecasted for occupancy 5/10</t>
  </si>
  <si>
    <t>MTD</t>
  </si>
  <si>
    <t>YTD</t>
  </si>
  <si>
    <t>Total Occupied Square Feet</t>
  </si>
  <si>
    <t>Total Occupiable Square Feet</t>
  </si>
  <si>
    <t>Total Occupancy</t>
  </si>
  <si>
    <t>Total Revenue</t>
  </si>
  <si>
    <t>Total Inline Rate</t>
  </si>
  <si>
    <t>Current Month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</si>
  <si>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</si>
  <si>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</si>
  <si>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</si>
  <si>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</si>
  <si>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</si>
  <si>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</si>
  <si>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</si>
  <si>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</si>
  <si>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</si>
  <si>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SF</t>
  </si>
  <si>
    <t>Total</t>
  </si>
  <si>
    <t>Revenue</t>
  </si>
  <si>
    <t>OVERALL SQ/FT</t>
  </si>
  <si>
    <t>Prior Months Adjustments</t>
  </si>
  <si>
    <t>Year to Date Totals</t>
  </si>
  <si>
    <t>INLINE DETAIL</t>
  </si>
  <si>
    <t>This area is used to pull information from the Minimum Rent schedule. This is a staging area for the</t>
  </si>
  <si>
    <t>in-line rate calculation. The data here is copied and special-pasted as values to the appropriate month</t>
  </si>
  <si>
    <t>to the right. Any adjustments to amounts are to be done there, not here.</t>
  </si>
  <si>
    <t>Prior Month Adjustments</t>
  </si>
  <si>
    <t>Pacific Coast Floral 7/09-10/09</t>
  </si>
  <si>
    <t>Photo Lab - The 11/09</t>
  </si>
  <si>
    <t>Photo Lab - The 12/09</t>
  </si>
  <si>
    <t>Pacific Coast Floral 1/10-3/10</t>
  </si>
  <si>
    <t>Pacific Coast Floral 4/10</t>
  </si>
  <si>
    <t>Pacific Coast Floral 5/10</t>
  </si>
  <si>
    <t>Salon "L" 8/09-10/09</t>
  </si>
  <si>
    <t>Salon "L" 8/09-12/09</t>
  </si>
  <si>
    <t>Photo Lab - The 3/10-5/10</t>
  </si>
  <si>
    <t>Total Prior Month Adjustments</t>
  </si>
  <si>
    <t>Bayside Center</t>
  </si>
  <si>
    <t>Statistical Analysis</t>
  </si>
  <si>
    <t>For the Twelve Months Ended June 30, 2010</t>
  </si>
  <si>
    <t>Prior</t>
  </si>
  <si>
    <t>Year</t>
  </si>
  <si>
    <t>Inline Occupancy</t>
  </si>
  <si>
    <t>Overall Occupancy</t>
  </si>
  <si>
    <t>Months to Date</t>
  </si>
  <si>
    <t>In-line Rate</t>
  </si>
  <si>
    <t>Variance Comments</t>
  </si>
  <si>
    <t>vs. Plan</t>
  </si>
  <si>
    <t>Variance due to vacancy reserve, The Photo Lab on rent relief 5/09-12/09, Pacific Coast Floral on rent relief 7/09-12/09, Sapori Restaurant renewed eff 1/1/10 @ $50/sf vs. Plan @ $56/sf.  Pacific Coast Floral on rent relief extended 01/10-6/10. The Photo Lab on rent relief 3/10-9/10.</t>
  </si>
  <si>
    <t>vs. Forecast</t>
  </si>
  <si>
    <t>Variance due to The Photo Lab on rent relief 3/10-9/10.</t>
  </si>
  <si>
    <t>vs. Prior Month</t>
  </si>
  <si>
    <t>Variance due to The Photo Lab on rent relief 3/10-9/10.  Adjustments were made in June 10.</t>
  </si>
  <si>
    <t>vs. Prior Year</t>
  </si>
  <si>
    <t>Variance due to vacancy reserve offset by suite # 1024 remaining vacant vs. 12/09 planned occupancy.</t>
  </si>
  <si>
    <t>Space 1024 vacant, forecasted for occupancy 5/10</t>
  </si>
  <si>
    <t>Report ID: TIC_MRCHRGS</t>
  </si>
  <si>
    <t>Retail Minimum Rent - Sum of Charges</t>
  </si>
  <si>
    <t>Page:</t>
  </si>
  <si>
    <t>THROUGH</t>
  </si>
  <si>
    <t>Date:</t>
  </si>
  <si>
    <t>Time:</t>
  </si>
  <si>
    <t>Bldg Id - Lse Id</t>
  </si>
  <si>
    <t>Tenant Name</t>
  </si>
  <si>
    <t>Jun</t>
  </si>
  <si>
    <t>Sum</t>
  </si>
  <si>
    <t>MRF</t>
  </si>
  <si>
    <t>MGP</t>
  </si>
  <si>
    <t>Carol Klein Fine Jewelry</t>
  </si>
  <si>
    <t>Java City Bakery Cafe #14</t>
  </si>
  <si>
    <t>MRL</t>
  </si>
  <si>
    <t>MRW</t>
  </si>
  <si>
    <t>MRX</t>
  </si>
  <si>
    <t>Pavilions #29-2235</t>
  </si>
  <si>
    <t>MRA</t>
  </si>
  <si>
    <t>Rite Aid #5747</t>
  </si>
  <si>
    <t>Salon L</t>
  </si>
  <si>
    <t>Sapori Ristorante</t>
  </si>
  <si>
    <t>The Photo Lab</t>
  </si>
  <si>
    <t>MRP</t>
  </si>
  <si>
    <t>Total Bayside Center</t>
  </si>
  <si>
    <t>Grand Total</t>
  </si>
  <si>
    <t>Prior Year</t>
  </si>
  <si>
    <t>BAYSIDE CENTER</t>
  </si>
  <si>
    <t>MINIMUM RENT VARIANCE REPORT 08/09</t>
  </si>
  <si>
    <t>ACTUAL VS. BUDGET</t>
  </si>
  <si>
    <t>General Information</t>
  </si>
  <si>
    <t>ACTUALS</t>
  </si>
  <si>
    <t>PLAN</t>
  </si>
  <si>
    <t>Rent</t>
  </si>
  <si>
    <t>Lease</t>
  </si>
  <si>
    <t>TENANT</t>
  </si>
  <si>
    <t>MTD avabl</t>
  </si>
  <si>
    <t>Square Feet</t>
  </si>
  <si>
    <t>Minimum Rent</t>
  </si>
  <si>
    <t>YEAR TO DATE Actuals</t>
  </si>
  <si>
    <t>YEAR TO DATE PLAN</t>
  </si>
  <si>
    <t>Start</t>
  </si>
  <si>
    <t>Expiration</t>
  </si>
  <si>
    <t>TYPE</t>
  </si>
  <si>
    <t>Sq/Ft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</si>
  <si>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</si>
  <si>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</si>
  <si>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</si>
  <si>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</si>
  <si>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</si>
  <si>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</si>
  <si>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</si>
  <si>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</si>
  <si>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Vacant/Shades of Red</t>
  </si>
  <si>
    <t>Inline Rate Adjustment</t>
  </si>
  <si>
    <t>Rounding</t>
  </si>
  <si>
    <t>Round</t>
  </si>
  <si>
    <t>Total Inline Occupiable Square Ft</t>
  </si>
  <si>
    <t>Total Occupiable Square Ft</t>
  </si>
  <si>
    <t>Inline %</t>
  </si>
  <si>
    <t>Overall %</t>
  </si>
  <si>
    <t>ytd</t>
  </si>
  <si>
    <t>Year To Date</t>
  </si>
  <si>
    <t>Actuals</t>
  </si>
  <si>
    <t>Anchor</t>
  </si>
  <si>
    <t>Pad</t>
  </si>
  <si>
    <t>Tenant on rent relief 1/09-3/09 pay greater of 20% of sales or 50% of base rent.</t>
  </si>
  <si>
    <t>Ground</t>
  </si>
  <si>
    <t xml:space="preserve">Tenant on rent relief 1/09-6/09 pay greater of 10% of sales or 50% of base rent </t>
  </si>
  <si>
    <t>Tenant on rent relief 1/09-6/09 greater of 10% of sales or 50% of base rent</t>
  </si>
  <si>
    <t xml:space="preserve">Tenant on rent relief 5/09-12/09 pay greater of 10% of sales or 50% of base rent </t>
  </si>
  <si>
    <t>Tenant vacated 12/31/08.  Tenant was planned to renew.</t>
  </si>
  <si>
    <t>Tenant vacated 12/31/08. Tenant will not renew as planned</t>
  </si>
  <si>
    <t>Inline Occupancy:</t>
  </si>
  <si>
    <t>Inline Rate:</t>
  </si>
  <si>
    <t>Overall Occupancy:</t>
  </si>
  <si>
    <t>PLAN HIGHLIGHTS</t>
  </si>
  <si>
    <t>Var.</t>
  </si>
  <si>
    <t>Financial Summary</t>
  </si>
  <si>
    <t>Percentage Rent</t>
  </si>
  <si>
    <t>Recoverable Income</t>
  </si>
  <si>
    <t>Other Income</t>
  </si>
  <si>
    <t>Total Income</t>
  </si>
  <si>
    <t>Expenses</t>
  </si>
  <si>
    <t>Recoverable</t>
  </si>
  <si>
    <t>Nonrecoverable</t>
  </si>
  <si>
    <t>Total Expenses</t>
  </si>
  <si>
    <t>Net Income</t>
  </si>
  <si>
    <t>Shades of Red vacated 12/31/08, planned for renewal</t>
  </si>
  <si>
    <t>Pacific Coast Floral on rent relief pay greater of 10% sales or 50% minimum rent 1/09-6/09.  Just Alterations on rent relief 1/09-3/09 pay greater of 20% of sales or 50% of base rent.  The Photo Lab on rent relief pay greater of 10% sales or 50% minimum rent 5/09-12/09</t>
  </si>
  <si>
    <t>Percent Leased</t>
  </si>
  <si>
    <t>Leased:</t>
  </si>
  <si>
    <t>New</t>
  </si>
  <si>
    <t>Renewal</t>
  </si>
  <si>
    <t>Terminated/Expired</t>
  </si>
  <si>
    <t>Net Absorption</t>
  </si>
  <si>
    <t>Square Footage:</t>
  </si>
  <si>
    <t xml:space="preserve">  Total In-Line Occupied SF</t>
  </si>
  <si>
    <t xml:space="preserve">  Total In-Line Occupiable SF</t>
  </si>
  <si>
    <t xml:space="preserve">  Total Occupied SF</t>
  </si>
  <si>
    <t xml:space="preserve">  Total Occupiable SF</t>
  </si>
  <si>
    <t xml:space="preserve">  </t>
  </si>
  <si>
    <t>Total In-Line Revenue</t>
  </si>
  <si>
    <t>CALCULATION OF PERCENTAGE RENT EARNED</t>
  </si>
  <si>
    <t>Note:  Percentage rent is not recorded as revenue until Tenant's sales exceed their annual breakpoint. Percentage Rent is calculated based on tenant's sales year. Sales are maintained on a fiscal year basis.</t>
  </si>
  <si>
    <t>Tenant Information</t>
  </si>
  <si>
    <t>Annual/Monthly</t>
  </si>
  <si>
    <t>Sales</t>
  </si>
  <si>
    <t>% Rent Due</t>
  </si>
  <si>
    <t>Recapture</t>
  </si>
  <si>
    <t>% Rent</t>
  </si>
  <si>
    <t>Recognized</t>
  </si>
  <si>
    <t>2009/10</t>
  </si>
  <si>
    <t>Breakpoint</t>
  </si>
  <si>
    <t>% Rate</t>
  </si>
  <si>
    <t>Budget 09/10</t>
  </si>
  <si>
    <t>Type</t>
  </si>
  <si>
    <t>Budgeted</t>
  </si>
  <si>
    <t xml:space="preserve">Forecasted </t>
  </si>
  <si>
    <t>Allowance</t>
  </si>
  <si>
    <t>Monthly Billed</t>
  </si>
  <si>
    <t>(Over) Under</t>
  </si>
  <si>
    <t>Prior FY 09</t>
  </si>
  <si>
    <t>Rite-Aid</t>
  </si>
  <si>
    <t>c</t>
  </si>
  <si>
    <t>1/08 - 12/08</t>
  </si>
  <si>
    <t>Cumulative</t>
  </si>
  <si>
    <t>1/09 - 12/09</t>
  </si>
  <si>
    <t>Shades of Red</t>
  </si>
  <si>
    <t>1/07 - 12/07</t>
  </si>
  <si>
    <t xml:space="preserve">GRAND TOTALS </t>
  </si>
  <si>
    <t>2301480</t>
  </si>
  <si>
    <t>4001010</t>
  </si>
  <si>
    <t>GL Balance</t>
  </si>
  <si>
    <t>JE Adj</t>
  </si>
  <si>
    <t>Check</t>
  </si>
  <si>
    <t>Monthly Sales Summary</t>
  </si>
  <si>
    <t>Monthly % Rent Due Summary</t>
  </si>
  <si>
    <t>YTD Variance</t>
  </si>
  <si>
    <t>Forecasted</t>
  </si>
  <si>
    <t>ACCOUNTS RECEIVABLE OTHER - 12020</t>
  </si>
  <si>
    <t>Origination Date</t>
  </si>
  <si>
    <t>Description</t>
  </si>
  <si>
    <t>Amount</t>
  </si>
  <si>
    <t>Comment</t>
  </si>
  <si>
    <t>Account Total</t>
  </si>
  <si>
    <t>ALLOWANCE FOR BAD DEBT - 12410</t>
  </si>
  <si>
    <t>AR Balance                   90 Days &amp; Over</t>
  </si>
  <si>
    <t>Beginning Bal</t>
  </si>
  <si>
    <t>Current Reserve</t>
  </si>
  <si>
    <t>Ending  Bad Debt Bal 12410</t>
  </si>
  <si>
    <t>Bad Debt Expense 70300</t>
  </si>
  <si>
    <t>Comment/Status of Collection</t>
  </si>
  <si>
    <t>INTEREST RESERVE - 12510</t>
  </si>
  <si>
    <t>Account</t>
  </si>
  <si>
    <t>Total Amount</t>
  </si>
  <si>
    <t>Beginning Balance:</t>
  </si>
  <si>
    <t xml:space="preserve"> </t>
  </si>
  <si>
    <t>Office Depot</t>
  </si>
  <si>
    <t>TENANT REIMB EXP- 13140</t>
  </si>
  <si>
    <t>FIXED ASSETS SCHEDULE</t>
  </si>
  <si>
    <t>Account Number</t>
  </si>
  <si>
    <t>Building</t>
  </si>
  <si>
    <t>Legal Fees</t>
  </si>
  <si>
    <t>WIP - Architech Fees &amp; Service</t>
  </si>
  <si>
    <t>Architecture Designs - MCG Architecture</t>
  </si>
  <si>
    <t>2019 CPA JE #5</t>
  </si>
  <si>
    <t>BAYSIDE</t>
  </si>
  <si>
    <t>BAD DEBT RESERVES</t>
  </si>
  <si>
    <t>AS OF JUNE 30, 2010</t>
  </si>
  <si>
    <t>Current Receivables / Notes</t>
  </si>
  <si>
    <t>Bad Debt Adjustments</t>
  </si>
  <si>
    <t>Total Outstanding Balance</t>
  </si>
  <si>
    <t>Less: Deferments/ Non Income Receivables</t>
  </si>
  <si>
    <t>Less: Security Deposit</t>
  </si>
  <si>
    <t>Less:  Promo/Mktg Dues Outstanding</t>
  </si>
  <si>
    <t>Add: TFR / Note Receivable</t>
  </si>
  <si>
    <t>Adjusted Outstanding Balance</t>
  </si>
  <si>
    <t>Beginning Reserve Balance</t>
  </si>
  <si>
    <t>Expense Reserve Adjustment    5227470</t>
  </si>
  <si>
    <t>Rent Relief / Concession 5227470</t>
  </si>
  <si>
    <t>Revenue Reserve Adjustment      4000360</t>
  </si>
  <si>
    <t>Bad Debt Recoveries  4006960</t>
  </si>
  <si>
    <t>Write-Offs  1800820</t>
  </si>
  <si>
    <t>Ending Reserve Balance  1800830</t>
  </si>
  <si>
    <t>Comments</t>
  </si>
  <si>
    <t>Current</t>
  </si>
  <si>
    <t>Balance mainly Promissory Note dated 6/16/2009 and 6/10 monthly rent.  Reserve 100% of Note balance.</t>
  </si>
  <si>
    <t>Balance mainly 1/10 - 6/10 monthly charges and Promissory Note dated 01/27/10. Tenant on rent relief        1/10-6/10.  Reserve 100% of O/S balance.</t>
  </si>
  <si>
    <t>Balance mainly 9/09 - 11/09 monthly CAM charges, 5/10 -6/10 minimum rent and Promissory Note dated 11/16/09. Tenant on rent relief  8/09 - 12/09.  Continuation of rent relief requested and is anticipated.  Reserve 100% of O/S balance.</t>
  </si>
  <si>
    <t>Balance mainly Promissory Note dated 5/6/10 .  Reserve 100% of O/S balance.</t>
  </si>
  <si>
    <t xml:space="preserve">      Total</t>
  </si>
  <si>
    <t>Bad Debt Reserve for Deferred Revenue</t>
  </si>
  <si>
    <t xml:space="preserve">INSURANCE SCHEDULE </t>
  </si>
  <si>
    <t>Policy Period</t>
  </si>
  <si>
    <t>Annual Budget</t>
  </si>
  <si>
    <t>Monthly</t>
  </si>
  <si>
    <t>Liability Ins.</t>
  </si>
  <si>
    <t>Property Ins.</t>
  </si>
  <si>
    <t>Property Insurance</t>
  </si>
  <si>
    <t>Liability Insurance</t>
  </si>
  <si>
    <t>Prepaid Balance</t>
  </si>
  <si>
    <t>YTD Balance</t>
  </si>
  <si>
    <t>Accrual Balance</t>
  </si>
  <si>
    <t>Total Expense</t>
  </si>
  <si>
    <t>YTD Total</t>
  </si>
  <si>
    <t>PREPAID EXPENSES - 15656-9000</t>
  </si>
  <si>
    <t>Est.</t>
  </si>
  <si>
    <t xml:space="preserve">Mos to </t>
  </si>
  <si>
    <t>Projected</t>
  </si>
  <si>
    <t>Project</t>
  </si>
  <si>
    <t>Total Mos</t>
  </si>
  <si>
    <t>be Amort.</t>
  </si>
  <si>
    <t>Months</t>
  </si>
  <si>
    <t>Beginning</t>
  </si>
  <si>
    <t>Ending</t>
  </si>
  <si>
    <t>Origination</t>
  </si>
  <si>
    <t>Total Cost</t>
  </si>
  <si>
    <t xml:space="preserve">Cost </t>
  </si>
  <si>
    <t>Compl.</t>
  </si>
  <si>
    <t>to be</t>
  </si>
  <si>
    <t>in Future</t>
  </si>
  <si>
    <t>Amort</t>
  </si>
  <si>
    <t>Asset</t>
  </si>
  <si>
    <t>Prior Year's</t>
  </si>
  <si>
    <t>YTD Asset</t>
  </si>
  <si>
    <t>Amortization</t>
  </si>
  <si>
    <t xml:space="preserve">Imputed </t>
  </si>
  <si>
    <t xml:space="preserve">Asset </t>
  </si>
  <si>
    <t>Date</t>
  </si>
  <si>
    <t>Project Description</t>
  </si>
  <si>
    <t>of Project</t>
  </si>
  <si>
    <t>(by Category)</t>
  </si>
  <si>
    <t>Amort.</t>
  </si>
  <si>
    <t>Years</t>
  </si>
  <si>
    <t>in P/Y</t>
  </si>
  <si>
    <t>Balance</t>
  </si>
  <si>
    <t>Additions</t>
  </si>
  <si>
    <t>(Expense)</t>
  </si>
  <si>
    <t>Interest</t>
  </si>
  <si>
    <t>07/06</t>
  </si>
  <si>
    <r>
      <t>Awning</t>
    </r>
    <r>
      <rPr>
        <sz val="10"/>
        <color indexed="8"/>
        <rFont val="Arial"/>
        <family val="2"/>
      </rPr>
      <t xml:space="preserve"> Replacements</t>
    </r>
  </si>
  <si>
    <t>Completed</t>
  </si>
  <si>
    <t>(62120-5002)</t>
  </si>
  <si>
    <r>
      <t xml:space="preserve">Accelerated Amort CAM for Majors FY05/06 / 06/07 - </t>
    </r>
    <r>
      <rPr>
        <b/>
        <sz val="10"/>
        <color indexed="8"/>
        <rFont val="Arial"/>
        <family val="2"/>
      </rPr>
      <t>Awning</t>
    </r>
  </si>
  <si>
    <t>Parking Lot Repair, Seal &amp; Stripe</t>
  </si>
  <si>
    <t>(62120-5000)</t>
  </si>
  <si>
    <r>
      <t xml:space="preserve">Accelerated Amort CAM for Majors FY05/06 / 06/07 - </t>
    </r>
    <r>
      <rPr>
        <b/>
        <sz val="10"/>
        <color indexed="8"/>
        <rFont val="Arial"/>
        <family val="2"/>
      </rPr>
      <t>Prkg Lot</t>
    </r>
  </si>
  <si>
    <r>
      <t xml:space="preserve">Building-Structure Upgrades            </t>
    </r>
    <r>
      <rPr>
        <b/>
        <sz val="10"/>
        <color indexed="8"/>
        <rFont val="Arial"/>
        <family val="2"/>
      </rPr>
      <t xml:space="preserve">Mechanical Louvre                                   </t>
    </r>
    <r>
      <rPr>
        <sz val="10"/>
        <color indexed="8"/>
        <rFont val="Arial"/>
        <family val="2"/>
      </rPr>
      <t>(62120-5001)</t>
    </r>
  </si>
  <si>
    <r>
      <t>Accelerated Amort CAM for            Majors-</t>
    </r>
    <r>
      <rPr>
        <b/>
        <sz val="10"/>
        <color indexed="8"/>
        <rFont val="Arial"/>
        <family val="2"/>
      </rPr>
      <t>Mechanical Louvre</t>
    </r>
  </si>
  <si>
    <t>07/07</t>
  </si>
  <si>
    <r>
      <t xml:space="preserve">Painting                                                                 </t>
    </r>
    <r>
      <rPr>
        <sz val="10"/>
        <color indexed="8"/>
        <rFont val="Arial"/>
        <family val="2"/>
      </rPr>
      <t>(62120-5003)</t>
    </r>
  </si>
  <si>
    <t>TBD</t>
  </si>
  <si>
    <t>Amortization Category</t>
  </si>
  <si>
    <t>Total Amortized CAM    5121010</t>
  </si>
  <si>
    <t>Total Imputed Interest    5206500</t>
  </si>
  <si>
    <t>Total Amortized CAM - Majors  5121020</t>
  </si>
  <si>
    <t xml:space="preserve">             Totals</t>
  </si>
  <si>
    <t>months for current year amortization</t>
  </si>
  <si>
    <t>Cumulative Amortized by Year</t>
  </si>
  <si>
    <t>Estimated</t>
  </si>
  <si>
    <t>06/07</t>
  </si>
  <si>
    <t>07/08</t>
  </si>
  <si>
    <t>08/09</t>
  </si>
  <si>
    <t>09/10</t>
  </si>
  <si>
    <t>11/12</t>
  </si>
  <si>
    <t>Paint Center  $75,000</t>
  </si>
  <si>
    <t>Total Amortized CAM    78020-9000</t>
  </si>
  <si>
    <t>Total Amortized CAM - Majors   78020-9100</t>
  </si>
  <si>
    <t>Total Accelerated CAM  78020-9110</t>
  </si>
  <si>
    <t>Totals</t>
  </si>
  <si>
    <t>Awning Replacements $22,999.45</t>
  </si>
  <si>
    <t>Total Amortized CAM - Majors   5121020</t>
  </si>
  <si>
    <t>Total Accelerated CAM  5121030</t>
  </si>
  <si>
    <t>Parking Lot Repairs, Seal &amp; Striping $86,305.74</t>
  </si>
  <si>
    <t>Building-Mechanical Louvre $100,000</t>
  </si>
  <si>
    <t>Painting $23,633</t>
  </si>
  <si>
    <t>Property Name</t>
  </si>
  <si>
    <t>Bayside</t>
  </si>
  <si>
    <t>Awning Replacements</t>
  </si>
  <si>
    <t>Total Project Cost</t>
  </si>
  <si>
    <t xml:space="preserve">Less PY Principal </t>
  </si>
  <si>
    <t>Net Amortized CAM</t>
  </si>
  <si>
    <t>Interest PA</t>
  </si>
  <si>
    <t>Amortization Period</t>
  </si>
  <si>
    <t>months</t>
  </si>
  <si>
    <t>Monthly Amortization</t>
  </si>
  <si>
    <t>Number of Payments</t>
  </si>
  <si>
    <t>Period</t>
  </si>
  <si>
    <t>Principal</t>
  </si>
  <si>
    <t>YTD Interest</t>
  </si>
  <si>
    <t>Monthly Amortization JE</t>
  </si>
  <si>
    <t>Debit</t>
  </si>
  <si>
    <t>Credit</t>
  </si>
  <si>
    <t>78020-9000</t>
  </si>
  <si>
    <t>Amortized CAM</t>
  </si>
  <si>
    <t>15656-9000</t>
  </si>
  <si>
    <t>Prepaid Expense-Amortized Projects</t>
  </si>
  <si>
    <t>76054-6000</t>
  </si>
  <si>
    <t>Bldg Maint-Amort CAM Interest</t>
  </si>
  <si>
    <t>Less Prior Yr Amort</t>
  </si>
  <si>
    <t>Net Amortize CAM</t>
  </si>
  <si>
    <t>Mechanical Louvre</t>
  </si>
  <si>
    <t>PROPERTY TAX SCHEDULE</t>
  </si>
  <si>
    <t>Budget</t>
  </si>
  <si>
    <t>Property Tax</t>
  </si>
  <si>
    <t>Supplemental Prop Tax</t>
  </si>
  <si>
    <t>2011-2012</t>
  </si>
  <si>
    <t>2012-2013</t>
  </si>
  <si>
    <t>LEASING COMMISSIONS - 16500</t>
  </si>
  <si>
    <t>Vendor</t>
  </si>
  <si>
    <t>Beginning Balance</t>
  </si>
  <si>
    <t>DEFERRED REVENUE - 20910</t>
  </si>
  <si>
    <t>GENERAL SUSPENSE - 1502880</t>
  </si>
  <si>
    <t>Tenant/Vendor</t>
  </si>
  <si>
    <t>EXPENSE ACCRUALS - 20100</t>
  </si>
  <si>
    <t>MORTGAGE  PAYABLE - 25300</t>
  </si>
  <si>
    <t>Base Rent</t>
  </si>
  <si>
    <t>Deffered Rent</t>
  </si>
  <si>
    <t>Rent Concessions</t>
  </si>
  <si>
    <t>Rent Roll</t>
  </si>
  <si>
    <t>Difference</t>
  </si>
  <si>
    <t>BAYSIDE CENTER - 62110</t>
  </si>
  <si>
    <t>MINIMUM FREE RENT OPERATIONS - 4000362</t>
  </si>
  <si>
    <t>(Amount billed)</t>
  </si>
  <si>
    <t>August 2009</t>
  </si>
  <si>
    <t>September 2009</t>
  </si>
  <si>
    <t>October 2009</t>
  </si>
  <si>
    <t>November 2009</t>
  </si>
  <si>
    <t>December 2009</t>
  </si>
  <si>
    <t>January 2010</t>
  </si>
  <si>
    <t>February 2010</t>
  </si>
  <si>
    <t>March 2010</t>
  </si>
  <si>
    <t>April 2010</t>
  </si>
  <si>
    <t>May 2010</t>
  </si>
  <si>
    <t>June 2010</t>
  </si>
  <si>
    <t>Acc #</t>
  </si>
  <si>
    <t>Account Name</t>
  </si>
  <si>
    <t>Misc Income</t>
  </si>
  <si>
    <t>12/20 Interest Payment</t>
  </si>
  <si>
    <t>01/21 Interest Payment</t>
  </si>
  <si>
    <t>MISC DEPOSIT- 13100</t>
  </si>
  <si>
    <t xml:space="preserve">Vendor </t>
  </si>
  <si>
    <t>Description/ Account Number</t>
  </si>
  <si>
    <t>Title &amp; Escrow Fees</t>
  </si>
  <si>
    <t>Acquisition Costs</t>
  </si>
  <si>
    <t>CEQA DOCSMERIDIAN CONSULTANTS LLC</t>
  </si>
  <si>
    <t>DRAFT CEQA DOCSMERIDIAN CONSULTANTS LLC</t>
  </si>
  <si>
    <t>CEQA FILING PROJ292-0 MERIDIAN CONSULTANTS LLC</t>
  </si>
  <si>
    <t>ENTITLEMENTS &amp;RENDERI RDC</t>
  </si>
  <si>
    <t>02/21 Interest Payment</t>
  </si>
  <si>
    <t>WIP - City Permits, Fees, Planning</t>
  </si>
  <si>
    <t>WIP - Consulting</t>
  </si>
  <si>
    <t>BTC MAILING &amp; POSTING  BTC INC</t>
  </si>
  <si>
    <t>LADWP APP FILING FEES CITY OF LOS ANGELES</t>
  </si>
  <si>
    <t>11/20 CONSULTING FEE CREDE CONSTRUCTION ADVISORY LLC</t>
  </si>
  <si>
    <t>12/20 CONSULTING FEE CREDE CONSTRUCTION ADVISORY LLC</t>
  </si>
  <si>
    <t>12/20 EXPENSE REIMBURSEMENT CREDE CONSTRUCTION ADVISORY LLC</t>
  </si>
  <si>
    <t>11/20 EXPENSE REIMBURSEMENT CREDE CONSTRUCTION ADVISORY LLC</t>
  </si>
  <si>
    <t>01/21 EXPENSE REIMBURSEMENT CREDE CONSTRUCTION ADVISORY LLC</t>
  </si>
  <si>
    <t>02/21 EXPENSE REIMBURSEMENT CREDE CONSTRUCTION ADVISORY LLC</t>
  </si>
  <si>
    <t>01/21 CONSULTING FEE CREDE CONSTRUCTION ADVISORY LLC</t>
  </si>
  <si>
    <t>02/21 CONSULTING FEE CREDE CONSTRUCTION ADVISORY LLC</t>
  </si>
  <si>
    <t>WIP - Engineering Fees &amp; Service</t>
  </si>
  <si>
    <t>TRAFFIC ENGINEERING SV LINSCOTT, LAW &amp; GREENSPAN, INC.</t>
  </si>
  <si>
    <t>SURVEY MAPPING DRC ENGINEERING, INC</t>
  </si>
  <si>
    <t>11/20 GEOTECHNICALENG MOORE TWINING ASSOCIATES, INC</t>
  </si>
  <si>
    <t>GEOSYNTEC REPORTRVW GEOKINETICS</t>
  </si>
  <si>
    <t>NBS PROFESSIONALSERVI PAX ENVIRONMENTAL INC</t>
  </si>
  <si>
    <t>WIP - Redevelopment Legal Expense</t>
  </si>
  <si>
    <t>ENTITLEMENTS PROJ ROSENHEIM &amp; ASSOCIATES, INC</t>
  </si>
  <si>
    <t>01/21 TRAFFIC ENGINEERING SV LINSCOTT, LAW &amp; GREENSPAN, INC</t>
  </si>
  <si>
    <t>02/21 TRAFFIC ENGINEERING SV LINSCOTT, LAW &amp; GREENSPAN, INC</t>
  </si>
  <si>
    <t>11/20 TRAFFIC ENGINEERING SV LINSCOTT, LAW &amp; GREENSPAN, INC</t>
  </si>
  <si>
    <t>12/20 TRAFFIC ENGINEERING SV LINSCOTT, LAW &amp; GREENSPAN, INC</t>
  </si>
  <si>
    <t>COST SEGREGATION STUDY SOURCE ADVISORS</t>
  </si>
  <si>
    <t>WIP - Consulting- Entitlements</t>
  </si>
  <si>
    <t xml:space="preserve">ENTITLEMENTS COST PARAGON COMMERCIAL GROUP LLC </t>
  </si>
  <si>
    <t>WIP</t>
  </si>
  <si>
    <t>Property Acquisition</t>
  </si>
  <si>
    <t>SPECIAL INITIAL MGMT FEE - 17982</t>
  </si>
  <si>
    <t>TENANT SECURITY DEPOSIT - 20800</t>
  </si>
  <si>
    <t>03/21 Interest Payment</t>
  </si>
  <si>
    <t>03/21 CONSULTING FEE CREDE CONSTRUCTION ADVISORY LLC</t>
  </si>
  <si>
    <t>03/21 TRAFFIC ENGINEERING SV LINSCOTT, LAW &amp; GREENSPAN, INC</t>
  </si>
  <si>
    <t>12/20 GEOTECHNICALENG MOORE TWINING ASSOCIATES, INC</t>
  </si>
  <si>
    <t>04/21 Interest Payment</t>
  </si>
  <si>
    <t>NEIGHBOR COUNCIL REVISION</t>
  </si>
  <si>
    <t>SETBANKS REVISION</t>
  </si>
  <si>
    <t>04/21 CONSULTING FEE CREDE CONSTRUCTION ADVISORY LLC</t>
  </si>
  <si>
    <t>03/21 ENVIRONMENTAL CONSULTING</t>
  </si>
  <si>
    <t>04/21 ENVIRONMENTAL CONSULTING</t>
  </si>
  <si>
    <t>05/21 Interest Payment</t>
  </si>
  <si>
    <t>SCHEMATIC DESIGN REVISION</t>
  </si>
  <si>
    <t>ENTITLEMENTS PHASE</t>
  </si>
  <si>
    <t>05/21 CONSULTING FEE CREDE CONSTRUCTION ADVISORY LLC</t>
  </si>
  <si>
    <t>05/21 ENVIRONMENTAL CONSULTING</t>
  </si>
  <si>
    <t>04/21 GEOTECHNICAL ENG - MOORE TWINING ASSOCIATES, INC</t>
  </si>
  <si>
    <t>DESIGN DEVELOPMENT PHASE - DRC</t>
  </si>
  <si>
    <t xml:space="preserve">ENTITLEMENTS PROJ ROSENHEIM &amp; ASSOCIATES, INC </t>
  </si>
  <si>
    <t>SUSPENSE- 13000</t>
  </si>
  <si>
    <t>06/21 Interest Payment</t>
  </si>
  <si>
    <t>NOTICE OF EXEMPTION - LOS ANGELES COUNTY CLERK</t>
  </si>
  <si>
    <t>04/21 EXPENSE REIMB - CREDE CONSTRUCTION ADVISORY LLC</t>
  </si>
  <si>
    <t>06/21 CONSULTING FEE - CREDE CONSTRUCTION ADVISORY LLC</t>
  </si>
  <si>
    <t>PLAIN REVIEW FEE - CITY OF LA TREASURER</t>
  </si>
  <si>
    <t>07/21 CONSULTING FEE - CREDE CONSTRUCTION ADVISORY LLC</t>
  </si>
  <si>
    <t>04/21 TRAFFIC ENGINEERING SV LINSCOTT, LAW &amp; GREENSPAN, INC</t>
  </si>
  <si>
    <t>07/21 Interest Payment</t>
  </si>
  <si>
    <t>08/21 Interest Payment</t>
  </si>
  <si>
    <t>06/21 EXPENSE REIMB - CREDE CONSTRUCTION ADVISORY LLC</t>
  </si>
  <si>
    <t>08/21 CONSULTING FEE - CREDE CONSTRUCTION ADVISORY LLC</t>
  </si>
  <si>
    <t>02/21 ENVIRONMENTAL CONSULTING</t>
  </si>
  <si>
    <t>09/21 Interest Payment</t>
  </si>
  <si>
    <t>CONSTRUCTION IN PROGRESS-15500</t>
  </si>
  <si>
    <t>BUILDING SITE/PLAN STUDY</t>
  </si>
  <si>
    <t>LADBS APP FEE</t>
  </si>
  <si>
    <t>09/21 ENVIRONMENTAL CONSULTING</t>
  </si>
  <si>
    <t>09/21 CONSULTING FEE CREDE CONSTRUCTION ADVISORY LLC</t>
  </si>
  <si>
    <t>07/21 EXPENSE REIMB - CREDE CONSTRUCTION ADVISORY LLC</t>
  </si>
  <si>
    <t>08/21 GEOTECHNICAL ENG - MOORE TWINING ASSOCIATES, INC</t>
  </si>
  <si>
    <t>10/21 Interest Payment</t>
  </si>
  <si>
    <t>Replenish Interest Reserve</t>
  </si>
  <si>
    <t>09/21 EXPENSE REIMB - CREDE CONSTRUCTION ADVISORY LLC</t>
  </si>
  <si>
    <t>10/21 CONSULTING FEE CREDE CONSTRUCTION ADVISORY LLC</t>
  </si>
  <si>
    <t>Development Fee</t>
  </si>
  <si>
    <t>11/21 Interest Payment</t>
  </si>
  <si>
    <t>12/21 GEOTECH ENGINEERING - IN MOORE TWINING ASSOCIATION, INC</t>
  </si>
  <si>
    <t>12/21 Interest Payment</t>
  </si>
  <si>
    <t>11/21 CONSULTING FEE CREDE CONSTRUCTION ADVISORY LLC</t>
  </si>
  <si>
    <t>12/21 CONSULTING FEE CREDE CONSTRUCTION ADVISORY LLC</t>
  </si>
  <si>
    <t>11/21 EXPENSE REIMB - CREDE CONSTRUCTION ADVISORY LLC</t>
  </si>
  <si>
    <t>11/20 GEOTECH ENGINEERING - IN MOORE TWINING ASSOCIATION, INC</t>
  </si>
  <si>
    <t>01/22 Interest Payment</t>
  </si>
  <si>
    <t>SITE PLAN STUDIES RDC</t>
  </si>
  <si>
    <t>02/22 CONSULTING FEE CREDE CONSTRUCTION ADVISORY LLC</t>
  </si>
  <si>
    <t>02/22 EXPENSE REIMB - CREDE CONSTRUCTION ADVISORY LLC</t>
  </si>
  <si>
    <t>12/2020 Tax AJE Adjustment</t>
  </si>
  <si>
    <t>02/22 Interest Payment</t>
  </si>
  <si>
    <t>03/22 Interest Payment</t>
  </si>
  <si>
    <t>04/22 ENVIRONMENTAL CONSULTING</t>
  </si>
  <si>
    <t>04/22 Interest Payment</t>
  </si>
  <si>
    <t>05/22 Interest Payment</t>
  </si>
  <si>
    <t>WATER PERMIT FEE</t>
  </si>
  <si>
    <t>06/22 GEOTECH ENGINEERING - IN MOORE TWINING ASSOCIATION, INC</t>
  </si>
  <si>
    <t>06/22 Interest Payment</t>
  </si>
  <si>
    <t>DRC ENGINEERING - DRY UTILITY CORD</t>
  </si>
  <si>
    <t>07/22 Interest Payment</t>
  </si>
  <si>
    <t>TI SITE</t>
  </si>
  <si>
    <t>08/22 Interest Payment</t>
  </si>
  <si>
    <t>BEAUTY SOLUTION DISPLAY - RELOC IVARS</t>
  </si>
  <si>
    <t>RELOCATION INSPECTION - JT SITE SERVICES</t>
  </si>
  <si>
    <t>First Extension - Interest Reserve</t>
  </si>
  <si>
    <t>10/22 Interest Payment</t>
  </si>
  <si>
    <t>B&amp;B ASSOCIATES - STRUCTURAL ENGINEERING</t>
  </si>
  <si>
    <t>11/22 Interest Payment</t>
  </si>
  <si>
    <t>DRC ENGINEERING - SURVEY MAPPING</t>
  </si>
  <si>
    <t xml:space="preserve">Amount </t>
  </si>
  <si>
    <t>Account Total:</t>
  </si>
  <si>
    <t>PCG STUDIO VILLAGE LLC</t>
  </si>
  <si>
    <t>BETA AGENCY INC</t>
  </si>
  <si>
    <t>Beauty Solutions</t>
  </si>
  <si>
    <t>12/22 Interest Payment</t>
  </si>
  <si>
    <t>DESIGN DEVELOPMENT RDC</t>
  </si>
  <si>
    <t>01/23 Interest Payment</t>
  </si>
  <si>
    <t>BEAUTY SOLUTIONS - JT SITE SERVICES</t>
  </si>
  <si>
    <t xml:space="preserve">BEAUTY SOLUTIONS - SIGNAGE </t>
  </si>
  <si>
    <t>02/23 Interest Payment</t>
  </si>
  <si>
    <t>CITY PERMIT - CUMMINGS CURLEY AND ASSOCIATES</t>
  </si>
  <si>
    <t xml:space="preserve">LADT APP FEE </t>
  </si>
  <si>
    <t>FIELD CHECK SURVEY</t>
  </si>
  <si>
    <t>ENTITLEMENT FEES - LA PLANNING DEPT</t>
  </si>
  <si>
    <t>03/23 Interest Payment</t>
  </si>
  <si>
    <t>PROJ 22251FMA</t>
  </si>
  <si>
    <t>DRC ENGINEERING - CONSULTING</t>
  </si>
  <si>
    <t>LINSCOTT, LAW &amp; GREENSPAN, INC - TRANSPORTATION</t>
  </si>
  <si>
    <t>RADIUS MAPPING - QUALITY MAPPING SERVICE</t>
  </si>
  <si>
    <t>LA TREE REPORT - CALBERG ASSOCIATES</t>
  </si>
  <si>
    <t>04/23 Interest Payment</t>
  </si>
  <si>
    <t>05/23 Interest Payment</t>
  </si>
  <si>
    <t>06/23 CONSULTING SVCS - I &amp; D CONSULTING</t>
  </si>
  <si>
    <t>05/23 CONSULTING SVCS - I &amp; D CONSULTING</t>
  </si>
  <si>
    <t>REUTILIZATION PROJ - ROSENHEIM &amp; ASSOCIATES, INC</t>
  </si>
  <si>
    <t>06/23 Interest Payment</t>
  </si>
  <si>
    <t>Building Improvements</t>
  </si>
  <si>
    <t>Legal Fees- Land</t>
  </si>
  <si>
    <t>Title &amp; Escrow Fees- Land</t>
  </si>
  <si>
    <t>Acquisition Costs- Land</t>
  </si>
  <si>
    <t>PERMIT FEES- SWRCB</t>
  </si>
  <si>
    <t xml:space="preserve">Duplicate </t>
  </si>
  <si>
    <t>AES DUE DLGNC</t>
  </si>
  <si>
    <t>LANDSCAPE ARCHTECT</t>
  </si>
  <si>
    <t>SITE PLAN 22251</t>
  </si>
  <si>
    <t>RDC-S111 INC</t>
  </si>
  <si>
    <t xml:space="preserve">MCKENTLY MALAK </t>
  </si>
  <si>
    <t>PARAGON COMMERCIAL</t>
  </si>
  <si>
    <t>CONSTRUCTION DOC 22251</t>
  </si>
  <si>
    <t>FLOOR PLAN 23171</t>
  </si>
  <si>
    <t>AHTC</t>
  </si>
  <si>
    <t>AES DUE DLGNC- REIMB</t>
  </si>
  <si>
    <t>CHANGE EXISTING MSP</t>
  </si>
  <si>
    <t>SIGNS &amp; SERVICES</t>
  </si>
  <si>
    <t>ENVIRONMENTAL AIR SAMPLING</t>
  </si>
  <si>
    <t xml:space="preserve">MONTROSE ENVIRONMENTAL </t>
  </si>
  <si>
    <t>SITE PLAN BALANCE</t>
  </si>
  <si>
    <t>CUMMINGS CURLEY &amp; ASSOCIATES</t>
  </si>
  <si>
    <t>LANDSCAPE PLANS</t>
  </si>
  <si>
    <t>WIP-17910</t>
  </si>
  <si>
    <t>WIP-17920</t>
  </si>
  <si>
    <t>REIMB PERMIT FEE</t>
  </si>
  <si>
    <t>DEVELOPER FEE</t>
  </si>
  <si>
    <t>METER FEES</t>
  </si>
  <si>
    <t>CITY OF LOS ANGELES</t>
  </si>
  <si>
    <t>PARAGON COMMERICAL</t>
  </si>
  <si>
    <t>PKG METER REMOVAL</t>
  </si>
  <si>
    <t>AES DELGNC REIMB</t>
  </si>
  <si>
    <t>GRADING/PLUMBING</t>
  </si>
  <si>
    <t>SAVANT CONSTRUCTION</t>
  </si>
  <si>
    <t>TREE REMOVAL PERMIT</t>
  </si>
  <si>
    <t>CITY PLAN DEPT FEE</t>
  </si>
  <si>
    <t>CAVA PLUMBING FEE</t>
  </si>
  <si>
    <t xml:space="preserve">TRASH ENCLOSURE FEE </t>
  </si>
  <si>
    <t>GAS APPLICATION</t>
  </si>
  <si>
    <t>SOCAL GAS</t>
  </si>
  <si>
    <t>LADWP UTILITY PERMIT</t>
  </si>
  <si>
    <t>LADWP WATER BUSINESS ARRANGEMENT</t>
  </si>
  <si>
    <t>SHELL &amp; SITE PERMIT</t>
  </si>
  <si>
    <t>BUILDING C OF O PERMIT</t>
  </si>
  <si>
    <t>CONSULTING SVC- I&amp;D CONSULTING</t>
  </si>
  <si>
    <t>DEPUTY INSPECTION- MESA INSPECTION INC</t>
  </si>
  <si>
    <t>WIP-17930</t>
  </si>
  <si>
    <t>WIP-17940</t>
  </si>
  <si>
    <t>ENGINEERING CONSULTING- DRC ENGINEERING</t>
  </si>
  <si>
    <t>AGENCY COORDINATION- DRC ENGINEERING</t>
  </si>
  <si>
    <t>BREAKVEND/ DETERMINATION- DRU UTILITY EXPERTS</t>
  </si>
  <si>
    <t>WIP-17950</t>
  </si>
  <si>
    <t>WIP-17960</t>
  </si>
  <si>
    <t>WIP - COPIES, FAXES, SUPPLIES</t>
  </si>
  <si>
    <t xml:space="preserve">FEDERAL EXPRESSD- PARAGON COMMERCIAL </t>
  </si>
  <si>
    <t>WIP-17980</t>
  </si>
  <si>
    <t>ENTITLEMENT COSTS- ROSENHEIM &amp; ASSOCIATES, INC</t>
  </si>
  <si>
    <t>WIP-17971</t>
  </si>
  <si>
    <t xml:space="preserve">WIP- CONSTRUCTION MGMT </t>
  </si>
  <si>
    <t>12/22 CMF- ATHENA</t>
  </si>
  <si>
    <t>10/23 CMF -ATHENA</t>
  </si>
  <si>
    <t>11/23 CMF-ATHENA</t>
  </si>
  <si>
    <t>12/23 CMF-ATHENA</t>
  </si>
  <si>
    <t>02/24 CMF-ATHENA</t>
  </si>
  <si>
    <t>Lender Legal Fees</t>
  </si>
  <si>
    <t>SAVANT CONSTRUCTION INC</t>
  </si>
  <si>
    <t>03/24 CMF-ATHENA</t>
  </si>
  <si>
    <t>04/24 CMF-ATHENA</t>
  </si>
  <si>
    <t>05/24 CMF-ATHENA</t>
  </si>
  <si>
    <t>06/24 CMF-ATHENA</t>
  </si>
  <si>
    <t>07/24 CMF-ATHENA</t>
  </si>
  <si>
    <t>08/24 CMF-ATHENA</t>
  </si>
  <si>
    <t>09/24 CMF-ATHENA</t>
  </si>
  <si>
    <t>10/24 CMF-ATHENA</t>
  </si>
  <si>
    <t>01/24 CMF-ATHENA</t>
  </si>
  <si>
    <t>MCKENTLY MALAK ARCHITECTS INC</t>
  </si>
  <si>
    <t>CUMMINGS CURLEY AND ASSOCIATES INC</t>
  </si>
  <si>
    <t>5701 4/25/2024 PROJECT 22251 FMA</t>
  </si>
  <si>
    <t>5700 4/25/2024 PROJECT 22251 FMA</t>
  </si>
  <si>
    <t>5727 5/30/2024 PROJECT 22251 FMA</t>
  </si>
  <si>
    <t>5757 7/31/2024 PROJECT 22251 FMA</t>
  </si>
  <si>
    <t>7002 10/4/2024 PROJECT 22251 FMA</t>
  </si>
  <si>
    <t>7028 11/12/2024 LANDSCAPE PLANS</t>
  </si>
  <si>
    <t>7024 11/12/2024 PROJECT 22251 FMA</t>
  </si>
  <si>
    <t>7023 11/12/2024 PROJECT 22251 FMA</t>
  </si>
  <si>
    <t>WORK LADWP - WATER BUSINESS ARRANGEMENTS</t>
  </si>
  <si>
    <t>RMVL  LADWP</t>
  </si>
  <si>
    <t>LADWP - WATER BUSINESS ARRANGEMENTS</t>
  </si>
  <si>
    <t>TODD HUBER</t>
  </si>
  <si>
    <t>PASEO INVESTMENTS INC</t>
  </si>
  <si>
    <t>FEES   PARAGON COMMERCIAL GROUP LLC</t>
  </si>
  <si>
    <t>SRVC NO 644116 ST</t>
  </si>
  <si>
    <t>TEMP PWR INSTL &amp;</t>
  </si>
  <si>
    <t>TRAFFIC CTRL PERMIT</t>
  </si>
  <si>
    <t>DUPLICATE</t>
  </si>
  <si>
    <t>GAS RESTORATION FEE</t>
  </si>
  <si>
    <t>REIMB FOR LADWP</t>
  </si>
  <si>
    <t>BUILDING PERMIT</t>
  </si>
  <si>
    <t>PERMIT FEES</t>
  </si>
  <si>
    <t>LABDS FEES</t>
  </si>
  <si>
    <t>FNL INSPEC FEES</t>
  </si>
  <si>
    <t>AHTC INC</t>
  </si>
  <si>
    <t>ROSENHEIM &amp; ASSOCIATES, INC.</t>
  </si>
  <si>
    <t>4/24 CIVIL PLANS REVIEW - IN MOORE TWINING ASSOCIATION, INC</t>
  </si>
  <si>
    <t>ALTA/ NSPS LAND- DRC ENGINEERING</t>
  </si>
  <si>
    <t>CONSULTIONG SERV - I &amp; D CONSULTING</t>
  </si>
  <si>
    <t>SHELL &amp; SITE PAY - APP 2 SAVANT CONSTRUCTION INC</t>
  </si>
  <si>
    <t>PYLON REFERB - SIGNS &amp; SERVICES CO, INC.</t>
  </si>
  <si>
    <t>INSTALL DEPOSIT - JT SITE SERVICES</t>
  </si>
  <si>
    <t>ACM SURVEY - FORCE ENVIRONMENTAL INC</t>
  </si>
  <si>
    <t>GI INSTALL PART - JT SITE SERVICES</t>
  </si>
  <si>
    <t>**** BALANCE FORWARD ****</t>
  </si>
  <si>
    <t>TO RECORD 2022 EXPENSING LC VACANT SUITE</t>
  </si>
  <si>
    <t>TO CAPITILIZE 2022 EARLY TERMINATION FEE</t>
  </si>
  <si>
    <t>TO RECORD W/O OF 2020 AND 2022 LOAN FEE</t>
  </si>
  <si>
    <t>Open Year (Prior Yr Adj 12/23).</t>
  </si>
  <si>
    <t>5730 5/30/2024 SPROUTS 1ST 1/2 LC</t>
  </si>
  <si>
    <t>5732 5/30/2024 SPROUTS 1ST 1/2 LC</t>
  </si>
  <si>
    <t>5738 6/13/2024 CAVA 1ST 1/2 LC</t>
  </si>
  <si>
    <t>7033 11/12/2024 SPROUTS LC 2 1/2</t>
  </si>
  <si>
    <t>7032 11/12/2024 URBANE CAFE LC 1</t>
  </si>
  <si>
    <t>7031 11/12/2024 SPROUTS LC 2 1/2</t>
  </si>
  <si>
    <t>7030 11/12/2024 CAVA LC 2 1/2</t>
  </si>
  <si>
    <t>A0318251 3/18/2025 CAVA LC FULL</t>
  </si>
  <si>
    <t xml:space="preserve"> LLA APPROVAL - ROSENHEIM &amp; ASSOCIATES, INC.</t>
  </si>
  <si>
    <t>7032 11/12/2024 URBANE CAFE LC 2 1/2</t>
  </si>
  <si>
    <t xml:space="preserve">PER I/S </t>
  </si>
  <si>
    <t xml:space="preserve">PER R/L </t>
  </si>
  <si>
    <t xml:space="preserve">VARIANCE </t>
  </si>
  <si>
    <t>VARIANCE EXPLANATION</t>
  </si>
  <si>
    <t>BASE RENTAL INCOME</t>
  </si>
  <si>
    <t>COMMON AREA INCOME</t>
  </si>
  <si>
    <t>PRIOR YEAR CAM</t>
  </si>
  <si>
    <t>PREPAID RENT</t>
  </si>
  <si>
    <t>Balance Transfer from JLL on 2/28/26</t>
  </si>
  <si>
    <t>Lease Commissions</t>
  </si>
  <si>
    <t>Refinance Costs</t>
  </si>
  <si>
    <t>NOTE  PAYABLE - 25300</t>
  </si>
  <si>
    <t>OWNER DISTRIBUTION - 35000</t>
  </si>
  <si>
    <t>OWNER CONTRIBUTION - 36000</t>
  </si>
  <si>
    <t>ESCROW ACCOUNTS</t>
  </si>
  <si>
    <t>Escrow - Property Tax</t>
  </si>
  <si>
    <t>Escrow - Reserve Act</t>
  </si>
  <si>
    <t>Escrow - LC Reserve</t>
  </si>
  <si>
    <t>DEPRECIATION SCHEDULE</t>
  </si>
  <si>
    <t>Accum Depr - Building</t>
  </si>
  <si>
    <t>Accum Depr - Tenant Improvement</t>
  </si>
  <si>
    <t>Accum Depr - FFE</t>
  </si>
  <si>
    <t>Accum Amort - Lease Comm</t>
  </si>
  <si>
    <t>Accum Amort - Acquisition Costs</t>
  </si>
  <si>
    <t>Accum Amort - Refinance Costs</t>
  </si>
  <si>
    <t>ACCRUED OTHER - 20400</t>
  </si>
  <si>
    <t>CAPEX PAYABLE - 20630</t>
  </si>
  <si>
    <t>UTILITY WATER</t>
  </si>
  <si>
    <t>CAM UTILITY</t>
  </si>
  <si>
    <t>PREPAID INCOME</t>
  </si>
  <si>
    <t>Database: ATHENA</t>
  </si>
  <si>
    <t>Trial Balance</t>
  </si>
  <si>
    <t>1</t>
  </si>
  <si>
    <t>Athena Property Management</t>
  </si>
  <si>
    <t>Cash</t>
  </si>
  <si>
    <t>Report includes an open period.  Entries are not final.</t>
  </si>
  <si>
    <t>No Department</t>
  </si>
  <si>
    <t>13000-000000</t>
  </si>
  <si>
    <t>15000-000000</t>
  </si>
  <si>
    <t>15010-000000</t>
  </si>
  <si>
    <t>16500-000000</t>
  </si>
  <si>
    <t>16700-000000</t>
  </si>
  <si>
    <t>17800-000000</t>
  </si>
  <si>
    <t>18300-000000</t>
  </si>
  <si>
    <t>18500-000000</t>
  </si>
  <si>
    <t>18531-000000</t>
  </si>
  <si>
    <t>18550-000000</t>
  </si>
  <si>
    <t>18700-000000</t>
  </si>
  <si>
    <t>18910-000000</t>
  </si>
  <si>
    <t>20400-000000</t>
  </si>
  <si>
    <t>20630-000000</t>
  </si>
  <si>
    <t>20800-000000</t>
  </si>
  <si>
    <t>25300-000000</t>
  </si>
  <si>
    <t>35000-000000</t>
  </si>
  <si>
    <t>MISCELLANEOUS INCOME</t>
  </si>
  <si>
    <t>PROPERTY TAX</t>
  </si>
  <si>
    <t>INTEREST EXPENSE</t>
  </si>
  <si>
    <t>S/B ZERO</t>
  </si>
  <si>
    <t>S/B zero</t>
  </si>
  <si>
    <t>S/B Zero</t>
  </si>
  <si>
    <t>Comparative Income Statement</t>
  </si>
  <si>
    <t>MONTHLY OPERATING STATEMENTS</t>
  </si>
  <si>
    <t>Current Period</t>
  </si>
  <si>
    <t>Year-To-Date</t>
  </si>
  <si>
    <t>Thru:</t>
  </si>
  <si>
    <t>RENTAL INCOME</t>
  </si>
  <si>
    <t>40100-000000 - BASE RENTAL INCOME</t>
  </si>
  <si>
    <t>40140-000000 - COMMON AREA INCOME</t>
  </si>
  <si>
    <t>40150-000000 - PRIOR YEAR CAM</t>
  </si>
  <si>
    <t>40250-000000 - MISCELLANEOUS INCOME</t>
  </si>
  <si>
    <t>41400-000000 - PREPAID INCOME</t>
  </si>
  <si>
    <t>TOTAL RENTAL INCOME</t>
  </si>
  <si>
    <t>TOTAL INCOME</t>
  </si>
  <si>
    <t>COMMON AREA EXPENSES</t>
  </si>
  <si>
    <t>TOTAL COMMON AREA EXPENSE</t>
  </si>
  <si>
    <t>OWNER EXPENSES</t>
  </si>
  <si>
    <t>TOTAL OWNER EXPENSES</t>
  </si>
  <si>
    <t>NET OPERATING INCOME</t>
  </si>
  <si>
    <t>TOTAL INTEREST EXPENSE</t>
  </si>
  <si>
    <t>NET INCOME</t>
  </si>
  <si>
    <t>CAPITAL EXPENSES</t>
  </si>
  <si>
    <t>TOTAL CAPITAL EXPENSES</t>
  </si>
  <si>
    <t>NET CASH FLOW</t>
  </si>
  <si>
    <t>Category</t>
  </si>
  <si>
    <t>Mo. Rep Charges</t>
  </si>
  <si>
    <t>Beg Balance</t>
  </si>
  <si>
    <t>Charges Cash Receipts</t>
  </si>
  <si>
    <t>N/C Credits</t>
  </si>
  <si>
    <t>Refunds</t>
  </si>
  <si>
    <t>End Balance</t>
  </si>
  <si>
    <t>Sec Dep Bal</t>
  </si>
  <si>
    <t>BAS BASE RENT</t>
  </si>
  <si>
    <t>CAM COMMON AREA MAINT</t>
  </si>
  <si>
    <t>PYC PRIOR YEAR CAM</t>
  </si>
  <si>
    <t>Grand Total:</t>
  </si>
  <si>
    <t>14100-000000</t>
  </si>
  <si>
    <t>15100-000000</t>
  </si>
  <si>
    <t>35730-000000</t>
  </si>
  <si>
    <t>35740-000000</t>
  </si>
  <si>
    <t>35750-000000</t>
  </si>
  <si>
    <t>35760-000000</t>
  </si>
  <si>
    <t>36191-000000</t>
  </si>
  <si>
    <t>36192-000000</t>
  </si>
  <si>
    <t>INSURANCE INCOME</t>
  </si>
  <si>
    <t>PROPERTY TAX INCOME</t>
  </si>
  <si>
    <t>MARKETING INCOME</t>
  </si>
  <si>
    <t>Land Improvements</t>
  </si>
  <si>
    <t>TRANSFER BAL FROM JLL</t>
  </si>
  <si>
    <t>36000-000000</t>
  </si>
  <si>
    <t>INS INSURANCE-CAM</t>
  </si>
  <si>
    <t>PRO PROMOTION FUND CHARGE</t>
  </si>
  <si>
    <t>RET REAL ESTATE TAX</t>
  </si>
  <si>
    <t>40230-000000 - INSURANCE INCOME</t>
  </si>
  <si>
    <t>40240-000000 - PROPERTY TAX INCOME</t>
  </si>
  <si>
    <t>40300-000000 - MARKETING INCOME</t>
  </si>
  <si>
    <t>Per Report</t>
  </si>
  <si>
    <t>40610-000000 - CAM UTILITY REIMBURSEMENT</t>
  </si>
  <si>
    <t>10197-000000</t>
  </si>
  <si>
    <t>10410-000000</t>
  </si>
  <si>
    <t>12041-000000</t>
  </si>
  <si>
    <t>13100-000000</t>
  </si>
  <si>
    <t>15017-000000</t>
  </si>
  <si>
    <t>15400-000000</t>
  </si>
  <si>
    <t>15401-000000</t>
  </si>
  <si>
    <t>15500-000000</t>
  </si>
  <si>
    <t>20901-000000</t>
  </si>
  <si>
    <t>26510-000000</t>
  </si>
  <si>
    <t>35770-000000</t>
  </si>
  <si>
    <t>35780-000000</t>
  </si>
  <si>
    <t>35790-000000</t>
  </si>
  <si>
    <t>35800-000000</t>
  </si>
  <si>
    <t>35810-000000</t>
  </si>
  <si>
    <t>36193-000000</t>
  </si>
  <si>
    <t>36194-000000</t>
  </si>
  <si>
    <t>36195-000000</t>
  </si>
  <si>
    <t>36196-000000</t>
  </si>
  <si>
    <t>GROSS CASH FLOW</t>
  </si>
  <si>
    <t>INVESTING ACTIVITIES</t>
  </si>
  <si>
    <t>TOTAL INVESTING ACTIVITIES</t>
  </si>
  <si>
    <t>NOI AFTER INT. EXPENSE</t>
  </si>
  <si>
    <t>DFR RENT DEFERRAL</t>
  </si>
  <si>
    <t xml:space="preserve"> ESCROW - PROPERTY TAX -  10410</t>
  </si>
  <si>
    <t>AR NOTE SRECEIVABLE REPAYMENT -  12041</t>
  </si>
  <si>
    <t>CASH - CAPITAL EXP RESERVE -  10197</t>
  </si>
  <si>
    <t>Building Improvements 2</t>
  </si>
  <si>
    <t>Capital Improvements</t>
  </si>
  <si>
    <t>Capital - Garage PKLOT</t>
  </si>
  <si>
    <t>PREPAID OTHER - 20900</t>
  </si>
  <si>
    <t>CAPITAL RESERVE FUND - 26510</t>
  </si>
  <si>
    <t>Tenant Improvements</t>
  </si>
  <si>
    <t>OWNER CONTRIBUTION 1 - LANDMARK TOWNE - 36191</t>
  </si>
  <si>
    <t>OWNER CONTRIBUTION 2 - ALGOS LLC - 36192</t>
  </si>
  <si>
    <t>OWNER CONTRIBUTION 3 - DINKY LLC - 36193</t>
  </si>
  <si>
    <t>OWNER CONTRIBUTION 4 - 2012 IRREVOCABLE TRUST/SILVERTRI - 36194</t>
  </si>
  <si>
    <t>OWNER CONTRIBUTION 5 - G.F. LIBERTY - 36195</t>
  </si>
  <si>
    <t>OWNER CONTRIBUTION 6 - 36196</t>
  </si>
  <si>
    <t>OWNER DISTRIBUTION 1- VAM INVESTMENTS LP - VINCENT MUZZI - 35730</t>
  </si>
  <si>
    <t>OWNER DISTRIBUTION 2 - AGLOS LLC - 35740</t>
  </si>
  <si>
    <t>OWNER DISTRIBUTION 3- DINKY LLC - 35750</t>
  </si>
  <si>
    <t>OWNER DISTRIBUTION 4  - 2012 IRREVOCABLE TRUST/SILVESTRI - 35760</t>
  </si>
  <si>
    <t>OWNER DISTRIBUTION 5 - G.F. LIBERTY - 35770</t>
  </si>
  <si>
    <t>OWNER DISTRIBUTION 6 - N/A - 35780</t>
  </si>
  <si>
    <t>OWNER DISTRIBUTION 7 - VAM MANAGEMENT LLC - VINCENT MUZZI - 35790</t>
  </si>
  <si>
    <t>OWNER DISTRIBUTION 8 - VAM INVEST/MIA ENRIGHT - MUZZI 2011 IRREVOCABLE - 35800</t>
  </si>
  <si>
    <t>OWNER DISTRIBUTION 9 - VAM INVEST/SARA MUZZI 2011 IRREVOCABLE- 35810</t>
  </si>
  <si>
    <t>00137157 Refund TI TENANT IMPROVEMENT</t>
  </si>
  <si>
    <t>8204 6/17/2026 ROSS 1ST 1/2 LC</t>
  </si>
  <si>
    <t xml:space="preserve">8204 6/17/2026 WINGSTOP 1ST 1/2 LC </t>
  </si>
  <si>
    <t xml:space="preserve"> 6/26/2026</t>
  </si>
  <si>
    <t>ABI PROPERTIES</t>
  </si>
  <si>
    <t>ENTITY: 803</t>
  </si>
  <si>
    <t>ABI PROPERTIES, INC</t>
  </si>
  <si>
    <t>BUILDING</t>
  </si>
  <si>
    <t>17300-000000</t>
  </si>
  <si>
    <t>TITLE &amp; ESCROW FEE</t>
  </si>
  <si>
    <t>TENANT SECURITY DEPOSIT</t>
  </si>
  <si>
    <t>OWNER'S CONTRIBUTION</t>
  </si>
  <si>
    <t>40100-000000</t>
  </si>
  <si>
    <t>40140-000000</t>
  </si>
  <si>
    <t>41300-000000</t>
  </si>
  <si>
    <t>SALES TAX COLLECTIONS</t>
  </si>
  <si>
    <t>54000-000000</t>
  </si>
  <si>
    <t>Total:</t>
  </si>
  <si>
    <t xml:space="preserve"> PROPERTY ACQUISITION 06/08/2026</t>
  </si>
  <si>
    <t>00137962 Cash Recpt SD PSECURITY DEPOSIT</t>
  </si>
  <si>
    <t xml:space="preserve"> 6/30/2026</t>
  </si>
  <si>
    <t xml:space="preserve"> 6/8/2026</t>
  </si>
  <si>
    <t>PROPERTY ACQUISITION 06/08/2026</t>
  </si>
  <si>
    <t>REV SECURITY DEPOSIT CASH RECEIPT</t>
  </si>
  <si>
    <t>TITLE &amp; ESCROW FEE - 17300</t>
  </si>
  <si>
    <t>ABA RENT CONCESSIONS</t>
  </si>
  <si>
    <t>STX SALES TAX</t>
  </si>
  <si>
    <t>10180-000000</t>
  </si>
  <si>
    <t>CASH-OPERATING</t>
  </si>
  <si>
    <t>MISCELLANEOUS DEPOSITS</t>
  </si>
  <si>
    <t>40230-000000</t>
  </si>
  <si>
    <t>40240-000000</t>
  </si>
  <si>
    <t>50170-000000</t>
  </si>
  <si>
    <t>LANDSCAPE-MAINTENANCE</t>
  </si>
  <si>
    <t>51040-000000</t>
  </si>
  <si>
    <t>JANITORIAL</t>
  </si>
  <si>
    <t>51080-000000</t>
  </si>
  <si>
    <t>ON SITE MANAGEMENT FEES</t>
  </si>
  <si>
    <t>51100-000000</t>
  </si>
  <si>
    <t>SIDEWALK MAINTENANCE</t>
  </si>
  <si>
    <t>55102-000000</t>
  </si>
  <si>
    <t>ELECTRIC/BUILDING</t>
  </si>
  <si>
    <t>55120-000000</t>
  </si>
  <si>
    <t>TRASH REMOVAL</t>
  </si>
  <si>
    <t>55130-000000</t>
  </si>
  <si>
    <t>WATER/BUILDING</t>
  </si>
  <si>
    <t>55140-000000</t>
  </si>
  <si>
    <t>WATER/COMMON AREA</t>
  </si>
  <si>
    <t>INSURANCE-PROPERTY</t>
  </si>
  <si>
    <t>INSURANCE-LIABILITY</t>
  </si>
  <si>
    <t>INSURANCE-UMBRELLA</t>
  </si>
  <si>
    <t>SWEEPING</t>
  </si>
  <si>
    <t>FOR THE MONTH ENDED 08/31/26</t>
  </si>
  <si>
    <t>Year to Date Balances for period 08/26</t>
  </si>
  <si>
    <t>OWNER'S DISTRIBUTION</t>
  </si>
  <si>
    <t>50111-000000</t>
  </si>
  <si>
    <t>50112-000000</t>
  </si>
  <si>
    <t>50130-000000</t>
  </si>
  <si>
    <t>50150-000000</t>
  </si>
  <si>
    <t>LANDSCAPE-TREE TRIMMINGS</t>
  </si>
  <si>
    <t>50512-000000</t>
  </si>
  <si>
    <t>BUILDING-LIGHTING MAINT &amp; REPAIRS</t>
  </si>
  <si>
    <t>51150-000000</t>
  </si>
  <si>
    <t>70230-000000</t>
  </si>
  <si>
    <t>OTHER PROFESSIONAL FEES</t>
  </si>
  <si>
    <t>08/26 OWNERS DISTRIBUTION</t>
  </si>
  <si>
    <t xml:space="preserve"> 8/20/2026</t>
  </si>
  <si>
    <t>41300-000000 - SALES TAX COLLECTIONS</t>
  </si>
  <si>
    <t>50111-000000 - INSURANCE-PROPERTY</t>
  </si>
  <si>
    <t>50112-000000 - INSURANCE-LIABILITY</t>
  </si>
  <si>
    <t>50130-000000 - INSURANCE-UMBRELLA</t>
  </si>
  <si>
    <t>50150-000000 - LANDSCAPE-TREE TRIMMINGS</t>
  </si>
  <si>
    <t>50170-000000 - LANDSCAPE-MAINTENANCE</t>
  </si>
  <si>
    <t>50190-000000 - LANDSCAPE-SPRINKLER REPAIRS</t>
  </si>
  <si>
    <t>50512-000000 - BUILDING-LIGHTING MAINT &amp; REPAIRS</t>
  </si>
  <si>
    <t>51040-000000 - JANITORIAL</t>
  </si>
  <si>
    <t>51050-000000 - PEST CONTROL MAINTENANCE</t>
  </si>
  <si>
    <t>51080-000000 - ON SITE MANAGEMENT FEES</t>
  </si>
  <si>
    <t>51100-000000 - SIDEWALK MAINTENANCE</t>
  </si>
  <si>
    <t>51110-000000 - MONITOR FIRE SPRINKLERS</t>
  </si>
  <si>
    <t>51150-000000 - SWEEPING</t>
  </si>
  <si>
    <t>54000-000000 - PROPERTY TAX</t>
  </si>
  <si>
    <t>55102-000000 - ELECTRIC/BUILDING</t>
  </si>
  <si>
    <t>55110-000000 - ELECTRIC/COMMON AREA</t>
  </si>
  <si>
    <t>55120-000000 - TRASH REMOVAL</t>
  </si>
  <si>
    <t>55130-000000 - WATER/BUILDING</t>
  </si>
  <si>
    <t>55140-000000 - WATER/COMMON AREA</t>
  </si>
  <si>
    <t>70230-000000 - OTHER PROFESSIONAL FEES</t>
  </si>
  <si>
    <t>70410-000000 - CITY SALES TAX</t>
  </si>
  <si>
    <t>13100-000000 - MISCELLANEOUS DEPOSITS</t>
  </si>
  <si>
    <t>35000-000000 - OWNER'S DISTRIBUTION</t>
  </si>
  <si>
    <t>36000-000000 - OWNER'S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</si>
</sst>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mm/dd/yy"/>
    <numFmt numFmtId="167" formatCode="_-* #,##0.0_-;\-* #,##0.0_-;_-* &quot;-&quot;??_-;_-@_-"/>
    <numFmt numFmtId="168" formatCode="mmmm\ dd/yyyy\ h:mm"/>
    <numFmt numFmtId="169" formatCode="mmmm\ dd\,yyyy\ h:mm"/>
    <numFmt numFmtId="170" formatCode="mmmm\ dd\,yyyy\ hh:mm"/>
    <numFmt numFmtId="171" formatCode="mmmm\ dd\,yyyy"/>
    <numFmt numFmtId="172" formatCode="m/d/yy\ h:mm\ AM/PM"/>
    <numFmt numFmtId="173" formatCode="000"/>
    <numFmt numFmtId="174" formatCode="0.00000000000"/>
    <numFmt numFmtId="175" formatCode="_(* #,##0.0_);_(* \(#,##0.0\);_(* &quot;-&quot;??_);_(@_)"/>
    <numFmt numFmtId="176" formatCode="0.0%"/>
    <numFmt numFmtId="177" formatCode="mm/yy"/>
    <numFmt numFmtId="178" formatCode="mmmm\-yy"/>
    <numFmt numFmtId="179" formatCode="_(&quot;$&quot;* #,##0_);_(&quot;$&quot;* \(#,##0\);_(&quot;$&quot;* &quot;-&quot;??_);_(@_)"/>
    <numFmt numFmtId="180" formatCode="[$-409]mmm\-yy;@"/>
    <numFmt numFmtId="181" formatCode="_(* #,##0.00_);_(* \(#,##0.00\);_(* &quot;-&quot;_);_(@_)"/>
    <numFmt numFmtId="182" formatCode="#,##0.0_);\(#,##0.0\)"/>
    <numFmt numFmtId="183" formatCode="#,##0.0"/>
    <numFmt numFmtId="184" formatCode="_;_(* &quot;-&quot;??_);_(@_)"/>
    <numFmt numFmtId="185" formatCode="mm/dd/yy;@"/>
    <numFmt numFmtId="186" formatCode="_-* #,##0.00\ _D_M_-;\-* #,##0.00\ _D_M_-;_-* &quot;-&quot;??\ _D_M_-;_-@_-"/>
    <numFmt numFmtId="187" formatCode="_-* #,##0.00\ &quot;DM&quot;_-;\-* #,##0.00\ &quot;DM&quot;_-;_-* &quot;-&quot;??\ &quot;DM&quot;_-;_-@_-"/>
    <numFmt numFmtId="188" formatCode="___(* &quot;-&quot;??_);_(@_)"/>
    <numFmt numFmtId="189" formatCode="_]&quot;-&quot;??_);_(@_)"/>
    <numFmt numFmtId="190" formatCode="m/d/yyyy;@"/>
    <numFmt numFmtId="191" formatCode="mmm\ dd\,\ yyyy"/>
    <numFmt numFmtId="192" formatCode="hh:mm\ AM/PM"/>
    <numFmt numFmtId="193" formatCode="mmm"/>
    <numFmt numFmtId="194" formatCode="&quot;$&quot;#,##0.00"/>
    <numFmt numFmtId="195" formatCode="[$-409]mmmm\ d\,\ yyyy;@"/>
    <numFmt numFmtId="196" formatCode="#,##0.00;\(#,##0.00\)"/>
    <numFmt numFmtId="197" formatCode="mmm\ yyyy"/>
  </numFmts>
  <fonts count="9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0"/>
      <name val="Helv"/>
    </font>
    <font>
      <b/>
      <u/>
      <sz val="8"/>
      <name val="Helv"/>
    </font>
    <font>
      <sz val="10"/>
      <name val="ZapfHumnst BT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9"/>
      <name val="Swis721 BT"/>
      <family val="2"/>
    </font>
    <font>
      <sz val="8"/>
      <name val="Helv"/>
    </font>
    <font>
      <b/>
      <sz val="8"/>
      <color indexed="8"/>
      <name val="Helv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sz val="10"/>
      <color indexed="12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 Black"/>
      <family val="2"/>
    </font>
    <font>
      <sz val="12"/>
      <name val="Arial"/>
      <family val="2"/>
    </font>
    <font>
      <b/>
      <i/>
      <u/>
      <sz val="10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4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10"/>
      <color indexed="48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0"/>
      <color indexed="22"/>
      <name val="Arial"/>
      <family val="2"/>
    </font>
    <font>
      <b/>
      <sz val="10"/>
      <color indexed="22"/>
      <name val="Arial"/>
      <family val="2"/>
    </font>
    <font>
      <sz val="10"/>
      <color indexed="48"/>
      <name val="Arial"/>
      <family val="2"/>
    </font>
    <font>
      <u val="singleAccounting"/>
      <sz val="10"/>
      <name val="Arial"/>
      <family val="2"/>
    </font>
    <font>
      <b/>
      <sz val="14"/>
      <color indexed="12"/>
      <name val="Arial"/>
      <family val="2"/>
    </font>
    <font>
      <sz val="10"/>
      <color indexed="9"/>
      <name val="Arial"/>
      <family val="2"/>
    </font>
    <font>
      <i/>
      <sz val="10"/>
      <color indexed="23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b/>
      <i/>
      <sz val="10"/>
      <color indexed="8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8"/>
      <name val="Arial"/>
      <family val="2"/>
    </font>
    <font>
      <b/>
      <i/>
      <sz val="10"/>
      <color rgb="FFFF0000"/>
      <name val="Arial"/>
      <family val="2"/>
    </font>
    <font>
      <sz val="8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i/>
      <sz val="8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</fills>
  <borders count="10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81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3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72" fillId="8" borderId="0" applyNumberFormat="0" applyBorder="0" applyAlignment="0" applyProtection="0"/>
    <xf numFmtId="0" fontId="72" fillId="3" borderId="0" applyNumberFormat="0" applyBorder="0" applyAlignment="0" applyProtection="0"/>
    <xf numFmtId="0" fontId="72" fillId="9" borderId="0" applyNumberFormat="0" applyBorder="0" applyAlignment="0" applyProtection="0"/>
    <xf numFmtId="0" fontId="72" fillId="10" borderId="0" applyNumberFormat="0" applyBorder="0" applyAlignment="0" applyProtection="0"/>
    <xf numFmtId="0" fontId="72" fillId="8" borderId="0" applyNumberFormat="0" applyBorder="0" applyAlignment="0" applyProtection="0"/>
    <xf numFmtId="0" fontId="72" fillId="11" borderId="0" applyNumberFormat="0" applyBorder="0" applyAlignment="0" applyProtection="0"/>
    <xf numFmtId="0" fontId="46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47" fillId="21" borderId="0" applyNumberFormat="0" applyBorder="0" applyAlignment="0" applyProtection="0"/>
    <xf numFmtId="0" fontId="47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4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25" borderId="0" applyNumberFormat="0" applyBorder="0" applyAlignment="0" applyProtection="0"/>
    <xf numFmtId="0" fontId="47" fillId="26" borderId="0" applyNumberFormat="0" applyBorder="0" applyAlignment="0" applyProtection="0"/>
    <xf numFmtId="0" fontId="47" fillId="18" borderId="0" applyNumberFormat="0" applyBorder="0" applyAlignment="0" applyProtection="0"/>
    <xf numFmtId="0" fontId="46" fillId="27" borderId="0" applyNumberFormat="0" applyBorder="0" applyAlignment="0" applyProtection="0"/>
    <xf numFmtId="37" fontId="10" fillId="0" borderId="0"/>
    <xf numFmtId="37" fontId="11" fillId="0" borderId="0"/>
    <xf numFmtId="37" fontId="11" fillId="0" borderId="0"/>
    <xf numFmtId="0" fontId="48" fillId="18" borderId="0" applyNumberFormat="0" applyBorder="0" applyAlignment="0" applyProtection="0"/>
    <xf numFmtId="165" fontId="5" fillId="0" borderId="0" applyFill="0" applyBorder="0" applyAlignment="0"/>
    <xf numFmtId="165" fontId="5" fillId="0" borderId="0" applyFill="0" applyBorder="0" applyAlignment="0"/>
    <xf numFmtId="168" fontId="12" fillId="0" borderId="0" applyFill="0" applyBorder="0" applyAlignment="0"/>
    <xf numFmtId="169" fontId="12" fillId="0" borderId="0" applyFill="0" applyBorder="0" applyAlignment="0"/>
    <xf numFmtId="170" fontId="12" fillId="0" borderId="0" applyFill="0" applyBorder="0" applyAlignment="0"/>
    <xf numFmtId="165" fontId="5" fillId="0" borderId="0" applyFill="0" applyBorder="0" applyAlignment="0"/>
    <xf numFmtId="171" fontId="12" fillId="0" borderId="0" applyFill="0" applyBorder="0" applyAlignment="0"/>
    <xf numFmtId="165" fontId="5" fillId="0" borderId="0" applyFill="0" applyBorder="0" applyAlignment="0"/>
    <xf numFmtId="0" fontId="49" fillId="28" borderId="1" applyNumberFormat="0" applyAlignment="0" applyProtection="0"/>
    <xf numFmtId="0" fontId="50" fillId="19" borderId="2" applyNumberFormat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0" fontId="14" fillId="0" borderId="0"/>
    <xf numFmtId="43" fontId="39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16" fillId="0" borderId="0" applyNumberFormat="0" applyAlignment="0">
      <alignment horizontal="left"/>
    </xf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8" fontId="14" fillId="0" borderId="0"/>
    <xf numFmtId="187" fontId="5" fillId="0" borderId="0" applyFont="0" applyFill="0" applyBorder="0" applyAlignment="0" applyProtection="0"/>
    <xf numFmtId="14" fontId="17" fillId="0" borderId="0" applyFill="0" applyBorder="0" applyAlignment="0"/>
    <xf numFmtId="0" fontId="51" fillId="29" borderId="0" applyNumberFormat="0" applyBorder="0" applyAlignment="0" applyProtection="0"/>
    <xf numFmtId="0" fontId="51" fillId="30" borderId="0" applyNumberFormat="0" applyBorder="0" applyAlignment="0" applyProtection="0"/>
    <xf numFmtId="0" fontId="51" fillId="31" borderId="0" applyNumberFormat="0" applyBorder="0" applyAlignment="0" applyProtection="0"/>
    <xf numFmtId="165" fontId="5" fillId="0" borderId="0" applyFill="0" applyBorder="0" applyAlignment="0"/>
    <xf numFmtId="165" fontId="5" fillId="0" borderId="0" applyFill="0" applyBorder="0" applyAlignment="0"/>
    <xf numFmtId="165" fontId="5" fillId="0" borderId="0" applyFill="0" applyBorder="0" applyAlignment="0"/>
    <xf numFmtId="171" fontId="12" fillId="0" borderId="0" applyFill="0" applyBorder="0" applyAlignment="0"/>
    <xf numFmtId="165" fontId="5" fillId="0" borderId="0" applyFill="0" applyBorder="0" applyAlignment="0"/>
    <xf numFmtId="0" fontId="18" fillId="0" borderId="0" applyNumberFormat="0" applyAlignment="0">
      <alignment horizontal="left"/>
    </xf>
    <xf numFmtId="0" fontId="73" fillId="0" borderId="0" applyNumberFormat="0" applyFill="0" applyBorder="0" applyAlignment="0" applyProtection="0"/>
    <xf numFmtId="0" fontId="52" fillId="32" borderId="0" applyNumberFormat="0" applyBorder="0" applyAlignment="0" applyProtection="0"/>
    <xf numFmtId="38" fontId="15" fillId="33" borderId="0" applyNumberFormat="0" applyBorder="0" applyAlignment="0" applyProtection="0"/>
    <xf numFmtId="0" fontId="8" fillId="0" borderId="3" applyNumberFormat="0" applyAlignment="0" applyProtection="0">
      <alignment horizontal="left" vertical="center"/>
    </xf>
    <xf numFmtId="0" fontId="8" fillId="0" borderId="4">
      <alignment horizontal="left" vertical="center"/>
    </xf>
    <xf numFmtId="0" fontId="53" fillId="0" borderId="5" applyNumberFormat="0" applyFill="0" applyAlignment="0" applyProtection="0"/>
    <xf numFmtId="0" fontId="54" fillId="0" borderId="6" applyNumberFormat="0" applyFill="0" applyAlignment="0" applyProtection="0"/>
    <xf numFmtId="0" fontId="55" fillId="0" borderId="7" applyNumberFormat="0" applyFill="0" applyAlignment="0" applyProtection="0"/>
    <xf numFmtId="0" fontId="55" fillId="0" borderId="0" applyNumberFormat="0" applyFill="0" applyBorder="0" applyAlignment="0" applyProtection="0"/>
    <xf numFmtId="0" fontId="19" fillId="0" borderId="8">
      <alignment horizontal="left"/>
    </xf>
    <xf numFmtId="0" fontId="56" fillId="27" borderId="1" applyNumberFormat="0" applyAlignment="0" applyProtection="0"/>
    <xf numFmtId="10" fontId="15" fillId="34" borderId="8" applyNumberFormat="0" applyBorder="0" applyAlignment="0" applyProtection="0"/>
    <xf numFmtId="165" fontId="5" fillId="0" borderId="0" applyFill="0" applyBorder="0" applyAlignment="0"/>
    <xf numFmtId="165" fontId="5" fillId="0" borderId="0" applyFill="0" applyBorder="0" applyAlignment="0"/>
    <xf numFmtId="165" fontId="5" fillId="0" borderId="0" applyFill="0" applyBorder="0" applyAlignment="0"/>
    <xf numFmtId="171" fontId="12" fillId="0" borderId="0" applyFill="0" applyBorder="0" applyAlignment="0"/>
    <xf numFmtId="165" fontId="5" fillId="0" borderId="0" applyFill="0" applyBorder="0" applyAlignment="0"/>
    <xf numFmtId="0" fontId="57" fillId="0" borderId="9" applyNumberFormat="0" applyFill="0" applyAlignment="0" applyProtection="0"/>
    <xf numFmtId="0" fontId="58" fillId="27" borderId="0" applyNumberFormat="0" applyBorder="0" applyAlignment="0" applyProtection="0"/>
    <xf numFmtId="174" fontId="12" fillId="0" borderId="0"/>
    <xf numFmtId="0" fontId="5" fillId="0" borderId="0"/>
    <xf numFmtId="0" fontId="5" fillId="0" borderId="0"/>
    <xf numFmtId="0" fontId="5" fillId="0" borderId="0"/>
    <xf numFmtId="0" fontId="34" fillId="0" borderId="0"/>
    <xf numFmtId="3" fontId="5" fillId="0" borderId="0"/>
    <xf numFmtId="0" fontId="79" fillId="0" borderId="0"/>
    <xf numFmtId="0" fontId="5" fillId="0" borderId="0"/>
    <xf numFmtId="0" fontId="5" fillId="26" borderId="10" applyNumberFormat="0" applyFont="0" applyAlignment="0" applyProtection="0"/>
    <xf numFmtId="0" fontId="59" fillId="28" borderId="11" applyNumberFormat="0" applyAlignment="0" applyProtection="0"/>
    <xf numFmtId="10" fontId="5" fillId="0" borderId="0" applyFont="0" applyFill="0" applyBorder="0" applyAlignment="0" applyProtection="0"/>
    <xf numFmtId="170" fontId="12" fillId="0" borderId="0" applyFont="0" applyFill="0" applyBorder="0" applyAlignment="0" applyProtection="0"/>
    <xf numFmtId="167" fontId="5" fillId="0" borderId="0" applyFont="0" applyFill="0" applyBorder="0" applyAlignment="0" applyProtection="0"/>
    <xf numFmtId="10" fontId="1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ill="0" applyBorder="0" applyAlignment="0"/>
    <xf numFmtId="165" fontId="5" fillId="0" borderId="0" applyFill="0" applyBorder="0" applyAlignment="0"/>
    <xf numFmtId="165" fontId="5" fillId="0" borderId="0" applyFill="0" applyBorder="0" applyAlignment="0"/>
    <xf numFmtId="171" fontId="12" fillId="0" borderId="0" applyFill="0" applyBorder="0" applyAlignment="0"/>
    <xf numFmtId="165" fontId="5" fillId="0" borderId="0" applyFill="0" applyBorder="0" applyAlignment="0"/>
    <xf numFmtId="166" fontId="20" fillId="0" borderId="0" applyNumberFormat="0" applyFill="0" applyBorder="0" applyAlignment="0" applyProtection="0">
      <alignment horizontal="left"/>
    </xf>
    <xf numFmtId="4" fontId="22" fillId="35" borderId="12" applyNumberFormat="0" applyProtection="0">
      <alignment vertical="center"/>
    </xf>
    <xf numFmtId="4" fontId="60" fillId="35" borderId="12" applyNumberFormat="0" applyProtection="0">
      <alignment vertical="center"/>
    </xf>
    <xf numFmtId="4" fontId="22" fillId="35" borderId="12" applyNumberFormat="0" applyProtection="0">
      <alignment horizontal="left" vertical="center" indent="1"/>
    </xf>
    <xf numFmtId="0" fontId="22" fillId="35" borderId="12" applyNumberFormat="0" applyProtection="0">
      <alignment horizontal="left" vertical="top" indent="1"/>
    </xf>
    <xf numFmtId="4" fontId="22" fillId="2" borderId="0" applyNumberFormat="0" applyProtection="0">
      <alignment horizontal="left" vertical="center" indent="1"/>
    </xf>
    <xf numFmtId="4" fontId="17" fillId="7" borderId="12" applyNumberFormat="0" applyProtection="0">
      <alignment horizontal="right" vertical="center"/>
    </xf>
    <xf numFmtId="4" fontId="17" fillId="3" borderId="12" applyNumberFormat="0" applyProtection="0">
      <alignment horizontal="right" vertical="center"/>
    </xf>
    <xf numFmtId="4" fontId="17" fillId="36" borderId="12" applyNumberFormat="0" applyProtection="0">
      <alignment horizontal="right" vertical="center"/>
    </xf>
    <xf numFmtId="4" fontId="17" fillId="37" borderId="12" applyNumberFormat="0" applyProtection="0">
      <alignment horizontal="right" vertical="center"/>
    </xf>
    <xf numFmtId="4" fontId="17" fillId="38" borderId="12" applyNumberFormat="0" applyProtection="0">
      <alignment horizontal="right" vertical="center"/>
    </xf>
    <xf numFmtId="4" fontId="17" fillId="39" borderId="12" applyNumberFormat="0" applyProtection="0">
      <alignment horizontal="right" vertical="center"/>
    </xf>
    <xf numFmtId="4" fontId="17" fillId="9" borderId="12" applyNumberFormat="0" applyProtection="0">
      <alignment horizontal="right" vertical="center"/>
    </xf>
    <xf numFmtId="4" fontId="17" fillId="40" borderId="12" applyNumberFormat="0" applyProtection="0">
      <alignment horizontal="right" vertical="center"/>
    </xf>
    <xf numFmtId="4" fontId="17" fillId="41" borderId="12" applyNumberFormat="0" applyProtection="0">
      <alignment horizontal="right" vertical="center"/>
    </xf>
    <xf numFmtId="4" fontId="22" fillId="42" borderId="13" applyNumberFormat="0" applyProtection="0">
      <alignment horizontal="left" vertical="center" indent="1"/>
    </xf>
    <xf numFmtId="4" fontId="17" fillId="43" borderId="0" applyNumberFormat="0" applyProtection="0">
      <alignment horizontal="left" vertical="center" indent="1"/>
    </xf>
    <xf numFmtId="4" fontId="61" fillId="8" borderId="0" applyNumberFormat="0" applyProtection="0">
      <alignment horizontal="left" vertical="center" indent="1"/>
    </xf>
    <xf numFmtId="4" fontId="17" fillId="2" borderId="12" applyNumberFormat="0" applyProtection="0">
      <alignment horizontal="right" vertical="center"/>
    </xf>
    <xf numFmtId="4" fontId="62" fillId="43" borderId="0" applyNumberFormat="0" applyProtection="0">
      <alignment horizontal="left" vertical="center" indent="1"/>
    </xf>
    <xf numFmtId="4" fontId="62" fillId="2" borderId="0" applyNumberFormat="0" applyProtection="0">
      <alignment horizontal="left" vertical="center" indent="1"/>
    </xf>
    <xf numFmtId="0" fontId="5" fillId="8" borderId="12" applyNumberFormat="0" applyProtection="0">
      <alignment horizontal="left" vertical="center" indent="1"/>
    </xf>
    <xf numFmtId="0" fontId="5" fillId="8" borderId="12" applyNumberFormat="0" applyProtection="0">
      <alignment horizontal="left" vertical="top" indent="1"/>
    </xf>
    <xf numFmtId="0" fontId="5" fillId="2" borderId="12" applyNumberFormat="0" applyProtection="0">
      <alignment horizontal="left" vertical="center" indent="1"/>
    </xf>
    <xf numFmtId="0" fontId="5" fillId="2" borderId="12" applyNumberFormat="0" applyProtection="0">
      <alignment horizontal="left" vertical="top" indent="1"/>
    </xf>
    <xf numFmtId="0" fontId="5" fillId="6" borderId="12" applyNumberFormat="0" applyProtection="0">
      <alignment horizontal="left" vertical="center" indent="1"/>
    </xf>
    <xf numFmtId="0" fontId="5" fillId="6" borderId="12" applyNumberFormat="0" applyProtection="0">
      <alignment horizontal="left" vertical="top" indent="1"/>
    </xf>
    <xf numFmtId="0" fontId="5" fillId="43" borderId="12" applyNumberFormat="0" applyProtection="0">
      <alignment horizontal="left" vertical="center" indent="1"/>
    </xf>
    <xf numFmtId="0" fontId="5" fillId="43" borderId="12" applyNumberFormat="0" applyProtection="0">
      <alignment horizontal="left" vertical="top" indent="1"/>
    </xf>
    <xf numFmtId="0" fontId="5" fillId="5" borderId="8" applyNumberFormat="0">
      <protection locked="0"/>
    </xf>
    <xf numFmtId="0" fontId="42" fillId="8" borderId="14" applyBorder="0"/>
    <xf numFmtId="4" fontId="17" fillId="4" borderId="12" applyNumberFormat="0" applyProtection="0">
      <alignment vertical="center"/>
    </xf>
    <xf numFmtId="4" fontId="63" fillId="4" borderId="12" applyNumberFormat="0" applyProtection="0">
      <alignment vertical="center"/>
    </xf>
    <xf numFmtId="4" fontId="17" fillId="4" borderId="12" applyNumberFormat="0" applyProtection="0">
      <alignment horizontal="left" vertical="center" indent="1"/>
    </xf>
    <xf numFmtId="0" fontId="17" fillId="4" borderId="12" applyNumberFormat="0" applyProtection="0">
      <alignment horizontal="left" vertical="top" indent="1"/>
    </xf>
    <xf numFmtId="4" fontId="17" fillId="43" borderId="12" applyNumberFormat="0" applyProtection="0">
      <alignment horizontal="right" vertical="center"/>
    </xf>
    <xf numFmtId="4" fontId="63" fillId="43" borderId="12" applyNumberFormat="0" applyProtection="0">
      <alignment horizontal="right" vertical="center"/>
    </xf>
    <xf numFmtId="4" fontId="17" fillId="2" borderId="12" applyNumberFormat="0" applyProtection="0">
      <alignment horizontal="left" vertical="center" indent="1"/>
    </xf>
    <xf numFmtId="0" fontId="17" fillId="2" borderId="12" applyNumberFormat="0" applyProtection="0">
      <alignment horizontal="left" vertical="top" indent="1"/>
    </xf>
    <xf numFmtId="4" fontId="64" fillId="44" borderId="0" applyNumberFormat="0" applyProtection="0">
      <alignment horizontal="left" vertical="center" indent="1"/>
    </xf>
    <xf numFmtId="0" fontId="15" fillId="45" borderId="8"/>
    <xf numFmtId="4" fontId="24" fillId="43" borderId="12" applyNumberFormat="0" applyProtection="0">
      <alignment horizontal="right" vertical="center"/>
    </xf>
    <xf numFmtId="0" fontId="65" fillId="0" borderId="0" applyNumberFormat="0" applyFill="0" applyBorder="0" applyAlignment="0" applyProtection="0"/>
    <xf numFmtId="0" fontId="5" fillId="0" borderId="0"/>
    <xf numFmtId="40" fontId="21" fillId="0" borderId="0" applyBorder="0">
      <alignment horizontal="right"/>
    </xf>
    <xf numFmtId="49" fontId="17" fillId="0" borderId="0" applyFill="0" applyBorder="0" applyAlignment="0"/>
    <xf numFmtId="172" fontId="12" fillId="0" borderId="0" applyFill="0" applyBorder="0" applyAlignment="0"/>
    <xf numFmtId="173" fontId="12" fillId="0" borderId="0" applyFill="0" applyBorder="0" applyAlignment="0"/>
    <xf numFmtId="0" fontId="65" fillId="0" borderId="0" applyNumberFormat="0" applyFill="0" applyBorder="0" applyAlignment="0" applyProtection="0"/>
    <xf numFmtId="0" fontId="51" fillId="0" borderId="15" applyNumberFormat="0" applyFill="0" applyAlignment="0" applyProtection="0"/>
    <xf numFmtId="0" fontId="66" fillId="0" borderId="0" applyNumberForma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88" fillId="0" borderId="0" applyBorder="0"/>
    <xf numFmtId="0" fontId="88" fillId="0" borderId="0" applyBorder="0"/>
    <xf numFmtId="0" fontId="88" fillId="0" borderId="0" applyBorder="0"/>
    <xf numFmtId="0" fontId="5" fillId="0" borderId="0"/>
    <xf numFmtId="44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</cellStyleXfs>
  <cellXfs count="1267">
    <xf numFmtId="0" fontId="0" fillId="0" borderId="0" xfId="0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6" xfId="0" applyBorder="1"/>
    <xf numFmtId="40" fontId="0" fillId="0" borderId="0" xfId="0" applyNumberFormat="1"/>
    <xf numFmtId="0" fontId="6" fillId="0" borderId="0" xfId="0" quotePrefix="1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quotePrefix="1" applyFont="1" applyAlignment="1">
      <alignment horizontal="left"/>
    </xf>
    <xf numFmtId="164" fontId="17" fillId="0" borderId="0" xfId="57" applyNumberFormat="1" applyFont="1"/>
    <xf numFmtId="0" fontId="22" fillId="0" borderId="0" xfId="0" applyFont="1"/>
    <xf numFmtId="0" fontId="23" fillId="0" borderId="0" xfId="0" quotePrefix="1" applyFont="1" applyAlignment="1">
      <alignment horizontal="left"/>
    </xf>
    <xf numFmtId="39" fontId="17" fillId="0" borderId="0" xfId="0" applyNumberFormat="1" applyFont="1"/>
    <xf numFmtId="0" fontId="17" fillId="0" borderId="0" xfId="0" applyFont="1" applyAlignment="1">
      <alignment horizontal="left"/>
    </xf>
    <xf numFmtId="40" fontId="17" fillId="0" borderId="0" xfId="0" applyNumberFormat="1" applyFont="1"/>
    <xf numFmtId="43" fontId="17" fillId="0" borderId="0" xfId="0" applyNumberFormat="1" applyFont="1"/>
    <xf numFmtId="17" fontId="17" fillId="0" borderId="0" xfId="0" applyNumberFormat="1" applyFont="1"/>
    <xf numFmtId="43" fontId="17" fillId="0" borderId="0" xfId="57" applyFont="1"/>
    <xf numFmtId="164" fontId="5" fillId="0" borderId="0" xfId="57" applyNumberFormat="1"/>
    <xf numFmtId="0" fontId="13" fillId="0" borderId="0" xfId="0" applyFont="1"/>
    <xf numFmtId="43" fontId="17" fillId="0" borderId="0" xfId="57" applyFont="1" applyAlignment="1">
      <alignment wrapText="1"/>
    </xf>
    <xf numFmtId="43" fontId="0" fillId="0" borderId="0" xfId="0" applyNumberFormat="1"/>
    <xf numFmtId="43" fontId="17" fillId="0" borderId="0" xfId="57" applyFont="1" applyBorder="1" applyAlignment="1">
      <alignment wrapText="1"/>
    </xf>
    <xf numFmtId="0" fontId="0" fillId="0" borderId="0" xfId="0" quotePrefix="1"/>
    <xf numFmtId="43" fontId="0" fillId="0" borderId="0" xfId="57" applyFont="1"/>
    <xf numFmtId="0" fontId="0" fillId="0" borderId="17" xfId="0" applyBorder="1"/>
    <xf numFmtId="43" fontId="6" fillId="0" borderId="0" xfId="57" applyFont="1"/>
    <xf numFmtId="0" fontId="6" fillId="0" borderId="0" xfId="0" applyFont="1" applyAlignment="1">
      <alignment horizontal="center"/>
    </xf>
    <xf numFmtId="0" fontId="0" fillId="0" borderId="18" xfId="0" applyBorder="1"/>
    <xf numFmtId="0" fontId="0" fillId="0" borderId="19" xfId="0" applyBorder="1"/>
    <xf numFmtId="37" fontId="13" fillId="0" borderId="0" xfId="0" applyNumberFormat="1" applyFont="1"/>
    <xf numFmtId="43" fontId="13" fillId="0" borderId="0" xfId="57" applyFont="1"/>
    <xf numFmtId="0" fontId="0" fillId="0" borderId="0" xfId="0" applyAlignment="1">
      <alignment vertical="top"/>
    </xf>
    <xf numFmtId="43" fontId="5" fillId="0" borderId="0" xfId="57" applyFont="1" applyBorder="1" applyAlignment="1">
      <alignment horizontal="center"/>
    </xf>
    <xf numFmtId="39" fontId="17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right"/>
    </xf>
    <xf numFmtId="43" fontId="17" fillId="0" borderId="0" xfId="57" applyFont="1" applyBorder="1" applyAlignment="1">
      <alignment horizontal="center"/>
    </xf>
    <xf numFmtId="43" fontId="17" fillId="0" borderId="0" xfId="57" applyFont="1" applyBorder="1"/>
    <xf numFmtId="43" fontId="17" fillId="0" borderId="0" xfId="57" applyFont="1" applyFill="1" applyBorder="1"/>
    <xf numFmtId="43" fontId="6" fillId="0" borderId="20" xfId="57" applyFont="1" applyBorder="1"/>
    <xf numFmtId="0" fontId="13" fillId="0" borderId="0" xfId="0" applyFont="1" applyAlignment="1">
      <alignment horizontal="center"/>
    </xf>
    <xf numFmtId="43" fontId="5" fillId="0" borderId="0" xfId="57"/>
    <xf numFmtId="43" fontId="5" fillId="0" borderId="0" xfId="57" applyFont="1"/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6" fillId="0" borderId="0" xfId="0" quotePrefix="1" applyFont="1" applyAlignment="1">
      <alignment horizontal="right"/>
    </xf>
    <xf numFmtId="0" fontId="0" fillId="0" borderId="21" xfId="0" applyBorder="1" applyAlignment="1">
      <alignment vertical="top" wrapText="1"/>
    </xf>
    <xf numFmtId="164" fontId="5" fillId="0" borderId="0" xfId="57" applyNumberFormat="1" applyAlignment="1">
      <alignment vertical="top"/>
    </xf>
    <xf numFmtId="43" fontId="17" fillId="0" borderId="0" xfId="57" applyFont="1" applyFill="1" applyBorder="1" applyAlignment="1">
      <alignment horizontal="center"/>
    </xf>
    <xf numFmtId="0" fontId="17" fillId="0" borderId="18" xfId="0" quotePrefix="1" applyFont="1" applyBorder="1" applyAlignment="1">
      <alignment horizontal="center"/>
    </xf>
    <xf numFmtId="0" fontId="17" fillId="0" borderId="0" xfId="0" quotePrefix="1" applyFont="1"/>
    <xf numFmtId="0" fontId="17" fillId="0" borderId="0" xfId="0" applyFont="1" applyAlignment="1">
      <alignment wrapText="1"/>
    </xf>
    <xf numFmtId="175" fontId="17" fillId="0" borderId="0" xfId="57" applyNumberFormat="1" applyFont="1" applyBorder="1" applyAlignment="1">
      <alignment wrapText="1"/>
    </xf>
    <xf numFmtId="175" fontId="17" fillId="0" borderId="0" xfId="57" applyNumberFormat="1" applyFont="1" applyBorder="1" applyAlignment="1">
      <alignment horizontal="center" wrapText="1"/>
    </xf>
    <xf numFmtId="175" fontId="17" fillId="0" borderId="0" xfId="57" applyNumberFormat="1" applyFont="1" applyBorder="1"/>
    <xf numFmtId="43" fontId="17" fillId="0" borderId="17" xfId="57" applyFont="1" applyBorder="1"/>
    <xf numFmtId="0" fontId="17" fillId="0" borderId="0" xfId="0" quotePrefix="1" applyFont="1" applyAlignment="1">
      <alignment horizontal="left" wrapText="1"/>
    </xf>
    <xf numFmtId="0" fontId="17" fillId="0" borderId="22" xfId="0" quotePrefix="1" applyFont="1" applyBorder="1" applyAlignment="1">
      <alignment horizontal="center"/>
    </xf>
    <xf numFmtId="0" fontId="17" fillId="0" borderId="23" xfId="0" quotePrefix="1" applyFont="1" applyBorder="1"/>
    <xf numFmtId="0" fontId="17" fillId="0" borderId="23" xfId="0" quotePrefix="1" applyFont="1" applyBorder="1" applyAlignment="1">
      <alignment horizontal="left" wrapText="1"/>
    </xf>
    <xf numFmtId="0" fontId="17" fillId="0" borderId="23" xfId="0" applyFont="1" applyBorder="1" applyAlignment="1">
      <alignment wrapText="1"/>
    </xf>
    <xf numFmtId="43" fontId="17" fillId="0" borderId="23" xfId="57" applyFont="1" applyBorder="1" applyAlignment="1">
      <alignment wrapText="1"/>
    </xf>
    <xf numFmtId="175" fontId="17" fillId="0" borderId="23" xfId="57" applyNumberFormat="1" applyFont="1" applyBorder="1" applyAlignment="1">
      <alignment wrapText="1"/>
    </xf>
    <xf numFmtId="43" fontId="17" fillId="0" borderId="23" xfId="57" applyFont="1" applyBorder="1"/>
    <xf numFmtId="175" fontId="17" fillId="0" borderId="23" xfId="57" applyNumberFormat="1" applyFont="1" applyBorder="1"/>
    <xf numFmtId="175" fontId="17" fillId="0" borderId="24" xfId="57" applyNumberFormat="1" applyFont="1" applyBorder="1"/>
    <xf numFmtId="0" fontId="17" fillId="0" borderId="22" xfId="0" applyFont="1" applyBorder="1"/>
    <xf numFmtId="0" fontId="17" fillId="0" borderId="23" xfId="0" applyFont="1" applyBorder="1"/>
    <xf numFmtId="43" fontId="17" fillId="0" borderId="23" xfId="0" applyNumberFormat="1" applyFont="1" applyBorder="1"/>
    <xf numFmtId="0" fontId="17" fillId="0" borderId="24" xfId="0" applyFont="1" applyBorder="1"/>
    <xf numFmtId="0" fontId="22" fillId="0" borderId="18" xfId="0" applyFont="1" applyBorder="1"/>
    <xf numFmtId="0" fontId="22" fillId="0" borderId="0" xfId="0" applyFont="1" applyAlignment="1">
      <alignment horizontal="right"/>
    </xf>
    <xf numFmtId="43" fontId="22" fillId="0" borderId="0" xfId="0" applyNumberFormat="1" applyFont="1"/>
    <xf numFmtId="0" fontId="17" fillId="0" borderId="25" xfId="0" applyFont="1" applyBorder="1"/>
    <xf numFmtId="0" fontId="17" fillId="0" borderId="26" xfId="0" applyFont="1" applyBorder="1"/>
    <xf numFmtId="43" fontId="17" fillId="0" borderId="26" xfId="0" applyNumberFormat="1" applyFont="1" applyBorder="1"/>
    <xf numFmtId="0" fontId="17" fillId="46" borderId="27" xfId="0" applyFont="1" applyFill="1" applyBorder="1"/>
    <xf numFmtId="0" fontId="17" fillId="46" borderId="28" xfId="0" applyFont="1" applyFill="1" applyBorder="1"/>
    <xf numFmtId="43" fontId="17" fillId="46" borderId="28" xfId="0" applyNumberFormat="1" applyFont="1" applyFill="1" applyBorder="1"/>
    <xf numFmtId="0" fontId="17" fillId="46" borderId="26" xfId="0" applyFont="1" applyFill="1" applyBorder="1"/>
    <xf numFmtId="43" fontId="17" fillId="46" borderId="26" xfId="0" applyNumberFormat="1" applyFont="1" applyFill="1" applyBorder="1"/>
    <xf numFmtId="0" fontId="17" fillId="0" borderId="18" xfId="0" applyFont="1" applyBorder="1"/>
    <xf numFmtId="0" fontId="17" fillId="0" borderId="18" xfId="0" quotePrefix="1" applyFont="1" applyBorder="1" applyAlignment="1">
      <alignment horizontal="left"/>
    </xf>
    <xf numFmtId="43" fontId="17" fillId="0" borderId="17" xfId="0" applyNumberFormat="1" applyFont="1" applyBorder="1"/>
    <xf numFmtId="0" fontId="17" fillId="0" borderId="17" xfId="0" applyFont="1" applyBorder="1"/>
    <xf numFmtId="43" fontId="22" fillId="0" borderId="18" xfId="0" applyNumberFormat="1" applyFont="1" applyBorder="1"/>
    <xf numFmtId="0" fontId="22" fillId="0" borderId="0" xfId="0" applyFont="1" applyAlignment="1">
      <alignment horizontal="left"/>
    </xf>
    <xf numFmtId="0" fontId="22" fillId="0" borderId="25" xfId="0" applyFont="1" applyBorder="1"/>
    <xf numFmtId="0" fontId="22" fillId="0" borderId="26" xfId="0" applyFont="1" applyBorder="1"/>
    <xf numFmtId="43" fontId="22" fillId="0" borderId="26" xfId="0" applyNumberFormat="1" applyFont="1" applyBorder="1"/>
    <xf numFmtId="0" fontId="22" fillId="0" borderId="29" xfId="0" applyFont="1" applyBorder="1"/>
    <xf numFmtId="0" fontId="17" fillId="0" borderId="0" xfId="0" applyFont="1" applyAlignment="1">
      <alignment horizontal="right"/>
    </xf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16" xfId="0" quotePrefix="1" applyBorder="1" applyAlignment="1">
      <alignment horizontal="center"/>
    </xf>
    <xf numFmtId="0" fontId="0" fillId="0" borderId="32" xfId="0" quotePrefix="1" applyBorder="1" applyAlignment="1">
      <alignment horizontal="center"/>
    </xf>
    <xf numFmtId="43" fontId="22" fillId="0" borderId="0" xfId="57" applyFont="1" applyAlignment="1">
      <alignment wrapText="1"/>
    </xf>
    <xf numFmtId="0" fontId="6" fillId="0" borderId="0" xfId="0" applyFont="1" applyAlignment="1">
      <alignment horizontal="left"/>
    </xf>
    <xf numFmtId="43" fontId="5" fillId="0" borderId="0" xfId="57" applyFill="1"/>
    <xf numFmtId="0" fontId="0" fillId="0" borderId="0" xfId="0" applyAlignment="1">
      <alignment vertical="top" wrapText="1"/>
    </xf>
    <xf numFmtId="164" fontId="17" fillId="0" borderId="0" xfId="57" applyNumberFormat="1" applyFont="1" applyBorder="1" applyAlignment="1">
      <alignment vertical="top"/>
    </xf>
    <xf numFmtId="164" fontId="17" fillId="0" borderId="0" xfId="57" applyNumberFormat="1" applyFont="1" applyAlignment="1">
      <alignment vertical="top"/>
    </xf>
    <xf numFmtId="0" fontId="13" fillId="0" borderId="0" xfId="0" applyFont="1" applyAlignment="1">
      <alignment horizontal="right" vertical="top" wrapText="1"/>
    </xf>
    <xf numFmtId="39" fontId="17" fillId="0" borderId="17" xfId="0" applyNumberFormat="1" applyFont="1" applyBorder="1"/>
    <xf numFmtId="39" fontId="17" fillId="0" borderId="17" xfId="57" applyNumberFormat="1" applyFont="1" applyBorder="1"/>
    <xf numFmtId="40" fontId="17" fillId="0" borderId="17" xfId="0" applyNumberFormat="1" applyFont="1" applyBorder="1"/>
    <xf numFmtId="177" fontId="24" fillId="0" borderId="18" xfId="0" quotePrefix="1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quotePrefix="1" applyFont="1" applyAlignment="1">
      <alignment horizontal="left"/>
    </xf>
    <xf numFmtId="0" fontId="24" fillId="0" borderId="0" xfId="0" applyFont="1"/>
    <xf numFmtId="17" fontId="17" fillId="0" borderId="18" xfId="0" quotePrefix="1" applyNumberFormat="1" applyFont="1" applyBorder="1" applyAlignment="1">
      <alignment horizontal="center"/>
    </xf>
    <xf numFmtId="0" fontId="29" fillId="0" borderId="0" xfId="101" applyFont="1"/>
    <xf numFmtId="0" fontId="25" fillId="0" borderId="0" xfId="101" applyFont="1"/>
    <xf numFmtId="0" fontId="35" fillId="0" borderId="0" xfId="101" applyFont="1" applyAlignment="1">
      <alignment horizontal="centerContinuous"/>
    </xf>
    <xf numFmtId="0" fontId="13" fillId="0" borderId="0" xfId="101" applyFont="1" applyAlignment="1">
      <alignment horizontal="centerContinuous"/>
    </xf>
    <xf numFmtId="39" fontId="13" fillId="0" borderId="0" xfId="101" applyNumberFormat="1" applyFont="1" applyAlignment="1">
      <alignment horizontal="centerContinuous"/>
    </xf>
    <xf numFmtId="3" fontId="13" fillId="0" borderId="0" xfId="102" applyFont="1"/>
    <xf numFmtId="0" fontId="13" fillId="0" borderId="0" xfId="101" applyFont="1"/>
    <xf numFmtId="39" fontId="25" fillId="0" borderId="0" xfId="101" applyNumberFormat="1" applyFont="1"/>
    <xf numFmtId="0" fontId="13" fillId="0" borderId="0" xfId="101" applyFont="1" applyAlignment="1">
      <alignment horizontal="center"/>
    </xf>
    <xf numFmtId="17" fontId="22" fillId="0" borderId="20" xfId="0" applyNumberFormat="1" applyFont="1" applyBorder="1" applyAlignment="1">
      <alignment horizontal="center"/>
    </xf>
    <xf numFmtId="43" fontId="5" fillId="0" borderId="16" xfId="57" applyFont="1" applyBorder="1" applyAlignment="1">
      <alignment horizontal="center"/>
    </xf>
    <xf numFmtId="43" fontId="17" fillId="0" borderId="16" xfId="57" applyFont="1" applyBorder="1"/>
    <xf numFmtId="4" fontId="13" fillId="0" borderId="0" xfId="0" applyNumberFormat="1" applyFont="1" applyAlignment="1">
      <alignment horizontal="left"/>
    </xf>
    <xf numFmtId="0" fontId="29" fillId="0" borderId="0" xfId="0" applyFont="1"/>
    <xf numFmtId="0" fontId="2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41" fontId="17" fillId="0" borderId="0" xfId="57" applyNumberFormat="1" applyFont="1" applyFill="1"/>
    <xf numFmtId="41" fontId="13" fillId="0" borderId="0" xfId="57" applyNumberFormat="1" applyFont="1" applyFill="1"/>
    <xf numFmtId="41" fontId="13" fillId="0" borderId="0" xfId="0" applyNumberFormat="1" applyFont="1"/>
    <xf numFmtId="0" fontId="17" fillId="0" borderId="33" xfId="0" applyFont="1" applyBorder="1"/>
    <xf numFmtId="0" fontId="17" fillId="0" borderId="34" xfId="0" applyFont="1" applyBorder="1"/>
    <xf numFmtId="0" fontId="22" fillId="0" borderId="34" xfId="0" applyFont="1" applyBorder="1"/>
    <xf numFmtId="0" fontId="22" fillId="0" borderId="33" xfId="0" applyFont="1" applyBorder="1"/>
    <xf numFmtId="39" fontId="22" fillId="0" borderId="35" xfId="57" applyNumberFormat="1" applyFont="1" applyBorder="1"/>
    <xf numFmtId="43" fontId="13" fillId="0" borderId="0" xfId="0" applyNumberFormat="1" applyFont="1" applyAlignment="1">
      <alignment horizontal="right"/>
    </xf>
    <xf numFmtId="0" fontId="17" fillId="0" borderId="0" xfId="0" applyFont="1" applyAlignment="1">
      <alignment vertical="top"/>
    </xf>
    <xf numFmtId="43" fontId="6" fillId="0" borderId="17" xfId="57" applyFont="1" applyBorder="1"/>
    <xf numFmtId="40" fontId="13" fillId="0" borderId="0" xfId="0" applyNumberFormat="1" applyFont="1" applyAlignment="1">
      <alignment horizontal="right"/>
    </xf>
    <xf numFmtId="40" fontId="24" fillId="0" borderId="0" xfId="0" applyNumberFormat="1" applyFont="1" applyAlignment="1">
      <alignment horizontal="right"/>
    </xf>
    <xf numFmtId="0" fontId="17" fillId="47" borderId="0" xfId="0" quotePrefix="1" applyFont="1" applyFill="1" applyAlignment="1">
      <alignment horizontal="right"/>
    </xf>
    <xf numFmtId="39" fontId="13" fillId="0" borderId="0" xfId="101" applyNumberFormat="1" applyFont="1" applyAlignment="1">
      <alignment horizontal="right"/>
    </xf>
    <xf numFmtId="0" fontId="0" fillId="0" borderId="25" xfId="0" applyBorder="1"/>
    <xf numFmtId="0" fontId="0" fillId="0" borderId="26" xfId="0" applyBorder="1"/>
    <xf numFmtId="178" fontId="6" fillId="0" borderId="0" xfId="0" applyNumberFormat="1" applyFont="1" applyAlignment="1">
      <alignment horizontal="left"/>
    </xf>
    <xf numFmtId="16" fontId="17" fillId="0" borderId="18" xfId="0" quotePrefix="1" applyNumberFormat="1" applyFont="1" applyBorder="1" applyAlignment="1">
      <alignment horizontal="center"/>
    </xf>
    <xf numFmtId="17" fontId="17" fillId="0" borderId="0" xfId="57" applyNumberFormat="1" applyFont="1" applyBorder="1" applyAlignment="1">
      <alignment wrapText="1"/>
    </xf>
    <xf numFmtId="17" fontId="17" fillId="0" borderId="23" xfId="57" applyNumberFormat="1" applyFont="1" applyBorder="1" applyAlignment="1">
      <alignment wrapText="1"/>
    </xf>
    <xf numFmtId="41" fontId="17" fillId="0" borderId="0" xfId="0" applyNumberFormat="1" applyFont="1"/>
    <xf numFmtId="0" fontId="6" fillId="0" borderId="0" xfId="0" applyFont="1" applyAlignment="1">
      <alignment horizontal="right"/>
    </xf>
    <xf numFmtId="0" fontId="0" fillId="0" borderId="0" xfId="0" applyAlignment="1">
      <alignment vertical="center"/>
    </xf>
    <xf numFmtId="44" fontId="17" fillId="0" borderId="0" xfId="0" applyNumberFormat="1" applyFont="1"/>
    <xf numFmtId="39" fontId="17" fillId="0" borderId="17" xfId="0" applyNumberFormat="1" applyFont="1" applyBorder="1" applyAlignment="1">
      <alignment vertical="justify" wrapText="1"/>
    </xf>
    <xf numFmtId="44" fontId="17" fillId="0" borderId="0" xfId="0" applyNumberFormat="1" applyFont="1" applyAlignment="1">
      <alignment vertical="top"/>
    </xf>
    <xf numFmtId="43" fontId="24" fillId="0" borderId="17" xfId="0" applyNumberFormat="1" applyFont="1" applyBorder="1"/>
    <xf numFmtId="43" fontId="22" fillId="0" borderId="35" xfId="57" applyFont="1" applyFill="1" applyBorder="1"/>
    <xf numFmtId="41" fontId="6" fillId="0" borderId="0" xfId="0" applyNumberFormat="1" applyFont="1"/>
    <xf numFmtId="41" fontId="0" fillId="0" borderId="0" xfId="0" applyNumberFormat="1"/>
    <xf numFmtId="0" fontId="5" fillId="0" borderId="0" xfId="0" applyFont="1"/>
    <xf numFmtId="0" fontId="39" fillId="0" borderId="0" xfId="0" applyFont="1"/>
    <xf numFmtId="10" fontId="6" fillId="0" borderId="0" xfId="107" applyFont="1"/>
    <xf numFmtId="8" fontId="0" fillId="0" borderId="0" xfId="0" applyNumberFormat="1"/>
    <xf numFmtId="8" fontId="6" fillId="0" borderId="0" xfId="0" applyNumberFormat="1" applyFont="1"/>
    <xf numFmtId="0" fontId="6" fillId="0" borderId="36" xfId="0" applyFont="1" applyBorder="1" applyAlignment="1">
      <alignment horizontal="center" vertical="top" wrapText="1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7" fontId="0" fillId="47" borderId="0" xfId="0" applyNumberFormat="1" applyFill="1" applyAlignment="1">
      <alignment horizontal="center"/>
    </xf>
    <xf numFmtId="43" fontId="5" fillId="47" borderId="0" xfId="57" applyFill="1" applyAlignment="1"/>
    <xf numFmtId="8" fontId="5" fillId="47" borderId="0" xfId="57" applyNumberFormat="1" applyFill="1"/>
    <xf numFmtId="43" fontId="5" fillId="47" borderId="0" xfId="57" applyFill="1"/>
    <xf numFmtId="17" fontId="0" fillId="0" borderId="0" xfId="0" applyNumberFormat="1" applyAlignment="1">
      <alignment horizontal="center"/>
    </xf>
    <xf numFmtId="43" fontId="5" fillId="0" borderId="0" xfId="57" applyAlignment="1"/>
    <xf numFmtId="8" fontId="5" fillId="0" borderId="0" xfId="57" applyNumberFormat="1"/>
    <xf numFmtId="43" fontId="6" fillId="0" borderId="4" xfId="57" applyFont="1" applyBorder="1" applyAlignment="1"/>
    <xf numFmtId="43" fontId="27" fillId="0" borderId="0" xfId="57" applyFont="1" applyBorder="1"/>
    <xf numFmtId="43" fontId="5" fillId="0" borderId="0" xfId="57" applyBorder="1"/>
    <xf numFmtId="8" fontId="0" fillId="0" borderId="20" xfId="0" applyNumberFormat="1" applyBorder="1"/>
    <xf numFmtId="43" fontId="0" fillId="0" borderId="20" xfId="0" applyNumberFormat="1" applyBorder="1"/>
    <xf numFmtId="8" fontId="17" fillId="0" borderId="0" xfId="57" applyNumberFormat="1" applyFont="1" applyBorder="1" applyAlignment="1">
      <alignment wrapText="1"/>
    </xf>
    <xf numFmtId="0" fontId="17" fillId="0" borderId="18" xfId="0" applyFont="1" applyBorder="1" applyAlignment="1">
      <alignment horizontal="left"/>
    </xf>
    <xf numFmtId="8" fontId="22" fillId="0" borderId="0" xfId="0" applyNumberFormat="1" applyFont="1"/>
    <xf numFmtId="0" fontId="17" fillId="0" borderId="0" xfId="0" quotePrefix="1" applyFont="1" applyAlignment="1">
      <alignment horizontal="right"/>
    </xf>
    <xf numFmtId="10" fontId="6" fillId="0" borderId="0" xfId="107" applyFont="1" applyAlignment="1">
      <alignment horizontal="right"/>
    </xf>
    <xf numFmtId="8" fontId="6" fillId="0" borderId="0" xfId="0" applyNumberFormat="1" applyFont="1" applyAlignment="1">
      <alignment horizontal="right"/>
    </xf>
    <xf numFmtId="8" fontId="27" fillId="0" borderId="4" xfId="57" applyNumberFormat="1" applyFont="1" applyBorder="1"/>
    <xf numFmtId="0" fontId="17" fillId="0" borderId="0" xfId="0" applyFont="1" applyAlignment="1">
      <alignment vertical="center"/>
    </xf>
    <xf numFmtId="16" fontId="17" fillId="0" borderId="39" xfId="0" quotePrefix="1" applyNumberFormat="1" applyFont="1" applyBorder="1" applyAlignment="1">
      <alignment horizontal="center" vertical="center"/>
    </xf>
    <xf numFmtId="0" fontId="17" fillId="0" borderId="16" xfId="0" applyFont="1" applyBorder="1" applyAlignment="1">
      <alignment vertical="center"/>
    </xf>
    <xf numFmtId="0" fontId="17" fillId="0" borderId="16" xfId="0" applyFont="1" applyBorder="1" applyAlignment="1">
      <alignment vertical="center" wrapText="1"/>
    </xf>
    <xf numFmtId="43" fontId="17" fillId="0" borderId="16" xfId="0" applyNumberFormat="1" applyFont="1" applyBorder="1" applyAlignment="1">
      <alignment vertical="center"/>
    </xf>
    <xf numFmtId="175" fontId="17" fillId="0" borderId="16" xfId="57" applyNumberFormat="1" applyFont="1" applyBorder="1" applyAlignment="1">
      <alignment wrapText="1"/>
    </xf>
    <xf numFmtId="175" fontId="17" fillId="0" borderId="16" xfId="57" applyNumberFormat="1" applyFont="1" applyBorder="1" applyAlignment="1">
      <alignment vertical="center" wrapText="1"/>
    </xf>
    <xf numFmtId="43" fontId="17" fillId="0" borderId="40" xfId="57" applyFont="1" applyBorder="1" applyAlignment="1">
      <alignment vertical="center"/>
    </xf>
    <xf numFmtId="175" fontId="17" fillId="0" borderId="17" xfId="57" applyNumberFormat="1" applyFont="1" applyBorder="1"/>
    <xf numFmtId="0" fontId="17" fillId="0" borderId="16" xfId="0" applyFont="1" applyBorder="1" applyAlignment="1">
      <alignment wrapText="1"/>
    </xf>
    <xf numFmtId="175" fontId="17" fillId="0" borderId="16" xfId="57" applyNumberFormat="1" applyFont="1" applyBorder="1"/>
    <xf numFmtId="43" fontId="17" fillId="0" borderId="16" xfId="57" applyFont="1" applyBorder="1" applyAlignment="1">
      <alignment vertical="center" wrapText="1"/>
    </xf>
    <xf numFmtId="43" fontId="17" fillId="0" borderId="29" xfId="0" applyNumberFormat="1" applyFont="1" applyBorder="1"/>
    <xf numFmtId="43" fontId="22" fillId="46" borderId="28" xfId="0" applyNumberFormat="1" applyFont="1" applyFill="1" applyBorder="1" applyAlignment="1">
      <alignment horizontal="center" wrapText="1"/>
    </xf>
    <xf numFmtId="43" fontId="22" fillId="46" borderId="28" xfId="0" quotePrefix="1" applyNumberFormat="1" applyFont="1" applyFill="1" applyBorder="1" applyAlignment="1">
      <alignment horizontal="center" wrapText="1"/>
    </xf>
    <xf numFmtId="43" fontId="22" fillId="46" borderId="41" xfId="0" applyNumberFormat="1" applyFont="1" applyFill="1" applyBorder="1" applyAlignment="1">
      <alignment horizontal="center" wrapText="1"/>
    </xf>
    <xf numFmtId="43" fontId="22" fillId="46" borderId="26" xfId="0" applyNumberFormat="1" applyFont="1" applyFill="1" applyBorder="1" applyAlignment="1">
      <alignment horizontal="center" wrapText="1"/>
    </xf>
    <xf numFmtId="43" fontId="22" fillId="46" borderId="29" xfId="0" applyNumberFormat="1" applyFont="1" applyFill="1" applyBorder="1" applyAlignment="1">
      <alignment horizontal="center" wrapText="1"/>
    </xf>
    <xf numFmtId="43" fontId="22" fillId="0" borderId="0" xfId="0" applyNumberFormat="1" applyFont="1" applyAlignment="1">
      <alignment horizontal="center" wrapText="1"/>
    </xf>
    <xf numFmtId="43" fontId="22" fillId="0" borderId="17" xfId="0" applyNumberFormat="1" applyFont="1" applyBorder="1" applyAlignment="1">
      <alignment horizontal="center" wrapText="1"/>
    </xf>
    <xf numFmtId="43" fontId="22" fillId="0" borderId="17" xfId="0" applyNumberFormat="1" applyFont="1" applyBorder="1"/>
    <xf numFmtId="8" fontId="17" fillId="0" borderId="0" xfId="57" applyNumberFormat="1" applyFont="1" applyBorder="1"/>
    <xf numFmtId="43" fontId="17" fillId="0" borderId="0" xfId="0" applyNumberFormat="1" applyFont="1" applyAlignment="1">
      <alignment vertical="center"/>
    </xf>
    <xf numFmtId="41" fontId="26" fillId="0" borderId="0" xfId="57" applyNumberFormat="1" applyFont="1" applyFill="1"/>
    <xf numFmtId="41" fontId="24" fillId="0" borderId="0" xfId="0" applyNumberFormat="1" applyFont="1"/>
    <xf numFmtId="10" fontId="5" fillId="0" borderId="0" xfId="107" applyAlignment="1">
      <alignment horizontal="center"/>
    </xf>
    <xf numFmtId="41" fontId="30" fillId="0" borderId="0" xfId="0" applyNumberFormat="1" applyFont="1"/>
    <xf numFmtId="0" fontId="0" fillId="0" borderId="21" xfId="0" applyBorder="1" applyAlignment="1">
      <alignment horizontal="left" vertical="top" wrapText="1"/>
    </xf>
    <xf numFmtId="180" fontId="30" fillId="0" borderId="0" xfId="0" applyNumberFormat="1" applyFont="1" applyAlignment="1">
      <alignment horizontal="right"/>
    </xf>
    <xf numFmtId="41" fontId="27" fillId="0" borderId="0" xfId="0" applyNumberFormat="1" applyFont="1"/>
    <xf numFmtId="0" fontId="42" fillId="0" borderId="0" xfId="0" applyFont="1"/>
    <xf numFmtId="0" fontId="15" fillId="0" borderId="0" xfId="0" applyFont="1"/>
    <xf numFmtId="10" fontId="15" fillId="0" borderId="0" xfId="107" applyFont="1" applyAlignment="1">
      <alignment horizontal="center"/>
    </xf>
    <xf numFmtId="180" fontId="15" fillId="0" borderId="0" xfId="0" applyNumberFormat="1" applyFont="1" applyAlignment="1">
      <alignment horizontal="right"/>
    </xf>
    <xf numFmtId="41" fontId="15" fillId="0" borderId="0" xfId="0" applyNumberFormat="1" applyFont="1"/>
    <xf numFmtId="41" fontId="43" fillId="0" borderId="0" xfId="0" applyNumberFormat="1" applyFont="1"/>
    <xf numFmtId="41" fontId="42" fillId="0" borderId="0" xfId="0" applyNumberFormat="1" applyFont="1"/>
    <xf numFmtId="41" fontId="44" fillId="0" borderId="0" xfId="0" applyNumberFormat="1" applyFont="1"/>
    <xf numFmtId="41" fontId="22" fillId="0" borderId="0" xfId="0" applyNumberFormat="1" applyFont="1"/>
    <xf numFmtId="0" fontId="6" fillId="48" borderId="27" xfId="0" applyFont="1" applyFill="1" applyBorder="1" applyAlignment="1">
      <alignment horizontal="center"/>
    </xf>
    <xf numFmtId="0" fontId="6" fillId="48" borderId="42" xfId="0" applyFont="1" applyFill="1" applyBorder="1" applyAlignment="1">
      <alignment horizontal="center"/>
    </xf>
    <xf numFmtId="10" fontId="6" fillId="48" borderId="42" xfId="107" applyFont="1" applyFill="1" applyBorder="1" applyAlignment="1">
      <alignment horizontal="center"/>
    </xf>
    <xf numFmtId="10" fontId="6" fillId="48" borderId="43" xfId="107" applyFont="1" applyFill="1" applyBorder="1" applyAlignment="1">
      <alignment horizontal="center"/>
    </xf>
    <xf numFmtId="180" fontId="22" fillId="48" borderId="44" xfId="0" applyNumberFormat="1" applyFont="1" applyFill="1" applyBorder="1" applyAlignment="1">
      <alignment horizontal="center"/>
    </xf>
    <xf numFmtId="41" fontId="22" fillId="48" borderId="42" xfId="0" applyNumberFormat="1" applyFont="1" applyFill="1" applyBorder="1" applyAlignment="1">
      <alignment horizontal="center"/>
    </xf>
    <xf numFmtId="41" fontId="27" fillId="48" borderId="43" xfId="0" applyNumberFormat="1" applyFont="1" applyFill="1" applyBorder="1" applyAlignment="1">
      <alignment horizontal="center"/>
    </xf>
    <xf numFmtId="41" fontId="27" fillId="48" borderId="46" xfId="0" quotePrefix="1" applyNumberFormat="1" applyFont="1" applyFill="1" applyBorder="1" applyAlignment="1">
      <alignment horizontal="center"/>
    </xf>
    <xf numFmtId="0" fontId="6" fillId="48" borderId="25" xfId="0" applyFont="1" applyFill="1" applyBorder="1" applyAlignment="1">
      <alignment horizontal="center"/>
    </xf>
    <xf numFmtId="0" fontId="6" fillId="48" borderId="47" xfId="0" applyFont="1" applyFill="1" applyBorder="1" applyAlignment="1">
      <alignment horizontal="center"/>
    </xf>
    <xf numFmtId="10" fontId="6" fillId="48" borderId="47" xfId="107" applyFont="1" applyFill="1" applyBorder="1" applyAlignment="1">
      <alignment horizontal="center"/>
    </xf>
    <xf numFmtId="41" fontId="22" fillId="48" borderId="48" xfId="57" applyNumberFormat="1" applyFont="1" applyFill="1" applyBorder="1" applyAlignment="1">
      <alignment horizontal="center"/>
    </xf>
    <xf numFmtId="41" fontId="22" fillId="48" borderId="26" xfId="57" applyNumberFormat="1" applyFont="1" applyFill="1" applyBorder="1" applyAlignment="1">
      <alignment horizontal="center"/>
    </xf>
    <xf numFmtId="41" fontId="22" fillId="48" borderId="47" xfId="57" applyNumberFormat="1" applyFont="1" applyFill="1" applyBorder="1" applyAlignment="1">
      <alignment horizontal="center"/>
    </xf>
    <xf numFmtId="41" fontId="27" fillId="48" borderId="49" xfId="57" applyNumberFormat="1" applyFont="1" applyFill="1" applyBorder="1" applyAlignment="1">
      <alignment horizontal="center"/>
    </xf>
    <xf numFmtId="13" fontId="27" fillId="48" borderId="49" xfId="57" applyNumberFormat="1" applyFont="1" applyFill="1" applyBorder="1" applyAlignment="1">
      <alignment horizontal="center"/>
    </xf>
    <xf numFmtId="41" fontId="27" fillId="48" borderId="50" xfId="57" quotePrefix="1" applyNumberFormat="1" applyFont="1" applyFill="1" applyBorder="1" applyAlignment="1">
      <alignment horizontal="center"/>
    </xf>
    <xf numFmtId="10" fontId="13" fillId="0" borderId="0" xfId="107" applyFont="1" applyAlignment="1">
      <alignment horizontal="center"/>
    </xf>
    <xf numFmtId="180" fontId="13" fillId="0" borderId="0" xfId="57" applyNumberFormat="1" applyFont="1" applyAlignment="1">
      <alignment horizontal="right"/>
    </xf>
    <xf numFmtId="41" fontId="13" fillId="0" borderId="0" xfId="57" applyNumberFormat="1" applyFont="1"/>
    <xf numFmtId="41" fontId="17" fillId="0" borderId="0" xfId="57" applyNumberFormat="1" applyFont="1"/>
    <xf numFmtId="41" fontId="24" fillId="0" borderId="0" xfId="57" applyNumberFormat="1" applyFont="1"/>
    <xf numFmtId="41" fontId="22" fillId="0" borderId="0" xfId="57" applyNumberFormat="1" applyFont="1"/>
    <xf numFmtId="41" fontId="27" fillId="0" borderId="0" xfId="57" applyNumberFormat="1" applyFont="1"/>
    <xf numFmtId="37" fontId="6" fillId="0" borderId="0" xfId="0" applyNumberFormat="1" applyFont="1"/>
    <xf numFmtId="10" fontId="22" fillId="0" borderId="0" xfId="107" applyFont="1" applyFill="1" applyAlignment="1">
      <alignment horizontal="center"/>
    </xf>
    <xf numFmtId="0" fontId="38" fillId="0" borderId="0" xfId="57" applyNumberFormat="1" applyFont="1" applyFill="1" applyAlignment="1">
      <alignment horizontal="right"/>
    </xf>
    <xf numFmtId="180" fontId="17" fillId="0" borderId="0" xfId="57" applyNumberFormat="1" applyFont="1" applyFill="1" applyAlignment="1">
      <alignment horizontal="right"/>
    </xf>
    <xf numFmtId="164" fontId="13" fillId="0" borderId="0" xfId="57" applyNumberFormat="1" applyFont="1" applyAlignment="1">
      <alignment horizontal="right"/>
    </xf>
    <xf numFmtId="41" fontId="0" fillId="0" borderId="0" xfId="0" applyNumberFormat="1" applyAlignment="1">
      <alignment horizontal="right"/>
    </xf>
    <xf numFmtId="41" fontId="17" fillId="0" borderId="0" xfId="57" applyNumberFormat="1" applyFont="1" applyFill="1" applyAlignment="1">
      <alignment horizontal="center"/>
    </xf>
    <xf numFmtId="41" fontId="24" fillId="0" borderId="0" xfId="57" applyNumberFormat="1" applyFont="1" applyFill="1"/>
    <xf numFmtId="41" fontId="6" fillId="0" borderId="0" xfId="57" applyNumberFormat="1" applyFont="1" applyFill="1"/>
    <xf numFmtId="41" fontId="45" fillId="0" borderId="0" xfId="57" applyNumberFormat="1" applyFont="1" applyFill="1"/>
    <xf numFmtId="10" fontId="17" fillId="0" borderId="0" xfId="107" applyFont="1" applyFill="1" applyAlignment="1">
      <alignment horizontal="center"/>
    </xf>
    <xf numFmtId="176" fontId="22" fillId="0" borderId="0" xfId="107" applyNumberFormat="1" applyFont="1" applyFill="1" applyAlignment="1">
      <alignment horizontal="center"/>
    </xf>
    <xf numFmtId="41" fontId="17" fillId="0" borderId="0" xfId="57" applyNumberFormat="1" applyFont="1" applyFill="1" applyBorder="1" applyAlignment="1">
      <alignment horizontal="center"/>
    </xf>
    <xf numFmtId="10" fontId="6" fillId="0" borderId="0" xfId="107" applyFont="1" applyFill="1" applyAlignment="1">
      <alignment horizontal="center"/>
    </xf>
    <xf numFmtId="180" fontId="6" fillId="0" borderId="0" xfId="57" applyNumberFormat="1" applyFont="1" applyFill="1" applyAlignment="1">
      <alignment horizontal="right"/>
    </xf>
    <xf numFmtId="41" fontId="6" fillId="0" borderId="4" xfId="57" applyNumberFormat="1" applyFont="1" applyFill="1" applyBorder="1" applyAlignment="1">
      <alignment horizontal="right"/>
    </xf>
    <xf numFmtId="41" fontId="6" fillId="0" borderId="4" xfId="57" applyNumberFormat="1" applyFont="1" applyFill="1" applyBorder="1" applyAlignment="1">
      <alignment horizontal="center"/>
    </xf>
    <xf numFmtId="41" fontId="6" fillId="0" borderId="4" xfId="57" applyNumberFormat="1" applyFont="1" applyFill="1" applyBorder="1"/>
    <xf numFmtId="41" fontId="41" fillId="0" borderId="0" xfId="57" applyNumberFormat="1" applyFont="1" applyFill="1"/>
    <xf numFmtId="41" fontId="27" fillId="0" borderId="0" xfId="57" applyNumberFormat="1" applyFont="1" applyFill="1"/>
    <xf numFmtId="41" fontId="22" fillId="0" borderId="0" xfId="57" applyNumberFormat="1" applyFont="1" applyFill="1" applyAlignment="1">
      <alignment horizontal="center"/>
    </xf>
    <xf numFmtId="41" fontId="0" fillId="0" borderId="0" xfId="0" applyNumberFormat="1" applyAlignment="1">
      <alignment horizontal="center"/>
    </xf>
    <xf numFmtId="41" fontId="13" fillId="0" borderId="0" xfId="57" applyNumberFormat="1" applyFont="1" applyFill="1" applyAlignment="1">
      <alignment horizontal="center"/>
    </xf>
    <xf numFmtId="164" fontId="13" fillId="0" borderId="0" xfId="57" applyNumberFormat="1" applyFont="1" applyAlignment="1">
      <alignment horizontal="right" indent="1"/>
    </xf>
    <xf numFmtId="41" fontId="22" fillId="48" borderId="36" xfId="57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80" fontId="13" fillId="0" borderId="0" xfId="0" applyNumberFormat="1" applyFont="1" applyAlignment="1">
      <alignment horizontal="right"/>
    </xf>
    <xf numFmtId="41" fontId="17" fillId="0" borderId="0" xfId="0" applyNumberFormat="1" applyFont="1" applyAlignment="1">
      <alignment horizontal="center"/>
    </xf>
    <xf numFmtId="41" fontId="22" fillId="48" borderId="51" xfId="57" applyNumberFormat="1" applyFont="1" applyFill="1" applyBorder="1" applyAlignment="1">
      <alignment horizontal="center"/>
    </xf>
    <xf numFmtId="41" fontId="22" fillId="48" borderId="50" xfId="57" applyNumberFormat="1" applyFont="1" applyFill="1" applyBorder="1" applyAlignment="1">
      <alignment horizontal="center"/>
    </xf>
    <xf numFmtId="41" fontId="22" fillId="48" borderId="52" xfId="57" applyNumberFormat="1" applyFont="1" applyFill="1" applyBorder="1" applyAlignment="1">
      <alignment horizontal="center"/>
    </xf>
    <xf numFmtId="41" fontId="22" fillId="48" borderId="51" xfId="0" applyNumberFormat="1" applyFont="1" applyFill="1" applyBorder="1" applyAlignment="1">
      <alignment horizontal="center"/>
    </xf>
    <xf numFmtId="41" fontId="22" fillId="48" borderId="53" xfId="0" applyNumberFormat="1" applyFont="1" applyFill="1" applyBorder="1" applyAlignment="1">
      <alignment horizontal="center"/>
    </xf>
    <xf numFmtId="41" fontId="13" fillId="48" borderId="54" xfId="0" applyNumberFormat="1" applyFont="1" applyFill="1" applyBorder="1"/>
    <xf numFmtId="41" fontId="13" fillId="48" borderId="4" xfId="0" applyNumberFormat="1" applyFont="1" applyFill="1" applyBorder="1"/>
    <xf numFmtId="41" fontId="13" fillId="48" borderId="55" xfId="0" applyNumberFormat="1" applyFont="1" applyFill="1" applyBorder="1"/>
    <xf numFmtId="0" fontId="6" fillId="0" borderId="0" xfId="0" quotePrefix="1" applyFont="1" applyAlignment="1">
      <alignment horizontal="right" vertical="center"/>
    </xf>
    <xf numFmtId="41" fontId="13" fillId="0" borderId="0" xfId="0" applyNumberFormat="1" applyFont="1" applyAlignment="1">
      <alignment horizontal="right"/>
    </xf>
    <xf numFmtId="16" fontId="17" fillId="0" borderId="18" xfId="0" quotePrefix="1" applyNumberFormat="1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175" fontId="17" fillId="0" borderId="0" xfId="57" applyNumberFormat="1" applyFont="1" applyBorder="1" applyAlignment="1">
      <alignment vertical="center" wrapText="1"/>
    </xf>
    <xf numFmtId="43" fontId="17" fillId="0" borderId="17" xfId="57" applyFont="1" applyBorder="1" applyAlignment="1">
      <alignment vertical="center"/>
    </xf>
    <xf numFmtId="17" fontId="13" fillId="0" borderId="0" xfId="57" applyNumberFormat="1" applyFont="1" applyBorder="1" applyAlignment="1">
      <alignment horizontal="center" vertical="center" wrapText="1"/>
    </xf>
    <xf numFmtId="16" fontId="17" fillId="0" borderId="56" xfId="0" quotePrefix="1" applyNumberFormat="1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4" xfId="0" applyFont="1" applyBorder="1" applyAlignment="1">
      <alignment vertical="center" wrapText="1"/>
    </xf>
    <xf numFmtId="43" fontId="17" fillId="0" borderId="4" xfId="0" applyNumberFormat="1" applyFont="1" applyBorder="1" applyAlignment="1">
      <alignment vertical="center"/>
    </xf>
    <xf numFmtId="17" fontId="13" fillId="0" borderId="4" xfId="57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175" fontId="17" fillId="0" borderId="4" xfId="57" applyNumberFormat="1" applyFont="1" applyBorder="1" applyAlignment="1">
      <alignment vertical="center" wrapText="1"/>
    </xf>
    <xf numFmtId="8" fontId="17" fillId="0" borderId="4" xfId="0" applyNumberFormat="1" applyFont="1" applyBorder="1" applyAlignment="1">
      <alignment vertical="center"/>
    </xf>
    <xf numFmtId="43" fontId="17" fillId="0" borderId="57" xfId="57" applyFont="1" applyBorder="1" applyAlignment="1">
      <alignment vertical="center"/>
    </xf>
    <xf numFmtId="41" fontId="6" fillId="0" borderId="0" xfId="57" applyNumberFormat="1" applyFont="1" applyFill="1" applyBorder="1" applyAlignment="1">
      <alignment horizontal="center"/>
    </xf>
    <xf numFmtId="0" fontId="6" fillId="0" borderId="58" xfId="0" applyFont="1" applyBorder="1" applyAlignment="1">
      <alignment horizontal="center"/>
    </xf>
    <xf numFmtId="8" fontId="27" fillId="0" borderId="0" xfId="57" applyNumberFormat="1" applyFont="1" applyFill="1" applyBorder="1"/>
    <xf numFmtId="0" fontId="0" fillId="0" borderId="18" xfId="0" applyBorder="1" applyAlignment="1">
      <alignment horizontal="center"/>
    </xf>
    <xf numFmtId="0" fontId="6" fillId="48" borderId="25" xfId="0" applyFont="1" applyFill="1" applyBorder="1" applyAlignment="1">
      <alignment horizontal="center" wrapText="1"/>
    </xf>
    <xf numFmtId="39" fontId="17" fillId="48" borderId="23" xfId="0" applyNumberFormat="1" applyFont="1" applyFill="1" applyBorder="1" applyAlignment="1">
      <alignment horizontal="center"/>
    </xf>
    <xf numFmtId="0" fontId="17" fillId="48" borderId="59" xfId="0" applyFont="1" applyFill="1" applyBorder="1"/>
    <xf numFmtId="0" fontId="17" fillId="48" borderId="32" xfId="0" applyFont="1" applyFill="1" applyBorder="1" applyAlignment="1">
      <alignment horizontal="center"/>
    </xf>
    <xf numFmtId="0" fontId="17" fillId="48" borderId="27" xfId="0" applyFont="1" applyFill="1" applyBorder="1"/>
    <xf numFmtId="0" fontId="17" fillId="48" borderId="28" xfId="0" applyFont="1" applyFill="1" applyBorder="1"/>
    <xf numFmtId="40" fontId="17" fillId="48" borderId="41" xfId="0" applyNumberFormat="1" applyFont="1" applyFill="1" applyBorder="1"/>
    <xf numFmtId="0" fontId="22" fillId="48" borderId="25" xfId="0" applyFont="1" applyFill="1" applyBorder="1" applyAlignment="1">
      <alignment horizontal="center" wrapText="1"/>
    </xf>
    <xf numFmtId="0" fontId="22" fillId="48" borderId="26" xfId="0" applyFont="1" applyFill="1" applyBorder="1" applyAlignment="1">
      <alignment horizontal="center" wrapText="1"/>
    </xf>
    <xf numFmtId="40" fontId="22" fillId="48" borderId="29" xfId="0" applyNumberFormat="1" applyFont="1" applyFill="1" applyBorder="1" applyAlignment="1">
      <alignment horizontal="center" wrapText="1"/>
    </xf>
    <xf numFmtId="0" fontId="13" fillId="48" borderId="27" xfId="101" applyFont="1" applyFill="1" applyBorder="1"/>
    <xf numFmtId="0" fontId="13" fillId="48" borderId="28" xfId="101" applyFont="1" applyFill="1" applyBorder="1"/>
    <xf numFmtId="0" fontId="6" fillId="48" borderId="28" xfId="101" quotePrefix="1" applyFont="1" applyFill="1" applyBorder="1" applyAlignment="1">
      <alignment horizontal="centerContinuous"/>
    </xf>
    <xf numFmtId="0" fontId="13" fillId="48" borderId="28" xfId="101" applyFont="1" applyFill="1" applyBorder="1" applyAlignment="1">
      <alignment horizontal="centerContinuous"/>
    </xf>
    <xf numFmtId="39" fontId="13" fillId="48" borderId="28" xfId="101" applyNumberFormat="1" applyFont="1" applyFill="1" applyBorder="1" applyAlignment="1">
      <alignment horizontal="centerContinuous"/>
    </xf>
    <xf numFmtId="3" fontId="13" fillId="48" borderId="28" xfId="102" applyFont="1" applyFill="1" applyBorder="1"/>
    <xf numFmtId="0" fontId="13" fillId="48" borderId="41" xfId="101" applyFont="1" applyFill="1" applyBorder="1"/>
    <xf numFmtId="0" fontId="6" fillId="48" borderId="25" xfId="101" applyFont="1" applyFill="1" applyBorder="1" applyAlignment="1">
      <alignment horizontal="center"/>
    </xf>
    <xf numFmtId="0" fontId="13" fillId="48" borderId="26" xfId="101" applyFont="1" applyFill="1" applyBorder="1"/>
    <xf numFmtId="0" fontId="6" fillId="48" borderId="26" xfId="101" applyFont="1" applyFill="1" applyBorder="1" applyAlignment="1">
      <alignment horizontal="center"/>
    </xf>
    <xf numFmtId="39" fontId="6" fillId="48" borderId="26" xfId="101" applyNumberFormat="1" applyFont="1" applyFill="1" applyBorder="1" applyAlignment="1">
      <alignment horizontal="center"/>
    </xf>
    <xf numFmtId="3" fontId="13" fillId="48" borderId="26" xfId="102" applyFont="1" applyFill="1" applyBorder="1"/>
    <xf numFmtId="39" fontId="6" fillId="48" borderId="29" xfId="101" applyNumberFormat="1" applyFont="1" applyFill="1" applyBorder="1" applyAlignment="1">
      <alignment horizontal="center"/>
    </xf>
    <xf numFmtId="0" fontId="25" fillId="0" borderId="33" xfId="101" applyFont="1" applyBorder="1"/>
    <xf numFmtId="0" fontId="25" fillId="0" borderId="34" xfId="101" applyFont="1" applyBorder="1"/>
    <xf numFmtId="0" fontId="6" fillId="0" borderId="34" xfId="101" applyFont="1" applyBorder="1" applyAlignment="1">
      <alignment horizontal="right"/>
    </xf>
    <xf numFmtId="0" fontId="13" fillId="0" borderId="34" xfId="101" applyFont="1" applyBorder="1"/>
    <xf numFmtId="39" fontId="6" fillId="0" borderId="34" xfId="101" applyNumberFormat="1" applyFont="1" applyBorder="1"/>
    <xf numFmtId="3" fontId="13" fillId="0" borderId="34" xfId="102" applyFont="1" applyBorder="1"/>
    <xf numFmtId="0" fontId="13" fillId="0" borderId="35" xfId="101" applyFont="1" applyBorder="1"/>
    <xf numFmtId="0" fontId="22" fillId="48" borderId="27" xfId="0" applyFont="1" applyFill="1" applyBorder="1"/>
    <xf numFmtId="0" fontId="22" fillId="48" borderId="28" xfId="0" applyFont="1" applyFill="1" applyBorder="1"/>
    <xf numFmtId="0" fontId="22" fillId="48" borderId="28" xfId="0" quotePrefix="1" applyFont="1" applyFill="1" applyBorder="1" applyAlignment="1">
      <alignment horizontal="center"/>
    </xf>
    <xf numFmtId="0" fontId="22" fillId="48" borderId="41" xfId="0" applyFont="1" applyFill="1" applyBorder="1"/>
    <xf numFmtId="0" fontId="22" fillId="48" borderId="18" xfId="0" applyFont="1" applyFill="1" applyBorder="1"/>
    <xf numFmtId="0" fontId="22" fillId="48" borderId="0" xfId="0" applyFont="1" applyFill="1"/>
    <xf numFmtId="0" fontId="22" fillId="48" borderId="0" xfId="0" applyFont="1" applyFill="1" applyAlignment="1">
      <alignment horizontal="center"/>
    </xf>
    <xf numFmtId="0" fontId="22" fillId="48" borderId="17" xfId="0" quotePrefix="1" applyFont="1" applyFill="1" applyBorder="1" applyAlignment="1">
      <alignment horizontal="center"/>
    </xf>
    <xf numFmtId="0" fontId="22" fillId="48" borderId="0" xfId="0" quotePrefix="1" applyFont="1" applyFill="1" applyAlignment="1">
      <alignment horizontal="center"/>
    </xf>
    <xf numFmtId="0" fontId="22" fillId="48" borderId="17" xfId="0" applyFont="1" applyFill="1" applyBorder="1" applyAlignment="1">
      <alignment horizontal="center"/>
    </xf>
    <xf numFmtId="0" fontId="22" fillId="48" borderId="18" xfId="0" quotePrefix="1" applyFont="1" applyFill="1" applyBorder="1" applyAlignment="1">
      <alignment horizontal="center"/>
    </xf>
    <xf numFmtId="0" fontId="22" fillId="48" borderId="25" xfId="0" quotePrefix="1" applyFont="1" applyFill="1" applyBorder="1" applyAlignment="1">
      <alignment horizontal="center"/>
    </xf>
    <xf numFmtId="0" fontId="22" fillId="48" borderId="26" xfId="0" applyFont="1" applyFill="1" applyBorder="1"/>
    <xf numFmtId="0" fontId="22" fillId="48" borderId="26" xfId="0" quotePrefix="1" applyFont="1" applyFill="1" applyBorder="1" applyAlignment="1">
      <alignment horizontal="center"/>
    </xf>
    <xf numFmtId="0" fontId="22" fillId="48" borderId="26" xfId="0" applyFont="1" applyFill="1" applyBorder="1" applyAlignment="1">
      <alignment horizontal="center"/>
    </xf>
    <xf numFmtId="0" fontId="22" fillId="48" borderId="29" xfId="0" applyFont="1" applyFill="1" applyBorder="1" applyAlignment="1">
      <alignment horizontal="center"/>
    </xf>
    <xf numFmtId="0" fontId="17" fillId="48" borderId="23" xfId="0" applyFont="1" applyFill="1" applyBorder="1" applyAlignment="1">
      <alignment horizontal="center"/>
    </xf>
    <xf numFmtId="0" fontId="17" fillId="48" borderId="23" xfId="0" applyFont="1" applyFill="1" applyBorder="1"/>
    <xf numFmtId="0" fontId="17" fillId="48" borderId="16" xfId="0" applyFont="1" applyFill="1" applyBorder="1" applyAlignment="1">
      <alignment horizontal="center"/>
    </xf>
    <xf numFmtId="0" fontId="22" fillId="48" borderId="29" xfId="0" applyFont="1" applyFill="1" applyBorder="1" applyAlignment="1">
      <alignment horizontal="center" wrapText="1"/>
    </xf>
    <xf numFmtId="0" fontId="6" fillId="48" borderId="28" xfId="0" applyFont="1" applyFill="1" applyBorder="1" applyAlignment="1">
      <alignment horizontal="center"/>
    </xf>
    <xf numFmtId="0" fontId="0" fillId="48" borderId="60" xfId="0" applyFill="1" applyBorder="1"/>
    <xf numFmtId="2" fontId="17" fillId="0" borderId="0" xfId="0" applyNumberFormat="1" applyFont="1"/>
    <xf numFmtId="43" fontId="22" fillId="0" borderId="0" xfId="57" applyFont="1" applyBorder="1" applyAlignment="1">
      <alignment wrapText="1"/>
    </xf>
    <xf numFmtId="43" fontId="22" fillId="0" borderId="0" xfId="0" applyNumberFormat="1" applyFont="1" applyAlignment="1">
      <alignment vertical="center"/>
    </xf>
    <xf numFmtId="43" fontId="24" fillId="0" borderId="0" xfId="57" applyFont="1"/>
    <xf numFmtId="17" fontId="0" fillId="0" borderId="26" xfId="0" applyNumberFormat="1" applyBorder="1" applyAlignment="1">
      <alignment horizontal="center"/>
    </xf>
    <xf numFmtId="43" fontId="5" fillId="0" borderId="26" xfId="57" applyBorder="1" applyAlignment="1"/>
    <xf numFmtId="8" fontId="5" fillId="0" borderId="26" xfId="57" applyNumberFormat="1" applyBorder="1"/>
    <xf numFmtId="43" fontId="5" fillId="0" borderId="26" xfId="57" applyFill="1" applyBorder="1"/>
    <xf numFmtId="43" fontId="5" fillId="0" borderId="26" xfId="57" applyBorder="1"/>
    <xf numFmtId="43" fontId="5" fillId="0" borderId="0" xfId="57" applyFill="1" applyAlignment="1"/>
    <xf numFmtId="8" fontId="5" fillId="0" borderId="0" xfId="57" applyNumberFormat="1" applyFill="1"/>
    <xf numFmtId="0" fontId="0" fillId="47" borderId="0" xfId="0" applyFill="1"/>
    <xf numFmtId="0" fontId="22" fillId="0" borderId="0" xfId="0" applyFont="1" applyAlignment="1">
      <alignment wrapText="1"/>
    </xf>
    <xf numFmtId="0" fontId="22" fillId="0" borderId="4" xfId="0" applyFont="1" applyBorder="1" applyAlignment="1">
      <alignment vertical="center" wrapText="1"/>
    </xf>
    <xf numFmtId="0" fontId="17" fillId="0" borderId="0" xfId="0" quotePrefix="1" applyFont="1" applyAlignment="1">
      <alignment horizontal="left" vertical="center"/>
    </xf>
    <xf numFmtId="0" fontId="22" fillId="0" borderId="0" xfId="0" applyFont="1" applyAlignment="1">
      <alignment vertical="center" wrapText="1"/>
    </xf>
    <xf numFmtId="43" fontId="17" fillId="0" borderId="0" xfId="57" applyFont="1" applyBorder="1" applyAlignment="1">
      <alignment vertical="center" wrapText="1"/>
    </xf>
    <xf numFmtId="8" fontId="17" fillId="0" borderId="0" xfId="57" applyNumberFormat="1" applyFont="1" applyBorder="1" applyAlignment="1">
      <alignment vertical="center" wrapText="1"/>
    </xf>
    <xf numFmtId="175" fontId="17" fillId="0" borderId="0" xfId="57" applyNumberFormat="1" applyFont="1" applyBorder="1" applyAlignment="1">
      <alignment vertical="center"/>
    </xf>
    <xf numFmtId="43" fontId="17" fillId="0" borderId="0" xfId="57" applyFont="1" applyBorder="1" applyAlignment="1">
      <alignment vertical="center"/>
    </xf>
    <xf numFmtId="0" fontId="6" fillId="0" borderId="0" xfId="0" applyFont="1" applyAlignment="1">
      <alignment vertical="center"/>
    </xf>
    <xf numFmtId="41" fontId="22" fillId="0" borderId="0" xfId="57" applyNumberFormat="1" applyFont="1" applyFill="1" applyBorder="1" applyAlignment="1">
      <alignment horizontal="center" vertical="center"/>
    </xf>
    <xf numFmtId="182" fontId="13" fillId="0" borderId="0" xfId="0" applyNumberFormat="1" applyFont="1"/>
    <xf numFmtId="14" fontId="13" fillId="0" borderId="18" xfId="101" quotePrefix="1" applyNumberFormat="1" applyFont="1" applyBorder="1" applyAlignment="1">
      <alignment horizontal="center"/>
    </xf>
    <xf numFmtId="43" fontId="13" fillId="0" borderId="0" xfId="57" applyFont="1" applyFill="1"/>
    <xf numFmtId="0" fontId="17" fillId="0" borderId="0" xfId="0" applyFont="1" applyAlignment="1">
      <alignment horizontal="left" wrapText="1"/>
    </xf>
    <xf numFmtId="43" fontId="17" fillId="0" borderId="0" xfId="57" applyFont="1" applyFill="1" applyBorder="1" applyAlignment="1">
      <alignment horizontal="left"/>
    </xf>
    <xf numFmtId="43" fontId="17" fillId="0" borderId="0" xfId="57" applyFont="1" applyBorder="1" applyAlignment="1">
      <alignment horizontal="left"/>
    </xf>
    <xf numFmtId="17" fontId="13" fillId="0" borderId="0" xfId="57" applyNumberFormat="1" applyFont="1" applyBorder="1" applyAlignment="1">
      <alignment horizontal="center" wrapText="1"/>
    </xf>
    <xf numFmtId="14" fontId="17" fillId="0" borderId="16" xfId="0" applyNumberFormat="1" applyFont="1" applyBorder="1" applyAlignment="1">
      <alignment vertical="center"/>
    </xf>
    <xf numFmtId="14" fontId="17" fillId="0" borderId="0" xfId="0" applyNumberFormat="1" applyFont="1" applyAlignment="1">
      <alignment vertical="center"/>
    </xf>
    <xf numFmtId="17" fontId="13" fillId="0" borderId="16" xfId="57" applyNumberFormat="1" applyFont="1" applyBorder="1" applyAlignment="1">
      <alignment horizontal="center" vertical="center" wrapText="1"/>
    </xf>
    <xf numFmtId="43" fontId="22" fillId="0" borderId="20" xfId="57" applyFont="1" applyBorder="1" applyAlignment="1">
      <alignment wrapText="1"/>
    </xf>
    <xf numFmtId="8" fontId="6" fillId="0" borderId="4" xfId="57" applyNumberFormat="1" applyFont="1" applyBorder="1" applyAlignment="1"/>
    <xf numFmtId="0" fontId="0" fillId="48" borderId="0" xfId="0" applyFill="1"/>
    <xf numFmtId="17" fontId="0" fillId="48" borderId="0" xfId="0" applyNumberFormat="1" applyFill="1" applyAlignment="1">
      <alignment horizontal="center"/>
    </xf>
    <xf numFmtId="43" fontId="5" fillId="48" borderId="0" xfId="57" applyFill="1" applyAlignment="1"/>
    <xf numFmtId="8" fontId="5" fillId="48" borderId="0" xfId="57" applyNumberFormat="1" applyFill="1"/>
    <xf numFmtId="43" fontId="5" fillId="48" borderId="0" xfId="57" applyFill="1"/>
    <xf numFmtId="43" fontId="22" fillId="0" borderId="20" xfId="0" applyNumberFormat="1" applyFont="1" applyBorder="1" applyAlignment="1">
      <alignment vertical="center"/>
    </xf>
    <xf numFmtId="0" fontId="0" fillId="47" borderId="26" xfId="0" applyFill="1" applyBorder="1"/>
    <xf numFmtId="17" fontId="0" fillId="47" borderId="26" xfId="0" applyNumberFormat="1" applyFill="1" applyBorder="1" applyAlignment="1">
      <alignment horizontal="center"/>
    </xf>
    <xf numFmtId="43" fontId="5" fillId="47" borderId="26" xfId="57" applyFill="1" applyBorder="1" applyAlignment="1"/>
    <xf numFmtId="8" fontId="5" fillId="47" borderId="26" xfId="57" applyNumberFormat="1" applyFill="1" applyBorder="1"/>
    <xf numFmtId="43" fontId="5" fillId="47" borderId="26" xfId="57" applyFill="1" applyBorder="1"/>
    <xf numFmtId="0" fontId="0" fillId="48" borderId="26" xfId="0" applyFill="1" applyBorder="1"/>
    <xf numFmtId="17" fontId="0" fillId="48" borderId="26" xfId="0" applyNumberFormat="1" applyFill="1" applyBorder="1" applyAlignment="1">
      <alignment horizontal="center"/>
    </xf>
    <xf numFmtId="43" fontId="5" fillId="48" borderId="26" xfId="57" applyFill="1" applyBorder="1" applyAlignment="1"/>
    <xf numFmtId="8" fontId="5" fillId="48" borderId="26" xfId="57" applyNumberFormat="1" applyFill="1" applyBorder="1"/>
    <xf numFmtId="43" fontId="5" fillId="48" borderId="26" xfId="57" applyFill="1" applyBorder="1"/>
    <xf numFmtId="0" fontId="13" fillId="0" borderId="17" xfId="101" applyFont="1" applyBorder="1"/>
    <xf numFmtId="8" fontId="0" fillId="0" borderId="0" xfId="57" applyNumberFormat="1" applyFont="1"/>
    <xf numFmtId="0" fontId="0" fillId="49" borderId="0" xfId="0" applyFill="1"/>
    <xf numFmtId="0" fontId="0" fillId="49" borderId="0" xfId="0" applyFill="1" applyAlignment="1">
      <alignment horizont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center" vertical="top"/>
    </xf>
    <xf numFmtId="0" fontId="67" fillId="49" borderId="0" xfId="0" applyFont="1" applyFill="1" applyAlignment="1">
      <alignment vertical="top"/>
    </xf>
    <xf numFmtId="183" fontId="13" fillId="49" borderId="0" xfId="0" applyNumberFormat="1" applyFont="1" applyFill="1" applyAlignment="1">
      <alignment horizontal="center" vertical="top"/>
    </xf>
    <xf numFmtId="164" fontId="5" fillId="49" borderId="0" xfId="62" applyNumberFormat="1" applyFill="1" applyAlignment="1">
      <alignment vertical="top"/>
    </xf>
    <xf numFmtId="0" fontId="8" fillId="49" borderId="0" xfId="0" applyFont="1" applyFill="1" applyAlignment="1">
      <alignment vertical="top"/>
    </xf>
    <xf numFmtId="0" fontId="13" fillId="49" borderId="0" xfId="0" applyFont="1" applyFill="1" applyAlignment="1">
      <alignment horizontal="center" vertical="top"/>
    </xf>
    <xf numFmtId="0" fontId="6" fillId="49" borderId="0" xfId="0" applyFont="1" applyFill="1" applyAlignment="1">
      <alignment horizontal="center" vertical="top"/>
    </xf>
    <xf numFmtId="0" fontId="8" fillId="49" borderId="0" xfId="0" quotePrefix="1" applyFont="1" applyFill="1" applyAlignment="1">
      <alignment horizontal="left" vertical="top"/>
    </xf>
    <xf numFmtId="0" fontId="67" fillId="49" borderId="0" xfId="0" applyFont="1" applyFill="1"/>
    <xf numFmtId="164" fontId="6" fillId="49" borderId="0" xfId="0" applyNumberFormat="1" applyFont="1" applyFill="1" applyAlignment="1">
      <alignment horizontal="center" vertical="top"/>
    </xf>
    <xf numFmtId="164" fontId="5" fillId="49" borderId="0" xfId="62" applyNumberFormat="1" applyFill="1" applyAlignment="1"/>
    <xf numFmtId="0" fontId="8" fillId="49" borderId="0" xfId="0" applyFont="1" applyFill="1" applyAlignment="1">
      <alignment horizontal="left" vertical="top"/>
    </xf>
    <xf numFmtId="0" fontId="13" fillId="49" borderId="0" xfId="0" applyFont="1" applyFill="1" applyAlignment="1">
      <alignment horizontal="center"/>
    </xf>
    <xf numFmtId="164" fontId="13" fillId="49" borderId="0" xfId="62" applyNumberFormat="1" applyFont="1" applyFill="1" applyBorder="1" applyAlignment="1"/>
    <xf numFmtId="0" fontId="6" fillId="50" borderId="54" xfId="0" applyFont="1" applyFill="1" applyBorder="1" applyAlignment="1">
      <alignment horizontal="centerContinuous" vertical="top"/>
    </xf>
    <xf numFmtId="0" fontId="13" fillId="50" borderId="4" xfId="0" applyFont="1" applyFill="1" applyBorder="1" applyAlignment="1">
      <alignment horizontal="centerContinuous"/>
    </xf>
    <xf numFmtId="0" fontId="13" fillId="50" borderId="55" xfId="0" applyFont="1" applyFill="1" applyBorder="1" applyAlignment="1">
      <alignment horizontal="centerContinuous"/>
    </xf>
    <xf numFmtId="0" fontId="6" fillId="50" borderId="61" xfId="0" applyFont="1" applyFill="1" applyBorder="1" applyAlignment="1">
      <alignment horizontal="centerContinuous"/>
    </xf>
    <xf numFmtId="0" fontId="68" fillId="50" borderId="62" xfId="0" applyFont="1" applyFill="1" applyBorder="1" applyAlignment="1">
      <alignment horizontal="centerContinuous"/>
    </xf>
    <xf numFmtId="0" fontId="68" fillId="50" borderId="45" xfId="0" applyFont="1" applyFill="1" applyBorder="1" applyAlignment="1">
      <alignment horizontal="centerContinuous"/>
    </xf>
    <xf numFmtId="0" fontId="6" fillId="48" borderId="61" xfId="0" applyFont="1" applyFill="1" applyBorder="1" applyAlignment="1">
      <alignment horizontal="centerContinuous"/>
    </xf>
    <xf numFmtId="0" fontId="68" fillId="48" borderId="62" xfId="0" applyFont="1" applyFill="1" applyBorder="1" applyAlignment="1">
      <alignment horizontal="centerContinuous"/>
    </xf>
    <xf numFmtId="0" fontId="68" fillId="48" borderId="45" xfId="0" applyFont="1" applyFill="1" applyBorder="1" applyAlignment="1">
      <alignment horizontal="centerContinuous"/>
    </xf>
    <xf numFmtId="0" fontId="68" fillId="48" borderId="61" xfId="0" applyFont="1" applyFill="1" applyBorder="1" applyAlignment="1">
      <alignment horizontal="centerContinuous"/>
    </xf>
    <xf numFmtId="0" fontId="68" fillId="48" borderId="63" xfId="0" applyFont="1" applyFill="1" applyBorder="1" applyAlignment="1">
      <alignment horizontal="centerContinuous"/>
    </xf>
    <xf numFmtId="0" fontId="0" fillId="49" borderId="28" xfId="0" applyFill="1" applyBorder="1"/>
    <xf numFmtId="0" fontId="0" fillId="49" borderId="41" xfId="0" applyFill="1" applyBorder="1"/>
    <xf numFmtId="0" fontId="5" fillId="49" borderId="0" xfId="0" applyFont="1" applyFill="1" applyAlignment="1">
      <alignment vertical="top"/>
    </xf>
    <xf numFmtId="0" fontId="6" fillId="51" borderId="64" xfId="0" applyFont="1" applyFill="1" applyBorder="1" applyAlignment="1">
      <alignment horizontal="center"/>
    </xf>
    <xf numFmtId="0" fontId="6" fillId="33" borderId="56" xfId="0" applyFont="1" applyFill="1" applyBorder="1" applyAlignment="1">
      <alignment horizontal="centerContinuous"/>
    </xf>
    <xf numFmtId="0" fontId="6" fillId="33" borderId="4" xfId="0" applyFont="1" applyFill="1" applyBorder="1" applyAlignment="1">
      <alignment horizontal="centerContinuous"/>
    </xf>
    <xf numFmtId="0" fontId="6" fillId="33" borderId="55" xfId="0" applyFont="1" applyFill="1" applyBorder="1" applyAlignment="1">
      <alignment horizontal="centerContinuous"/>
    </xf>
    <xf numFmtId="0" fontId="6" fillId="51" borderId="54" xfId="0" applyFont="1" applyFill="1" applyBorder="1" applyAlignment="1">
      <alignment horizontal="centerContinuous"/>
    </xf>
    <xf numFmtId="0" fontId="6" fillId="51" borderId="4" xfId="0" applyFont="1" applyFill="1" applyBorder="1" applyAlignment="1">
      <alignment horizontal="centerContinuous"/>
    </xf>
    <xf numFmtId="0" fontId="6" fillId="51" borderId="22" xfId="0" applyFont="1" applyFill="1" applyBorder="1" applyAlignment="1">
      <alignment horizontal="centerContinuous"/>
    </xf>
    <xf numFmtId="0" fontId="6" fillId="51" borderId="57" xfId="0" applyFont="1" applyFill="1" applyBorder="1" applyAlignment="1">
      <alignment horizontal="centerContinuous"/>
    </xf>
    <xf numFmtId="0" fontId="6" fillId="33" borderId="57" xfId="0" applyFont="1" applyFill="1" applyBorder="1" applyAlignment="1">
      <alignment horizontal="centerContinuous"/>
    </xf>
    <xf numFmtId="0" fontId="6" fillId="51" borderId="65" xfId="0" applyFont="1" applyFill="1" applyBorder="1" applyAlignment="1">
      <alignment horizontal="center"/>
    </xf>
    <xf numFmtId="0" fontId="6" fillId="33" borderId="66" xfId="0" applyFont="1" applyFill="1" applyBorder="1" applyAlignment="1">
      <alignment horizontal="center"/>
    </xf>
    <xf numFmtId="0" fontId="6" fillId="33" borderId="8" xfId="0" applyFont="1" applyFill="1" applyBorder="1" applyAlignment="1">
      <alignment horizontal="center"/>
    </xf>
    <xf numFmtId="0" fontId="6" fillId="51" borderId="8" xfId="0" applyFont="1" applyFill="1" applyBorder="1" applyAlignment="1">
      <alignment horizontal="center"/>
    </xf>
    <xf numFmtId="0" fontId="6" fillId="51" borderId="54" xfId="0" applyFont="1" applyFill="1" applyBorder="1" applyAlignment="1">
      <alignment horizontal="center"/>
    </xf>
    <xf numFmtId="0" fontId="6" fillId="33" borderId="56" xfId="0" applyFont="1" applyFill="1" applyBorder="1" applyAlignment="1">
      <alignment horizontal="center"/>
    </xf>
    <xf numFmtId="0" fontId="6" fillId="33" borderId="4" xfId="0" applyFont="1" applyFill="1" applyBorder="1" applyAlignment="1">
      <alignment horizontal="center"/>
    </xf>
    <xf numFmtId="0" fontId="6" fillId="33" borderId="55" xfId="0" applyFont="1" applyFill="1" applyBorder="1" applyAlignment="1">
      <alignment horizontal="center"/>
    </xf>
    <xf numFmtId="0" fontId="6" fillId="51" borderId="55" xfId="0" applyFont="1" applyFill="1" applyBorder="1" applyAlignment="1">
      <alignment horizontal="center"/>
    </xf>
    <xf numFmtId="0" fontId="6" fillId="51" borderId="67" xfId="0" applyFont="1" applyFill="1" applyBorder="1" applyAlignment="1">
      <alignment horizontal="center"/>
    </xf>
    <xf numFmtId="0" fontId="6" fillId="33" borderId="67" xfId="0" applyFont="1" applyFill="1" applyBorder="1" applyAlignment="1">
      <alignment horizontal="center"/>
    </xf>
    <xf numFmtId="0" fontId="7" fillId="49" borderId="0" xfId="0" applyFont="1" applyFill="1" applyAlignment="1">
      <alignment horizontal="center" vertical="top"/>
    </xf>
    <xf numFmtId="0" fontId="5" fillId="49" borderId="18" xfId="0" applyFont="1" applyFill="1" applyBorder="1" applyAlignment="1">
      <alignment vertical="top"/>
    </xf>
    <xf numFmtId="0" fontId="5" fillId="49" borderId="30" xfId="0" applyFont="1" applyFill="1" applyBorder="1" applyAlignment="1">
      <alignment vertical="top"/>
    </xf>
    <xf numFmtId="0" fontId="5" fillId="49" borderId="19" xfId="0" applyFont="1" applyFill="1" applyBorder="1" applyAlignment="1">
      <alignment vertical="top"/>
    </xf>
    <xf numFmtId="0" fontId="5" fillId="49" borderId="17" xfId="0" applyFont="1" applyFill="1" applyBorder="1" applyAlignment="1">
      <alignment vertical="top"/>
    </xf>
    <xf numFmtId="0" fontId="5" fillId="49" borderId="0" xfId="0" applyFont="1" applyFill="1"/>
    <xf numFmtId="0" fontId="5" fillId="49" borderId="17" xfId="0" applyFont="1" applyFill="1" applyBorder="1"/>
    <xf numFmtId="0" fontId="5" fillId="49" borderId="19" xfId="0" applyFont="1" applyFill="1" applyBorder="1"/>
    <xf numFmtId="0" fontId="13" fillId="49" borderId="0" xfId="0" applyFont="1" applyFill="1" applyAlignment="1">
      <alignment vertical="top"/>
    </xf>
    <xf numFmtId="164" fontId="67" fillId="49" borderId="0" xfId="62" applyNumberFormat="1" applyFont="1" applyFill="1" applyAlignment="1">
      <alignment vertical="top"/>
    </xf>
    <xf numFmtId="164" fontId="69" fillId="49" borderId="0" xfId="62" applyNumberFormat="1" applyFont="1" applyFill="1" applyBorder="1" applyAlignment="1">
      <alignment vertical="top"/>
    </xf>
    <xf numFmtId="164" fontId="69" fillId="49" borderId="30" xfId="62" applyNumberFormat="1" applyFont="1" applyFill="1" applyBorder="1" applyAlignment="1">
      <alignment vertical="top"/>
    </xf>
    <xf numFmtId="164" fontId="69" fillId="49" borderId="19" xfId="62" applyNumberFormat="1" applyFont="1" applyFill="1" applyBorder="1" applyAlignment="1">
      <alignment vertical="top"/>
    </xf>
    <xf numFmtId="164" fontId="5" fillId="49" borderId="18" xfId="62" applyNumberFormat="1" applyFill="1" applyBorder="1" applyAlignment="1">
      <alignment horizontal="right" vertical="top"/>
    </xf>
    <xf numFmtId="164" fontId="5" fillId="49" borderId="0" xfId="62" applyNumberFormat="1" applyFill="1" applyBorder="1" applyAlignment="1">
      <alignment horizontal="right" vertical="top"/>
    </xf>
    <xf numFmtId="164" fontId="5" fillId="49" borderId="30" xfId="62" applyNumberFormat="1" applyFill="1" applyBorder="1" applyAlignment="1">
      <alignment horizontal="right" vertical="top"/>
    </xf>
    <xf numFmtId="164" fontId="13" fillId="49" borderId="19" xfId="62" applyNumberFormat="1" applyFont="1" applyFill="1" applyBorder="1" applyAlignment="1">
      <alignment vertical="top"/>
    </xf>
    <xf numFmtId="164" fontId="13" fillId="49" borderId="0" xfId="62" applyNumberFormat="1" applyFont="1" applyFill="1" applyBorder="1" applyAlignment="1">
      <alignment vertical="top"/>
    </xf>
    <xf numFmtId="164" fontId="13" fillId="49" borderId="17" xfId="62" applyNumberFormat="1" applyFont="1" applyFill="1" applyBorder="1" applyAlignment="1">
      <alignment vertical="top"/>
    </xf>
    <xf numFmtId="164" fontId="13" fillId="49" borderId="0" xfId="0" applyNumberFormat="1" applyFont="1" applyFill="1" applyAlignment="1">
      <alignment vertical="top"/>
    </xf>
    <xf numFmtId="164" fontId="13" fillId="49" borderId="17" xfId="0" applyNumberFormat="1" applyFont="1" applyFill="1" applyBorder="1" applyAlignment="1">
      <alignment vertical="top"/>
    </xf>
    <xf numFmtId="164" fontId="13" fillId="49" borderId="19" xfId="0" applyNumberFormat="1" applyFont="1" applyFill="1" applyBorder="1" applyAlignment="1">
      <alignment vertical="top"/>
    </xf>
    <xf numFmtId="164" fontId="13" fillId="49" borderId="18" xfId="62" applyNumberFormat="1" applyFont="1" applyFill="1" applyBorder="1" applyAlignment="1">
      <alignment horizontal="right" vertical="top"/>
    </xf>
    <xf numFmtId="164" fontId="13" fillId="49" borderId="0" xfId="62" applyNumberFormat="1" applyFont="1" applyFill="1" applyBorder="1" applyAlignment="1">
      <alignment horizontal="right" vertical="top"/>
    </xf>
    <xf numFmtId="164" fontId="13" fillId="49" borderId="30" xfId="62" applyNumberFormat="1" applyFont="1" applyFill="1" applyBorder="1" applyAlignment="1">
      <alignment horizontal="right" vertical="top"/>
    </xf>
    <xf numFmtId="164" fontId="70" fillId="49" borderId="18" xfId="62" applyNumberFormat="1" applyFont="1" applyFill="1" applyBorder="1" applyAlignment="1">
      <alignment horizontal="right" vertical="top"/>
    </xf>
    <xf numFmtId="164" fontId="70" fillId="49" borderId="30" xfId="62" applyNumberFormat="1" applyFont="1" applyFill="1" applyBorder="1" applyAlignment="1">
      <alignment horizontal="right" vertical="top"/>
    </xf>
    <xf numFmtId="3" fontId="13" fillId="52" borderId="0" xfId="0" applyNumberFormat="1" applyFont="1" applyFill="1" applyAlignment="1">
      <alignment vertical="top"/>
    </xf>
    <xf numFmtId="164" fontId="5" fillId="52" borderId="0" xfId="62" applyNumberFormat="1" applyFill="1" applyBorder="1" applyAlignment="1">
      <alignment vertical="top"/>
    </xf>
    <xf numFmtId="164" fontId="13" fillId="52" borderId="0" xfId="62" applyNumberFormat="1" applyFont="1" applyFill="1" applyBorder="1" applyAlignment="1">
      <alignment vertical="top"/>
    </xf>
    <xf numFmtId="164" fontId="5" fillId="52" borderId="30" xfId="62" applyNumberFormat="1" applyFill="1" applyBorder="1" applyAlignment="1">
      <alignment vertical="top"/>
    </xf>
    <xf numFmtId="3" fontId="13" fillId="49" borderId="18" xfId="0" applyNumberFormat="1" applyFont="1" applyFill="1" applyBorder="1" applyAlignment="1">
      <alignment vertical="top"/>
    </xf>
    <xf numFmtId="3" fontId="13" fillId="49" borderId="0" xfId="0" applyNumberFormat="1" applyFont="1" applyFill="1" applyAlignment="1">
      <alignment vertical="top"/>
    </xf>
    <xf numFmtId="164" fontId="5" fillId="49" borderId="0" xfId="62" applyNumberFormat="1" applyFill="1" applyBorder="1" applyAlignment="1">
      <alignment vertical="top"/>
    </xf>
    <xf numFmtId="164" fontId="5" fillId="49" borderId="30" xfId="62" applyNumberFormat="1" applyFill="1" applyBorder="1" applyAlignment="1">
      <alignment vertical="top"/>
    </xf>
    <xf numFmtId="3" fontId="13" fillId="49" borderId="19" xfId="0" applyNumberFormat="1" applyFont="1" applyFill="1" applyBorder="1" applyAlignment="1">
      <alignment vertical="top"/>
    </xf>
    <xf numFmtId="37" fontId="13" fillId="49" borderId="0" xfId="62" applyNumberFormat="1" applyFont="1" applyFill="1" applyBorder="1" applyAlignment="1">
      <alignment vertical="top"/>
    </xf>
    <xf numFmtId="3" fontId="13" fillId="49" borderId="17" xfId="0" applyNumberFormat="1" applyFont="1" applyFill="1" applyBorder="1" applyAlignment="1">
      <alignment vertical="top"/>
    </xf>
    <xf numFmtId="41" fontId="6" fillId="49" borderId="18" xfId="62" applyNumberFormat="1" applyFont="1" applyFill="1" applyBorder="1" applyAlignment="1">
      <alignment horizontal="right" vertical="top"/>
    </xf>
    <xf numFmtId="41" fontId="6" fillId="49" borderId="0" xfId="62" applyNumberFormat="1" applyFont="1" applyFill="1" applyBorder="1" applyAlignment="1">
      <alignment horizontal="right" vertical="top"/>
    </xf>
    <xf numFmtId="41" fontId="6" fillId="49" borderId="30" xfId="62" applyNumberFormat="1" applyFont="1" applyFill="1" applyBorder="1" applyAlignment="1">
      <alignment horizontal="right" vertical="top"/>
    </xf>
    <xf numFmtId="41" fontId="6" fillId="49" borderId="19" xfId="62" applyNumberFormat="1" applyFont="1" applyFill="1" applyBorder="1" applyAlignment="1">
      <alignment horizontal="right" vertical="top"/>
    </xf>
    <xf numFmtId="41" fontId="6" fillId="49" borderId="17" xfId="62" applyNumberFormat="1" applyFont="1" applyFill="1" applyBorder="1" applyAlignment="1">
      <alignment horizontal="right" vertical="top"/>
    </xf>
    <xf numFmtId="179" fontId="6" fillId="49" borderId="0" xfId="67" applyNumberFormat="1" applyFont="1" applyFill="1" applyBorder="1" applyAlignment="1">
      <alignment horizontal="right" vertical="top"/>
    </xf>
    <xf numFmtId="179" fontId="6" fillId="49" borderId="17" xfId="67" applyNumberFormat="1" applyFont="1" applyFill="1" applyBorder="1" applyAlignment="1">
      <alignment horizontal="right" vertical="top"/>
    </xf>
    <xf numFmtId="179" fontId="6" fillId="49" borderId="19" xfId="67" applyNumberFormat="1" applyFont="1" applyFill="1" applyBorder="1" applyAlignment="1">
      <alignment horizontal="right" vertical="top"/>
    </xf>
    <xf numFmtId="164" fontId="5" fillId="49" borderId="19" xfId="62" applyNumberFormat="1" applyFill="1" applyBorder="1" applyAlignment="1">
      <alignment vertical="top"/>
    </xf>
    <xf numFmtId="164" fontId="5" fillId="49" borderId="18" xfId="62" applyNumberFormat="1" applyFill="1" applyBorder="1" applyAlignment="1">
      <alignment vertical="top"/>
    </xf>
    <xf numFmtId="164" fontId="5" fillId="49" borderId="17" xfId="62" applyNumberFormat="1" applyFill="1" applyBorder="1" applyAlignment="1">
      <alignment vertical="top"/>
    </xf>
    <xf numFmtId="164" fontId="5" fillId="49" borderId="19" xfId="62" applyNumberFormat="1" applyFont="1" applyFill="1" applyBorder="1" applyAlignment="1">
      <alignment vertical="top"/>
    </xf>
    <xf numFmtId="164" fontId="5" fillId="49" borderId="0" xfId="62" applyNumberFormat="1" applyFont="1" applyFill="1" applyBorder="1" applyAlignment="1">
      <alignment vertical="top"/>
    </xf>
    <xf numFmtId="164" fontId="5" fillId="49" borderId="17" xfId="62" applyNumberFormat="1" applyFont="1" applyFill="1" applyBorder="1" applyAlignment="1">
      <alignment vertical="top"/>
    </xf>
    <xf numFmtId="164" fontId="5" fillId="52" borderId="18" xfId="62" applyNumberFormat="1" applyFont="1" applyFill="1" applyBorder="1" applyAlignment="1">
      <alignment vertical="top"/>
    </xf>
    <xf numFmtId="164" fontId="5" fillId="52" borderId="0" xfId="62" applyNumberFormat="1" applyFont="1" applyFill="1" applyBorder="1" applyAlignment="1">
      <alignment vertical="top"/>
    </xf>
    <xf numFmtId="164" fontId="5" fillId="52" borderId="19" xfId="62" applyNumberFormat="1" applyFont="1" applyFill="1" applyBorder="1" applyAlignment="1">
      <alignment vertical="top"/>
    </xf>
    <xf numFmtId="164" fontId="5" fillId="52" borderId="17" xfId="62" applyNumberFormat="1" applyFill="1" applyBorder="1" applyAlignment="1">
      <alignment vertical="top"/>
    </xf>
    <xf numFmtId="41" fontId="6" fillId="49" borderId="18" xfId="62" applyNumberFormat="1" applyFont="1" applyFill="1" applyBorder="1" applyAlignment="1">
      <alignment horizontal="right"/>
    </xf>
    <xf numFmtId="41" fontId="6" fillId="49" borderId="0" xfId="62" applyNumberFormat="1" applyFont="1" applyFill="1" applyBorder="1" applyAlignment="1">
      <alignment horizontal="right"/>
    </xf>
    <xf numFmtId="41" fontId="6" fillId="49" borderId="30" xfId="62" applyNumberFormat="1" applyFont="1" applyFill="1" applyBorder="1" applyAlignment="1">
      <alignment horizontal="right"/>
    </xf>
    <xf numFmtId="41" fontId="6" fillId="49" borderId="19" xfId="62" applyNumberFormat="1" applyFont="1" applyFill="1" applyBorder="1" applyAlignment="1">
      <alignment horizontal="right"/>
    </xf>
    <xf numFmtId="41" fontId="6" fillId="49" borderId="17" xfId="62" applyNumberFormat="1" applyFont="1" applyFill="1" applyBorder="1" applyAlignment="1">
      <alignment horizontal="right"/>
    </xf>
    <xf numFmtId="164" fontId="13" fillId="49" borderId="18" xfId="62" applyNumberFormat="1" applyFont="1" applyFill="1" applyBorder="1" applyAlignment="1">
      <alignment vertical="top"/>
    </xf>
    <xf numFmtId="164" fontId="6" fillId="49" borderId="25" xfId="62" applyNumberFormat="1" applyFont="1" applyFill="1" applyBorder="1" applyAlignment="1">
      <alignment vertical="top"/>
    </xf>
    <xf numFmtId="164" fontId="6" fillId="49" borderId="26" xfId="62" applyNumberFormat="1" applyFont="1" applyFill="1" applyBorder="1" applyAlignment="1">
      <alignment vertical="top"/>
    </xf>
    <xf numFmtId="164" fontId="6" fillId="49" borderId="68" xfId="62" applyNumberFormat="1" applyFont="1" applyFill="1" applyBorder="1" applyAlignment="1">
      <alignment vertical="top"/>
    </xf>
    <xf numFmtId="164" fontId="6" fillId="49" borderId="49" xfId="62" applyNumberFormat="1" applyFont="1" applyFill="1" applyBorder="1" applyAlignment="1">
      <alignment vertical="top"/>
    </xf>
    <xf numFmtId="164" fontId="6" fillId="49" borderId="29" xfId="62" applyNumberFormat="1" applyFont="1" applyFill="1" applyBorder="1" applyAlignment="1">
      <alignment vertical="top"/>
    </xf>
    <xf numFmtId="179" fontId="6" fillId="49" borderId="26" xfId="67" applyNumberFormat="1" applyFont="1" applyFill="1" applyBorder="1" applyAlignment="1">
      <alignment horizontal="right" vertical="top"/>
    </xf>
    <xf numFmtId="179" fontId="6" fillId="49" borderId="29" xfId="67" applyNumberFormat="1" applyFont="1" applyFill="1" applyBorder="1" applyAlignment="1">
      <alignment horizontal="right" vertical="top"/>
    </xf>
    <xf numFmtId="179" fontId="6" fillId="49" borderId="49" xfId="67" applyNumberFormat="1" applyFont="1" applyFill="1" applyBorder="1" applyAlignment="1">
      <alignment horizontal="right" vertical="top"/>
    </xf>
    <xf numFmtId="185" fontId="13" fillId="49" borderId="0" xfId="0" applyNumberFormat="1" applyFont="1" applyFill="1" applyAlignment="1">
      <alignment horizontal="center" vertical="top"/>
    </xf>
    <xf numFmtId="179" fontId="0" fillId="49" borderId="0" xfId="0" applyNumberFormat="1" applyFill="1"/>
    <xf numFmtId="0" fontId="0" fillId="49" borderId="60" xfId="0" applyFill="1" applyBorder="1"/>
    <xf numFmtId="0" fontId="0" fillId="49" borderId="23" xfId="0" applyFill="1" applyBorder="1"/>
    <xf numFmtId="0" fontId="6" fillId="49" borderId="27" xfId="0" applyFont="1" applyFill="1" applyBorder="1" applyAlignment="1">
      <alignment horizontal="right"/>
    </xf>
    <xf numFmtId="164" fontId="67" fillId="49" borderId="28" xfId="62" applyNumberFormat="1" applyFont="1" applyFill="1" applyBorder="1" applyAlignment="1">
      <alignment vertical="top"/>
    </xf>
    <xf numFmtId="41" fontId="69" fillId="49" borderId="28" xfId="62" applyNumberFormat="1" applyFont="1" applyFill="1" applyBorder="1" applyAlignment="1">
      <alignment vertical="top"/>
    </xf>
    <xf numFmtId="164" fontId="69" fillId="49" borderId="28" xfId="62" applyNumberFormat="1" applyFont="1" applyFill="1" applyBorder="1" applyAlignment="1">
      <alignment vertical="top"/>
    </xf>
    <xf numFmtId="164" fontId="69" fillId="49" borderId="44" xfId="62" applyNumberFormat="1" applyFont="1" applyFill="1" applyBorder="1" applyAlignment="1">
      <alignment vertical="top"/>
    </xf>
    <xf numFmtId="164" fontId="5" fillId="52" borderId="28" xfId="62" applyNumberFormat="1" applyFont="1" applyFill="1" applyBorder="1" applyAlignment="1">
      <alignment vertical="top"/>
    </xf>
    <xf numFmtId="164" fontId="13" fillId="49" borderId="28" xfId="62" applyNumberFormat="1" applyFont="1" applyFill="1" applyBorder="1" applyAlignment="1">
      <alignment vertical="top"/>
    </xf>
    <xf numFmtId="164" fontId="13" fillId="49" borderId="41" xfId="62" applyNumberFormat="1" applyFont="1" applyFill="1" applyBorder="1" applyAlignment="1">
      <alignment vertical="top"/>
    </xf>
    <xf numFmtId="0" fontId="0" fillId="49" borderId="31" xfId="0" applyFill="1" applyBorder="1"/>
    <xf numFmtId="0" fontId="0" fillId="49" borderId="16" xfId="0" applyFill="1" applyBorder="1"/>
    <xf numFmtId="0" fontId="6" fillId="49" borderId="25" xfId="0" applyFont="1" applyFill="1" applyBorder="1" applyAlignment="1">
      <alignment horizontal="right"/>
    </xf>
    <xf numFmtId="164" fontId="67" fillId="49" borderId="26" xfId="62" applyNumberFormat="1" applyFont="1" applyFill="1" applyBorder="1" applyAlignment="1">
      <alignment vertical="top"/>
    </xf>
    <xf numFmtId="164" fontId="69" fillId="49" borderId="26" xfId="62" applyNumberFormat="1" applyFont="1" applyFill="1" applyBorder="1" applyAlignment="1">
      <alignment vertical="top"/>
    </xf>
    <xf numFmtId="164" fontId="69" fillId="49" borderId="68" xfId="62" applyNumberFormat="1" applyFont="1" applyFill="1" applyBorder="1" applyAlignment="1">
      <alignment vertical="top"/>
    </xf>
    <xf numFmtId="164" fontId="67" fillId="52" borderId="26" xfId="62" applyNumberFormat="1" applyFont="1" applyFill="1" applyBorder="1" applyAlignment="1">
      <alignment vertical="top"/>
    </xf>
    <xf numFmtId="164" fontId="13" fillId="49" borderId="26" xfId="62" applyNumberFormat="1" applyFont="1" applyFill="1" applyBorder="1" applyAlignment="1">
      <alignment vertical="top"/>
    </xf>
    <xf numFmtId="164" fontId="13" fillId="49" borderId="29" xfId="62" applyNumberFormat="1" applyFont="1" applyFill="1" applyBorder="1" applyAlignment="1">
      <alignment vertical="top"/>
    </xf>
    <xf numFmtId="0" fontId="0" fillId="49" borderId="0" xfId="0" applyFill="1" applyAlignment="1">
      <alignment horizontal="right"/>
    </xf>
    <xf numFmtId="176" fontId="5" fillId="49" borderId="0" xfId="114" applyNumberFormat="1" applyFont="1" applyFill="1" applyAlignment="1">
      <alignment vertical="top"/>
    </xf>
    <xf numFmtId="186" fontId="5" fillId="49" borderId="0" xfId="62" applyFont="1" applyFill="1" applyAlignment="1">
      <alignment vertical="top"/>
    </xf>
    <xf numFmtId="176" fontId="5" fillId="49" borderId="0" xfId="114" applyNumberFormat="1" applyFont="1" applyFill="1"/>
    <xf numFmtId="181" fontId="5" fillId="49" borderId="0" xfId="114" applyNumberFormat="1" applyFont="1" applyFill="1" applyAlignment="1">
      <alignment vertical="top"/>
    </xf>
    <xf numFmtId="0" fontId="5" fillId="49" borderId="0" xfId="0" applyFont="1" applyFill="1" applyAlignment="1">
      <alignment horizontal="center" vertical="top"/>
    </xf>
    <xf numFmtId="0" fontId="9" fillId="49" borderId="0" xfId="0" applyFont="1" applyFill="1" applyAlignment="1">
      <alignment vertical="top"/>
    </xf>
    <xf numFmtId="0" fontId="9" fillId="49" borderId="0" xfId="0" quotePrefix="1" applyFont="1" applyFill="1" applyAlignment="1">
      <alignment horizontal="left" vertical="top"/>
    </xf>
    <xf numFmtId="0" fontId="5" fillId="49" borderId="0" xfId="0" applyFont="1" applyFill="1" applyAlignment="1">
      <alignment horizontal="center"/>
    </xf>
    <xf numFmtId="0" fontId="13" fillId="49" borderId="0" xfId="0" applyFont="1" applyFill="1"/>
    <xf numFmtId="0" fontId="71" fillId="49" borderId="0" xfId="0" quotePrefix="1" applyFont="1" applyFill="1" applyAlignment="1">
      <alignment horizontal="left" vertical="top"/>
    </xf>
    <xf numFmtId="0" fontId="9" fillId="49" borderId="0" xfId="0" applyFont="1" applyFill="1" applyAlignment="1">
      <alignment horizontal="left" vertical="top"/>
    </xf>
    <xf numFmtId="0" fontId="13" fillId="49" borderId="0" xfId="0" applyFont="1" applyFill="1" applyAlignment="1">
      <alignment horizontal="right"/>
    </xf>
    <xf numFmtId="0" fontId="6" fillId="49" borderId="64" xfId="0" applyFont="1" applyFill="1" applyBorder="1" applyAlignment="1">
      <alignment horizontal="centerContinuous"/>
    </xf>
    <xf numFmtId="0" fontId="6" fillId="49" borderId="64" xfId="0" applyFont="1" applyFill="1" applyBorder="1" applyAlignment="1">
      <alignment horizontal="center"/>
    </xf>
    <xf numFmtId="0" fontId="6" fillId="49" borderId="54" xfId="0" applyFont="1" applyFill="1" applyBorder="1" applyAlignment="1">
      <alignment horizontal="centerContinuous"/>
    </xf>
    <xf numFmtId="0" fontId="6" fillId="49" borderId="4" xfId="0" applyFont="1" applyFill="1" applyBorder="1" applyAlignment="1">
      <alignment horizontal="centerContinuous"/>
    </xf>
    <xf numFmtId="0" fontId="6" fillId="49" borderId="55" xfId="0" applyFont="1" applyFill="1" applyBorder="1" applyAlignment="1">
      <alignment horizontal="centerContinuous"/>
    </xf>
    <xf numFmtId="0" fontId="0" fillId="49" borderId="69" xfId="0" applyFill="1" applyBorder="1"/>
    <xf numFmtId="0" fontId="6" fillId="49" borderId="54" xfId="0" applyFont="1" applyFill="1" applyBorder="1" applyAlignment="1">
      <alignment horizontal="centerContinuous" vertical="center"/>
    </xf>
    <xf numFmtId="0" fontId="6" fillId="49" borderId="4" xfId="0" applyFont="1" applyFill="1" applyBorder="1" applyAlignment="1">
      <alignment horizontal="centerContinuous" vertical="center"/>
    </xf>
    <xf numFmtId="0" fontId="6" fillId="49" borderId="55" xfId="0" applyFont="1" applyFill="1" applyBorder="1" applyAlignment="1">
      <alignment horizontal="centerContinuous" vertical="center"/>
    </xf>
    <xf numFmtId="0" fontId="6" fillId="49" borderId="0" xfId="0" applyFont="1" applyFill="1" applyAlignment="1">
      <alignment horizontal="centerContinuous"/>
    </xf>
    <xf numFmtId="0" fontId="6" fillId="49" borderId="8" xfId="0" applyFont="1" applyFill="1" applyBorder="1" applyAlignment="1">
      <alignment horizontal="center"/>
    </xf>
    <xf numFmtId="0" fontId="6" fillId="49" borderId="65" xfId="0" applyFont="1" applyFill="1" applyBorder="1" applyAlignment="1">
      <alignment horizontal="center"/>
    </xf>
    <xf numFmtId="164" fontId="6" fillId="49" borderId="0" xfId="62" applyNumberFormat="1" applyFont="1" applyFill="1" applyBorder="1" applyAlignment="1">
      <alignment horizontal="center"/>
    </xf>
    <xf numFmtId="0" fontId="13" fillId="49" borderId="0" xfId="0" applyFont="1" applyFill="1" applyAlignment="1">
      <alignment horizontal="left" vertical="top"/>
    </xf>
    <xf numFmtId="3" fontId="13" fillId="49" borderId="0" xfId="0" applyNumberFormat="1" applyFont="1" applyFill="1" applyAlignment="1">
      <alignment horizontal="right" vertical="top"/>
    </xf>
    <xf numFmtId="164" fontId="13" fillId="49" borderId="0" xfId="62" applyNumberFormat="1" applyFont="1" applyFill="1" applyAlignment="1">
      <alignment vertical="top"/>
    </xf>
    <xf numFmtId="0" fontId="13" fillId="49" borderId="0" xfId="0" applyFont="1" applyFill="1" applyAlignment="1">
      <alignment vertical="top" wrapText="1"/>
    </xf>
    <xf numFmtId="164" fontId="13" fillId="49" borderId="0" xfId="62" applyNumberFormat="1" applyFont="1" applyFill="1" applyAlignment="1">
      <alignment horizontal="center" vertical="top"/>
    </xf>
    <xf numFmtId="49" fontId="13" fillId="49" borderId="0" xfId="0" applyNumberFormat="1" applyFont="1" applyFill="1" applyAlignment="1">
      <alignment horizontal="left" vertical="top"/>
    </xf>
    <xf numFmtId="49" fontId="13" fillId="49" borderId="0" xfId="0" applyNumberFormat="1" applyFont="1" applyFill="1" applyAlignment="1">
      <alignment horizontal="center" vertical="top"/>
    </xf>
    <xf numFmtId="184" fontId="13" fillId="49" borderId="0" xfId="62" applyNumberFormat="1" applyFont="1" applyFill="1" applyAlignment="1">
      <alignment vertical="top"/>
    </xf>
    <xf numFmtId="0" fontId="13" fillId="49" borderId="0" xfId="62" quotePrefix="1" applyNumberFormat="1" applyFont="1" applyFill="1" applyAlignment="1">
      <alignment horizontal="left" vertical="top" wrapText="1"/>
    </xf>
    <xf numFmtId="0" fontId="13" fillId="49" borderId="0" xfId="62" applyNumberFormat="1" applyFont="1" applyFill="1" applyAlignment="1">
      <alignment vertical="top"/>
    </xf>
    <xf numFmtId="0" fontId="13" fillId="49" borderId="0" xfId="0" applyFont="1" applyFill="1" applyAlignment="1">
      <alignment horizontal="right" vertical="top"/>
    </xf>
    <xf numFmtId="41" fontId="13" fillId="49" borderId="0" xfId="62" applyNumberFormat="1" applyFont="1" applyFill="1" applyAlignment="1">
      <alignment horizontal="right" vertical="top"/>
    </xf>
    <xf numFmtId="185" fontId="6" fillId="49" borderId="0" xfId="0" applyNumberFormat="1" applyFont="1" applyFill="1" applyAlignment="1">
      <alignment horizontal="center" vertical="top"/>
    </xf>
    <xf numFmtId="49" fontId="6" fillId="49" borderId="0" xfId="0" applyNumberFormat="1" applyFont="1" applyFill="1" applyAlignment="1">
      <alignment horizontal="right" vertical="top"/>
    </xf>
    <xf numFmtId="41" fontId="6" fillId="49" borderId="0" xfId="62" applyNumberFormat="1" applyFont="1" applyFill="1" applyAlignment="1">
      <alignment horizontal="right" vertical="top"/>
    </xf>
    <xf numFmtId="179" fontId="6" fillId="49" borderId="0" xfId="67" applyNumberFormat="1" applyFont="1" applyFill="1" applyAlignment="1">
      <alignment horizontal="right" vertical="top"/>
    </xf>
    <xf numFmtId="179" fontId="13" fillId="49" borderId="0" xfId="67" applyNumberFormat="1" applyFont="1" applyFill="1" applyAlignment="1">
      <alignment vertical="top"/>
    </xf>
    <xf numFmtId="49" fontId="7" fillId="49" borderId="0" xfId="0" applyNumberFormat="1" applyFont="1" applyFill="1" applyAlignment="1">
      <alignment horizontal="center" vertical="top"/>
    </xf>
    <xf numFmtId="184" fontId="13" fillId="49" borderId="0" xfId="62" applyNumberFormat="1" applyFont="1" applyFill="1" applyBorder="1" applyAlignment="1">
      <alignment vertical="top"/>
    </xf>
    <xf numFmtId="164" fontId="13" fillId="47" borderId="0" xfId="0" applyNumberFormat="1" applyFont="1" applyFill="1" applyAlignment="1">
      <alignment vertical="top"/>
    </xf>
    <xf numFmtId="164" fontId="13" fillId="49" borderId="0" xfId="62" applyNumberFormat="1" applyFont="1" applyFill="1" applyAlignment="1">
      <alignment horizontal="right" vertical="top"/>
    </xf>
    <xf numFmtId="185" fontId="6" fillId="49" borderId="0" xfId="0" quotePrefix="1" applyNumberFormat="1" applyFont="1" applyFill="1" applyAlignment="1">
      <alignment horizontal="center" vertical="top"/>
    </xf>
    <xf numFmtId="49" fontId="6" fillId="49" borderId="0" xfId="0" quotePrefix="1" applyNumberFormat="1" applyFont="1" applyFill="1" applyAlignment="1">
      <alignment horizontal="right" vertical="top"/>
    </xf>
    <xf numFmtId="164" fontId="6" fillId="49" borderId="70" xfId="62" applyNumberFormat="1" applyFont="1" applyFill="1" applyBorder="1" applyAlignment="1">
      <alignment horizontal="right" vertical="top"/>
    </xf>
    <xf numFmtId="179" fontId="6" fillId="49" borderId="70" xfId="67" applyNumberFormat="1" applyFont="1" applyFill="1" applyBorder="1" applyAlignment="1">
      <alignment horizontal="right" vertical="top"/>
    </xf>
    <xf numFmtId="164" fontId="6" fillId="49" borderId="0" xfId="62" applyNumberFormat="1" applyFont="1" applyFill="1" applyBorder="1" applyAlignment="1">
      <alignment vertical="top"/>
    </xf>
    <xf numFmtId="176" fontId="13" fillId="49" borderId="0" xfId="114" applyNumberFormat="1" applyFont="1" applyFill="1" applyAlignment="1">
      <alignment vertical="top"/>
    </xf>
    <xf numFmtId="0" fontId="0" fillId="49" borderId="0" xfId="0" applyFill="1" applyAlignment="1">
      <alignment vertical="top" wrapText="1"/>
    </xf>
    <xf numFmtId="0" fontId="9" fillId="49" borderId="0" xfId="0" applyFont="1" applyFill="1"/>
    <xf numFmtId="0" fontId="6" fillId="49" borderId="0" xfId="0" applyFont="1" applyFill="1"/>
    <xf numFmtId="0" fontId="7" fillId="49" borderId="0" xfId="0" applyFont="1" applyFill="1" applyAlignment="1">
      <alignment horizontal="centerContinuous"/>
    </xf>
    <xf numFmtId="0" fontId="7" fillId="49" borderId="0" xfId="0" applyFont="1" applyFill="1" applyAlignment="1">
      <alignment horizontal="right" indent="1"/>
    </xf>
    <xf numFmtId="0" fontId="7" fillId="49" borderId="0" xfId="0" applyFont="1" applyFill="1"/>
    <xf numFmtId="0" fontId="0" fillId="49" borderId="0" xfId="0" applyFill="1" applyAlignment="1">
      <alignment horizontal="left" indent="1"/>
    </xf>
    <xf numFmtId="186" fontId="5" fillId="49" borderId="0" xfId="62" applyFont="1" applyFill="1" applyAlignment="1">
      <alignment horizontal="right" indent="1"/>
    </xf>
    <xf numFmtId="43" fontId="5" fillId="49" borderId="0" xfId="0" applyNumberFormat="1" applyFont="1" applyFill="1" applyAlignment="1">
      <alignment horizontal="right" indent="1"/>
    </xf>
    <xf numFmtId="186" fontId="70" fillId="49" borderId="0" xfId="62" applyFont="1" applyFill="1" applyAlignment="1">
      <alignment horizontal="right" indent="1"/>
    </xf>
    <xf numFmtId="43" fontId="70" fillId="49" borderId="0" xfId="0" applyNumberFormat="1" applyFont="1" applyFill="1" applyAlignment="1">
      <alignment horizontal="right" indent="1"/>
    </xf>
    <xf numFmtId="0" fontId="5" fillId="49" borderId="0" xfId="0" applyFont="1" applyFill="1" applyAlignment="1">
      <alignment horizontal="right" indent="1"/>
    </xf>
    <xf numFmtId="176" fontId="5" fillId="49" borderId="0" xfId="114" applyNumberFormat="1" applyFill="1" applyAlignment="1">
      <alignment vertical="top"/>
    </xf>
    <xf numFmtId="176" fontId="5" fillId="49" borderId="0" xfId="114" applyNumberFormat="1" applyFill="1"/>
    <xf numFmtId="9" fontId="5" fillId="49" borderId="0" xfId="114" applyFill="1"/>
    <xf numFmtId="44" fontId="5" fillId="49" borderId="0" xfId="67" applyNumberFormat="1" applyFill="1" applyAlignment="1">
      <alignment vertical="top"/>
    </xf>
    <xf numFmtId="187" fontId="5" fillId="49" borderId="0" xfId="67" applyFill="1"/>
    <xf numFmtId="164" fontId="0" fillId="49" borderId="0" xfId="0" applyNumberFormat="1" applyFill="1"/>
    <xf numFmtId="164" fontId="5" fillId="49" borderId="0" xfId="62" applyNumberFormat="1" applyFill="1"/>
    <xf numFmtId="164" fontId="70" fillId="49" borderId="0" xfId="62" applyNumberFormat="1" applyFont="1" applyFill="1"/>
    <xf numFmtId="41" fontId="13" fillId="49" borderId="0" xfId="0" applyNumberFormat="1" applyFont="1" applyFill="1" applyAlignment="1">
      <alignment horizontal="center" vertical="top"/>
    </xf>
    <xf numFmtId="49" fontId="13" fillId="49" borderId="0" xfId="0" applyNumberFormat="1" applyFont="1" applyFill="1" applyAlignment="1">
      <alignment horizontal="left" vertical="top" indent="1"/>
    </xf>
    <xf numFmtId="3" fontId="13" fillId="49" borderId="0" xfId="0" applyNumberFormat="1" applyFont="1" applyFill="1" applyAlignment="1">
      <alignment horizontal="center" vertical="top"/>
    </xf>
    <xf numFmtId="3" fontId="28" fillId="49" borderId="0" xfId="0" applyNumberFormat="1" applyFont="1" applyFill="1" applyAlignment="1">
      <alignment horizontal="center" vertical="top"/>
    </xf>
    <xf numFmtId="41" fontId="13" fillId="49" borderId="0" xfId="62" applyNumberFormat="1" applyFont="1" applyFill="1" applyAlignment="1">
      <alignment horizontal="center" vertical="top"/>
    </xf>
    <xf numFmtId="164" fontId="13" fillId="52" borderId="18" xfId="62" applyNumberFormat="1" applyFont="1" applyFill="1" applyBorder="1" applyAlignment="1">
      <alignment vertical="top"/>
    </xf>
    <xf numFmtId="0" fontId="13" fillId="49" borderId="0" xfId="0" applyFont="1" applyFill="1" applyAlignment="1">
      <alignment horizontal="left" vertical="top" indent="1"/>
    </xf>
    <xf numFmtId="49" fontId="6" fillId="49" borderId="0" xfId="0" applyNumberFormat="1" applyFont="1" applyFill="1" applyAlignment="1">
      <alignment horizontal="right" vertical="top" indent="1"/>
    </xf>
    <xf numFmtId="41" fontId="6" fillId="49" borderId="0" xfId="62" applyNumberFormat="1" applyFont="1" applyFill="1" applyAlignment="1">
      <alignment horizontal="center" vertical="top"/>
    </xf>
    <xf numFmtId="185" fontId="6" fillId="49" borderId="0" xfId="0" quotePrefix="1" applyNumberFormat="1" applyFont="1" applyFill="1" applyAlignment="1">
      <alignment horizontal="center"/>
    </xf>
    <xf numFmtId="49" fontId="13" fillId="49" borderId="0" xfId="0" applyNumberFormat="1" applyFont="1" applyFill="1" applyAlignment="1">
      <alignment horizontal="center"/>
    </xf>
    <xf numFmtId="49" fontId="6" fillId="49" borderId="0" xfId="0" quotePrefix="1" applyNumberFormat="1" applyFont="1" applyFill="1" applyAlignment="1">
      <alignment horizontal="right" indent="1"/>
    </xf>
    <xf numFmtId="41" fontId="6" fillId="49" borderId="0" xfId="62" applyNumberFormat="1" applyFont="1" applyFill="1" applyAlignment="1">
      <alignment horizontal="center"/>
    </xf>
    <xf numFmtId="0" fontId="6" fillId="49" borderId="0" xfId="0" applyFont="1" applyFill="1" applyAlignment="1">
      <alignment horizontal="right" vertical="top" indent="1"/>
    </xf>
    <xf numFmtId="164" fontId="6" fillId="49" borderId="70" xfId="62" applyNumberFormat="1" applyFont="1" applyFill="1" applyBorder="1" applyAlignment="1">
      <alignment horizontal="center" vertical="top"/>
    </xf>
    <xf numFmtId="43" fontId="13" fillId="49" borderId="0" xfId="67" applyNumberFormat="1" applyFont="1" applyFill="1" applyAlignment="1">
      <alignment vertical="top"/>
    </xf>
    <xf numFmtId="43" fontId="13" fillId="49" borderId="0" xfId="0" applyNumberFormat="1" applyFont="1" applyFill="1" applyAlignment="1">
      <alignment vertical="top"/>
    </xf>
    <xf numFmtId="41" fontId="22" fillId="0" borderId="0" xfId="57" quotePrefix="1" applyNumberFormat="1" applyFont="1" applyFill="1" applyBorder="1" applyAlignment="1">
      <alignment horizontal="center" vertical="center"/>
    </xf>
    <xf numFmtId="41" fontId="6" fillId="0" borderId="0" xfId="0" applyNumberFormat="1" applyFont="1" applyAlignment="1">
      <alignment vertical="center"/>
    </xf>
    <xf numFmtId="181" fontId="13" fillId="0" borderId="0" xfId="0" applyNumberFormat="1" applyFont="1"/>
    <xf numFmtId="43" fontId="6" fillId="0" borderId="0" xfId="0" applyNumberFormat="1" applyFont="1" applyAlignment="1">
      <alignment vertical="center"/>
    </xf>
    <xf numFmtId="164" fontId="22" fillId="0" borderId="0" xfId="57" applyNumberFormat="1" applyFont="1" applyAlignment="1">
      <alignment vertical="top"/>
    </xf>
    <xf numFmtId="49" fontId="24" fillId="49" borderId="0" xfId="0" applyNumberFormat="1" applyFont="1" applyFill="1" applyAlignment="1">
      <alignment horizontal="left" vertical="top"/>
    </xf>
    <xf numFmtId="0" fontId="24" fillId="49" borderId="0" xfId="0" applyFont="1" applyFill="1" applyAlignment="1">
      <alignment horizontal="center" vertical="top"/>
    </xf>
    <xf numFmtId="41" fontId="27" fillId="0" borderId="16" xfId="0" applyNumberFormat="1" applyFont="1" applyBorder="1"/>
    <xf numFmtId="9" fontId="5" fillId="49" borderId="0" xfId="114" applyFont="1" applyFill="1"/>
    <xf numFmtId="0" fontId="17" fillId="0" borderId="0" xfId="0" quotePrefix="1" applyFont="1" applyAlignment="1">
      <alignment horizontal="center"/>
    </xf>
    <xf numFmtId="0" fontId="5" fillId="49" borderId="0" xfId="67" applyNumberFormat="1" applyFont="1" applyFill="1" applyAlignment="1">
      <alignment vertical="top" wrapText="1"/>
    </xf>
    <xf numFmtId="43" fontId="22" fillId="0" borderId="0" xfId="57" applyFont="1" applyFill="1" applyBorder="1"/>
    <xf numFmtId="0" fontId="5" fillId="0" borderId="0" xfId="98" applyAlignment="1">
      <alignment vertical="top"/>
    </xf>
    <xf numFmtId="0" fontId="5" fillId="0" borderId="0" xfId="98" applyAlignment="1">
      <alignment horizontal="right" vertical="top"/>
    </xf>
    <xf numFmtId="183" fontId="13" fillId="0" borderId="0" xfId="0" applyNumberFormat="1" applyFont="1" applyAlignment="1">
      <alignment horizontal="center" vertical="top"/>
    </xf>
    <xf numFmtId="3" fontId="13" fillId="0" borderId="0" xfId="98" applyNumberFormat="1" applyFont="1" applyAlignment="1">
      <alignment vertical="top"/>
    </xf>
    <xf numFmtId="3" fontId="13" fillId="0" borderId="0" xfId="0" applyNumberFormat="1" applyFont="1" applyAlignment="1">
      <alignment horizontal="center" vertical="top"/>
    </xf>
    <xf numFmtId="183" fontId="5" fillId="0" borderId="0" xfId="98" applyNumberFormat="1" applyAlignment="1">
      <alignment horizontal="center" vertical="top"/>
    </xf>
    <xf numFmtId="183" fontId="5" fillId="0" borderId="0" xfId="98" applyNumberFormat="1" applyAlignment="1">
      <alignment vertical="top"/>
    </xf>
    <xf numFmtId="0" fontId="8" fillId="0" borderId="0" xfId="98" applyFont="1" applyAlignment="1">
      <alignment vertical="top"/>
    </xf>
    <xf numFmtId="0" fontId="13" fillId="0" borderId="0" xfId="98" applyFont="1" applyAlignment="1">
      <alignment horizontal="right" vertical="top"/>
    </xf>
    <xf numFmtId="0" fontId="13" fillId="0" borderId="0" xfId="98" applyFont="1" applyAlignment="1">
      <alignment vertical="top"/>
    </xf>
    <xf numFmtId="0" fontId="5" fillId="0" borderId="0" xfId="98"/>
    <xf numFmtId="0" fontId="8" fillId="0" borderId="0" xfId="98" quotePrefix="1" applyFont="1" applyAlignment="1">
      <alignment horizontal="left" vertical="top"/>
    </xf>
    <xf numFmtId="0" fontId="13" fillId="0" borderId="0" xfId="98" applyFont="1"/>
    <xf numFmtId="0" fontId="6" fillId="0" borderId="66" xfId="98" applyFont="1" applyBorder="1" applyAlignment="1">
      <alignment horizontal="center" vertical="top"/>
    </xf>
    <xf numFmtId="164" fontId="6" fillId="0" borderId="57" xfId="98" applyNumberFormat="1" applyFont="1" applyBorder="1" applyAlignment="1">
      <alignment horizontal="center" vertical="top"/>
    </xf>
    <xf numFmtId="164" fontId="6" fillId="0" borderId="66" xfId="98" applyNumberFormat="1" applyFont="1" applyBorder="1" applyAlignment="1">
      <alignment horizontal="center" vertical="top"/>
    </xf>
    <xf numFmtId="164" fontId="13" fillId="0" borderId="71" xfId="61" applyNumberFormat="1" applyFont="1" applyBorder="1" applyAlignment="1">
      <alignment horizontal="right"/>
    </xf>
    <xf numFmtId="164" fontId="13" fillId="0" borderId="24" xfId="61" applyNumberFormat="1" applyFont="1" applyFill="1" applyBorder="1" applyAlignment="1"/>
    <xf numFmtId="164" fontId="5" fillId="0" borderId="71" xfId="61" applyNumberFormat="1" applyFill="1" applyBorder="1" applyAlignment="1"/>
    <xf numFmtId="164" fontId="13" fillId="0" borderId="72" xfId="61" applyNumberFormat="1" applyFont="1" applyBorder="1" applyAlignment="1">
      <alignment horizontal="right"/>
    </xf>
    <xf numFmtId="37" fontId="5" fillId="0" borderId="71" xfId="98" applyNumberFormat="1" applyBorder="1"/>
    <xf numFmtId="164" fontId="13" fillId="0" borderId="22" xfId="61" applyNumberFormat="1" applyFont="1" applyBorder="1" applyAlignment="1">
      <alignment horizontal="right"/>
    </xf>
    <xf numFmtId="0" fontId="5" fillId="0" borderId="0" xfId="98" quotePrefix="1" applyAlignment="1">
      <alignment horizontal="left"/>
    </xf>
    <xf numFmtId="164" fontId="13" fillId="0" borderId="73" xfId="61" applyNumberFormat="1" applyFont="1" applyBorder="1" applyAlignment="1">
      <alignment horizontal="right"/>
    </xf>
    <xf numFmtId="164" fontId="13" fillId="0" borderId="17" xfId="61" applyNumberFormat="1" applyFont="1" applyFill="1" applyBorder="1" applyAlignment="1"/>
    <xf numFmtId="164" fontId="5" fillId="0" borderId="73" xfId="61" applyNumberFormat="1" applyFill="1" applyBorder="1" applyAlignment="1"/>
    <xf numFmtId="164" fontId="13" fillId="0" borderId="74" xfId="61" applyNumberFormat="1" applyFont="1" applyFill="1" applyBorder="1" applyAlignment="1"/>
    <xf numFmtId="164" fontId="13" fillId="0" borderId="75" xfId="61" applyNumberFormat="1" applyFont="1" applyBorder="1" applyAlignment="1">
      <alignment horizontal="right"/>
    </xf>
    <xf numFmtId="37" fontId="5" fillId="0" borderId="73" xfId="98" applyNumberFormat="1" applyBorder="1"/>
    <xf numFmtId="164" fontId="13" fillId="0" borderId="18" xfId="61" applyNumberFormat="1" applyFont="1" applyBorder="1" applyAlignment="1">
      <alignment horizontal="right"/>
    </xf>
    <xf numFmtId="164" fontId="6" fillId="0" borderId="0" xfId="61" applyNumberFormat="1" applyFont="1" applyFill="1" applyAlignment="1"/>
    <xf numFmtId="164" fontId="13" fillId="0" borderId="0" xfId="61" applyNumberFormat="1" applyFont="1" applyFill="1" applyAlignment="1"/>
    <xf numFmtId="164" fontId="13" fillId="0" borderId="66" xfId="61" applyNumberFormat="1" applyFont="1" applyFill="1" applyBorder="1" applyAlignment="1"/>
    <xf numFmtId="164" fontId="13" fillId="0" borderId="57" xfId="61" applyNumberFormat="1" applyFont="1" applyFill="1" applyBorder="1" applyAlignment="1"/>
    <xf numFmtId="164" fontId="5" fillId="0" borderId="66" xfId="61" applyNumberFormat="1" applyFill="1" applyBorder="1" applyAlignment="1"/>
    <xf numFmtId="164" fontId="5" fillId="0" borderId="67" xfId="61" applyNumberFormat="1" applyFill="1" applyBorder="1" applyAlignment="1"/>
    <xf numFmtId="164" fontId="5" fillId="0" borderId="56" xfId="61" applyNumberFormat="1" applyFill="1" applyBorder="1" applyAlignment="1"/>
    <xf numFmtId="164" fontId="5" fillId="0" borderId="57" xfId="61" applyNumberFormat="1" applyFill="1" applyBorder="1" applyAlignment="1"/>
    <xf numFmtId="9" fontId="6" fillId="0" borderId="0" xfId="113" applyFont="1" applyFill="1" applyAlignment="1"/>
    <xf numFmtId="9" fontId="6" fillId="0" borderId="0" xfId="113" quotePrefix="1" applyFont="1" applyFill="1" applyBorder="1" applyAlignment="1">
      <alignment horizontal="right"/>
    </xf>
    <xf numFmtId="9" fontId="13" fillId="0" borderId="0" xfId="113" quotePrefix="1" applyFont="1" applyFill="1" applyAlignment="1">
      <alignment horizontal="left"/>
    </xf>
    <xf numFmtId="176" fontId="6" fillId="0" borderId="73" xfId="113" applyNumberFormat="1" applyFont="1" applyFill="1" applyBorder="1" applyAlignment="1"/>
    <xf numFmtId="176" fontId="6" fillId="0" borderId="17" xfId="113" applyNumberFormat="1" applyFont="1" applyFill="1" applyBorder="1" applyAlignment="1"/>
    <xf numFmtId="176" fontId="13" fillId="0" borderId="0" xfId="98" applyNumberFormat="1" applyFont="1" applyAlignment="1">
      <alignment vertical="top"/>
    </xf>
    <xf numFmtId="176" fontId="6" fillId="0" borderId="75" xfId="113" applyNumberFormat="1" applyFont="1" applyFill="1" applyBorder="1" applyAlignment="1"/>
    <xf numFmtId="186" fontId="5" fillId="0" borderId="0" xfId="61" applyFill="1" applyAlignment="1">
      <alignment vertical="top"/>
    </xf>
    <xf numFmtId="186" fontId="13" fillId="0" borderId="0" xfId="61" applyFont="1" applyFill="1" applyBorder="1" applyAlignment="1">
      <alignment vertical="top"/>
    </xf>
    <xf numFmtId="186" fontId="13" fillId="0" borderId="0" xfId="61" applyFont="1" applyFill="1" applyBorder="1" applyAlignment="1">
      <alignment horizontal="right" vertical="top"/>
    </xf>
    <xf numFmtId="186" fontId="6" fillId="0" borderId="0" xfId="61" applyFont="1" applyFill="1" applyAlignment="1">
      <alignment vertical="top"/>
    </xf>
    <xf numFmtId="186" fontId="5" fillId="0" borderId="0" xfId="61" applyFont="1" applyFill="1" applyAlignment="1">
      <alignment vertical="top"/>
    </xf>
    <xf numFmtId="186" fontId="13" fillId="0" borderId="0" xfId="61" applyFont="1" applyFill="1" applyAlignment="1">
      <alignment vertical="top"/>
    </xf>
    <xf numFmtId="43" fontId="6" fillId="0" borderId="52" xfId="61" applyNumberFormat="1" applyFont="1" applyFill="1" applyBorder="1" applyAlignment="1">
      <alignment horizontal="right"/>
    </xf>
    <xf numFmtId="43" fontId="6" fillId="0" borderId="29" xfId="61" applyNumberFormat="1" applyFont="1" applyFill="1" applyBorder="1" applyAlignment="1">
      <alignment horizontal="right"/>
    </xf>
    <xf numFmtId="43" fontId="6" fillId="0" borderId="52" xfId="61" applyNumberFormat="1" applyFont="1" applyFill="1" applyBorder="1" applyAlignment="1"/>
    <xf numFmtId="43" fontId="6" fillId="0" borderId="52" xfId="61" applyNumberFormat="1" applyFont="1" applyFill="1" applyBorder="1" applyAlignment="1">
      <alignment horizontal="center"/>
    </xf>
    <xf numFmtId="184" fontId="13" fillId="0" borderId="0" xfId="61" applyNumberFormat="1" applyFont="1" applyFill="1" applyAlignment="1">
      <alignment vertical="top"/>
    </xf>
    <xf numFmtId="164" fontId="13" fillId="0" borderId="0" xfId="61" applyNumberFormat="1" applyFont="1" applyFill="1" applyAlignment="1">
      <alignment vertical="top"/>
    </xf>
    <xf numFmtId="0" fontId="72" fillId="0" borderId="0" xfId="98" applyFont="1" applyAlignment="1">
      <alignment vertical="top"/>
    </xf>
    <xf numFmtId="0" fontId="6" fillId="0" borderId="76" xfId="98" applyFont="1" applyBorder="1" applyAlignment="1">
      <alignment horizontal="center" vertical="top"/>
    </xf>
    <xf numFmtId="0" fontId="6" fillId="0" borderId="51" xfId="98" applyFont="1" applyBorder="1" applyAlignment="1">
      <alignment horizontal="center" vertical="top"/>
    </xf>
    <xf numFmtId="0" fontId="6" fillId="0" borderId="48" xfId="98" applyFont="1" applyBorder="1" applyAlignment="1">
      <alignment horizontal="center" vertical="top"/>
    </xf>
    <xf numFmtId="0" fontId="6" fillId="0" borderId="53" xfId="98" applyFont="1" applyBorder="1" applyAlignment="1">
      <alignment horizontal="center" vertical="top"/>
    </xf>
    <xf numFmtId="0" fontId="6" fillId="0" borderId="52" xfId="98" applyFont="1" applyBorder="1" applyAlignment="1">
      <alignment horizontal="center" vertical="top"/>
    </xf>
    <xf numFmtId="0" fontId="6" fillId="0" borderId="47" xfId="98" applyFont="1" applyBorder="1" applyAlignment="1">
      <alignment horizontal="center" vertical="top"/>
    </xf>
    <xf numFmtId="0" fontId="6" fillId="0" borderId="50" xfId="98" applyFont="1" applyBorder="1" applyAlignment="1">
      <alignment horizontal="center" vertical="top"/>
    </xf>
    <xf numFmtId="0" fontId="6" fillId="0" borderId="77" xfId="98" applyFont="1" applyBorder="1" applyAlignment="1">
      <alignment horizontal="center" vertical="top"/>
    </xf>
    <xf numFmtId="0" fontId="6" fillId="0" borderId="33" xfId="98" applyFont="1" applyBorder="1" applyAlignment="1">
      <alignment horizontal="center" vertical="top"/>
    </xf>
    <xf numFmtId="0" fontId="6" fillId="0" borderId="78" xfId="98" applyFont="1" applyBorder="1" applyAlignment="1">
      <alignment horizontal="center" vertical="top"/>
    </xf>
    <xf numFmtId="0" fontId="6" fillId="0" borderId="79" xfId="98" applyFont="1" applyBorder="1" applyAlignment="1">
      <alignment horizontal="center" vertical="top"/>
    </xf>
    <xf numFmtId="0" fontId="6" fillId="0" borderId="48" xfId="98" quotePrefix="1" applyFont="1" applyBorder="1" applyAlignment="1">
      <alignment horizontal="left" vertical="top"/>
    </xf>
    <xf numFmtId="0" fontId="6" fillId="0" borderId="35" xfId="98" applyFont="1" applyBorder="1" applyAlignment="1">
      <alignment horizontal="center" vertical="top"/>
    </xf>
    <xf numFmtId="0" fontId="6" fillId="0" borderId="0" xfId="98" applyFont="1" applyAlignment="1">
      <alignment horizontal="center" vertical="top"/>
    </xf>
    <xf numFmtId="49" fontId="13" fillId="0" borderId="0" xfId="98" applyNumberFormat="1" applyFont="1" applyAlignment="1">
      <alignment vertical="top"/>
    </xf>
    <xf numFmtId="49" fontId="13" fillId="0" borderId="0" xfId="98" applyNumberFormat="1" applyFont="1" applyAlignment="1">
      <alignment horizontal="right" vertical="top"/>
    </xf>
    <xf numFmtId="49" fontId="13" fillId="0" borderId="0" xfId="98" applyNumberFormat="1" applyFont="1" applyAlignment="1">
      <alignment horizontal="center" vertical="top"/>
    </xf>
    <xf numFmtId="37" fontId="13" fillId="0" borderId="0" xfId="98" applyNumberFormat="1" applyFont="1" applyAlignment="1">
      <alignment horizontal="right" vertical="top"/>
    </xf>
    <xf numFmtId="41" fontId="13" fillId="0" borderId="0" xfId="61" applyNumberFormat="1" applyFont="1" applyAlignment="1">
      <alignment horizontal="right" vertical="top"/>
    </xf>
    <xf numFmtId="164" fontId="5" fillId="0" borderId="0" xfId="61" applyNumberFormat="1" applyFont="1" applyFill="1" applyAlignment="1">
      <alignment vertical="top"/>
    </xf>
    <xf numFmtId="164" fontId="13" fillId="0" borderId="0" xfId="98" applyNumberFormat="1" applyFont="1" applyAlignment="1">
      <alignment vertical="top"/>
    </xf>
    <xf numFmtId="164" fontId="5" fillId="0" borderId="0" xfId="61" applyNumberFormat="1" applyFont="1" applyFill="1" applyAlignment="1">
      <alignment vertical="top" wrapText="1"/>
    </xf>
    <xf numFmtId="0" fontId="5" fillId="0" borderId="0" xfId="61" quotePrefix="1" applyNumberFormat="1" applyFont="1" applyFill="1" applyAlignment="1">
      <alignment vertical="top"/>
    </xf>
    <xf numFmtId="0" fontId="5" fillId="0" borderId="0" xfId="61" applyNumberFormat="1" applyFont="1" applyFill="1" applyAlignment="1">
      <alignment vertical="top"/>
    </xf>
    <xf numFmtId="0" fontId="5" fillId="0" borderId="0" xfId="61" quotePrefix="1" applyNumberFormat="1" applyFont="1" applyFill="1" applyAlignment="1">
      <alignment vertical="top" wrapText="1"/>
    </xf>
    <xf numFmtId="0" fontId="5" fillId="0" borderId="0" xfId="61" applyNumberFormat="1" applyFont="1" applyFill="1" applyAlignment="1">
      <alignment vertical="top" wrapText="1"/>
    </xf>
    <xf numFmtId="37" fontId="13" fillId="0" borderId="0" xfId="98" quotePrefix="1" applyNumberFormat="1" applyFont="1" applyAlignment="1">
      <alignment horizontal="right" vertical="top"/>
    </xf>
    <xf numFmtId="49" fontId="13" fillId="0" borderId="0" xfId="98" applyNumberFormat="1" applyFont="1" applyAlignment="1">
      <alignment vertical="top" wrapText="1"/>
    </xf>
    <xf numFmtId="0" fontId="13" fillId="0" borderId="0" xfId="61" applyNumberFormat="1" applyFont="1" applyFill="1" applyAlignment="1">
      <alignment vertical="top" wrapText="1"/>
    </xf>
    <xf numFmtId="188" fontId="13" fillId="0" borderId="0" xfId="61" applyNumberFormat="1" applyFont="1" applyFill="1" applyAlignment="1">
      <alignment vertical="top"/>
    </xf>
    <xf numFmtId="189" fontId="13" fillId="0" borderId="0" xfId="61" applyNumberFormat="1" applyFont="1" applyFill="1" applyAlignment="1">
      <alignment vertical="top"/>
    </xf>
    <xf numFmtId="164" fontId="13" fillId="0" borderId="0" xfId="61" applyNumberFormat="1" applyFont="1" applyFill="1" applyAlignment="1">
      <alignment vertical="top" wrapText="1"/>
    </xf>
    <xf numFmtId="0" fontId="13" fillId="0" borderId="0" xfId="61" applyNumberFormat="1" applyFont="1" applyFill="1" applyAlignment="1">
      <alignment vertical="top"/>
    </xf>
    <xf numFmtId="49" fontId="13" fillId="0" borderId="0" xfId="98" applyNumberFormat="1" applyFont="1"/>
    <xf numFmtId="49" fontId="13" fillId="0" borderId="0" xfId="98" applyNumberFormat="1" applyFont="1" applyAlignment="1">
      <alignment horizontal="right"/>
    </xf>
    <xf numFmtId="49" fontId="13" fillId="0" borderId="0" xfId="98" applyNumberFormat="1" applyFont="1" applyAlignment="1">
      <alignment horizontal="center"/>
    </xf>
    <xf numFmtId="41" fontId="13" fillId="0" borderId="0" xfId="61" applyNumberFormat="1" applyFont="1" applyAlignment="1">
      <alignment horizontal="right"/>
    </xf>
    <xf numFmtId="3" fontId="13" fillId="0" borderId="0" xfId="98" applyNumberFormat="1" applyFont="1"/>
    <xf numFmtId="37" fontId="13" fillId="0" borderId="0" xfId="61" applyNumberFormat="1" applyFont="1" applyFill="1" applyAlignment="1">
      <alignment vertical="top"/>
    </xf>
    <xf numFmtId="164" fontId="5" fillId="0" borderId="0" xfId="61" applyNumberFormat="1" applyFill="1" applyAlignment="1">
      <alignment vertical="top"/>
    </xf>
    <xf numFmtId="49" fontId="6" fillId="0" borderId="0" xfId="98" applyNumberFormat="1" applyFont="1"/>
    <xf numFmtId="49" fontId="6" fillId="0" borderId="0" xfId="98" applyNumberFormat="1" applyFont="1" applyAlignment="1">
      <alignment horizontal="right"/>
    </xf>
    <xf numFmtId="41" fontId="6" fillId="0" borderId="0" xfId="61" applyNumberFormat="1" applyFont="1" applyAlignment="1">
      <alignment horizontal="right"/>
    </xf>
    <xf numFmtId="49" fontId="6" fillId="0" borderId="0" xfId="98" applyNumberFormat="1" applyFont="1" applyAlignment="1">
      <alignment horizontal="center"/>
    </xf>
    <xf numFmtId="0" fontId="5" fillId="0" borderId="0" xfId="98" applyAlignment="1">
      <alignment horizontal="center" vertical="top"/>
    </xf>
    <xf numFmtId="37" fontId="5" fillId="0" borderId="0" xfId="61" applyNumberFormat="1" applyFill="1" applyAlignment="1">
      <alignment horizontal="center" vertical="top"/>
    </xf>
    <xf numFmtId="49" fontId="6" fillId="0" borderId="0" xfId="98" quotePrefix="1" applyNumberFormat="1" applyFont="1" applyAlignment="1">
      <alignment horizontal="left"/>
    </xf>
    <xf numFmtId="49" fontId="6" fillId="0" borderId="0" xfId="98" quotePrefix="1" applyNumberFormat="1" applyFont="1" applyAlignment="1">
      <alignment horizontal="right"/>
    </xf>
    <xf numFmtId="0" fontId="6" fillId="0" borderId="0" xfId="98" applyFont="1" applyAlignment="1">
      <alignment vertical="top"/>
    </xf>
    <xf numFmtId="0" fontId="6" fillId="0" borderId="0" xfId="98" applyFont="1" applyAlignment="1">
      <alignment horizontal="right" vertical="top"/>
    </xf>
    <xf numFmtId="164" fontId="6" fillId="0" borderId="70" xfId="61" applyNumberFormat="1" applyFont="1" applyFill="1" applyBorder="1" applyAlignment="1">
      <alignment vertical="top"/>
    </xf>
    <xf numFmtId="164" fontId="6" fillId="0" borderId="0" xfId="61" applyNumberFormat="1" applyFont="1" applyFill="1" applyBorder="1" applyAlignment="1">
      <alignment vertical="top"/>
    </xf>
    <xf numFmtId="164" fontId="5" fillId="0" borderId="0" xfId="61" applyNumberFormat="1"/>
    <xf numFmtId="0" fontId="5" fillId="0" borderId="0" xfId="98" applyAlignment="1">
      <alignment horizontal="right"/>
    </xf>
    <xf numFmtId="37" fontId="5" fillId="0" borderId="0" xfId="98" applyNumberFormat="1"/>
    <xf numFmtId="0" fontId="6" fillId="0" borderId="0" xfId="98" applyFont="1" applyAlignment="1">
      <alignment horizontal="left" vertical="top"/>
    </xf>
    <xf numFmtId="0" fontId="5" fillId="0" borderId="0" xfId="98" quotePrefix="1" applyAlignment="1">
      <alignment horizontal="right"/>
    </xf>
    <xf numFmtId="176" fontId="5" fillId="0" borderId="0" xfId="113" applyNumberFormat="1"/>
    <xf numFmtId="164" fontId="5" fillId="0" borderId="0" xfId="61" applyNumberFormat="1" applyAlignment="1">
      <alignment horizontal="right"/>
    </xf>
    <xf numFmtId="186" fontId="5" fillId="0" borderId="0" xfId="61"/>
    <xf numFmtId="186" fontId="5" fillId="0" borderId="0" xfId="61" applyAlignment="1">
      <alignment horizontal="right"/>
    </xf>
    <xf numFmtId="43" fontId="5" fillId="0" borderId="0" xfId="61" applyNumberFormat="1"/>
    <xf numFmtId="43" fontId="5" fillId="0" borderId="0" xfId="61" applyNumberFormat="1" applyAlignment="1">
      <alignment horizontal="right"/>
    </xf>
    <xf numFmtId="0" fontId="5" fillId="0" borderId="18" xfId="98" applyBorder="1"/>
    <xf numFmtId="164" fontId="5" fillId="0" borderId="17" xfId="61" applyNumberFormat="1" applyBorder="1"/>
    <xf numFmtId="0" fontId="5" fillId="0" borderId="71" xfId="98" applyBorder="1"/>
    <xf numFmtId="0" fontId="5" fillId="0" borderId="59" xfId="98" applyBorder="1"/>
    <xf numFmtId="0" fontId="5" fillId="0" borderId="17" xfId="98" applyBorder="1"/>
    <xf numFmtId="0" fontId="6" fillId="0" borderId="25" xfId="98" applyFont="1" applyBorder="1" applyAlignment="1">
      <alignment horizontal="center"/>
    </xf>
    <xf numFmtId="0" fontId="6" fillId="0" borderId="26" xfId="98" quotePrefix="1" applyFont="1" applyBorder="1" applyAlignment="1">
      <alignment horizontal="center"/>
    </xf>
    <xf numFmtId="0" fontId="6" fillId="0" borderId="26" xfId="98" applyFont="1" applyBorder="1" applyAlignment="1">
      <alignment horizontal="center"/>
    </xf>
    <xf numFmtId="164" fontId="6" fillId="0" borderId="29" xfId="61" applyNumberFormat="1" applyFont="1" applyBorder="1" applyAlignment="1">
      <alignment horizontal="center"/>
    </xf>
    <xf numFmtId="0" fontId="6" fillId="0" borderId="52" xfId="98" applyFont="1" applyBorder="1" applyAlignment="1">
      <alignment horizontal="center"/>
    </xf>
    <xf numFmtId="0" fontId="6" fillId="0" borderId="68" xfId="98" quotePrefix="1" applyFont="1" applyBorder="1" applyAlignment="1">
      <alignment horizontal="center"/>
    </xf>
    <xf numFmtId="0" fontId="6" fillId="0" borderId="47" xfId="98" applyFont="1" applyBorder="1" applyAlignment="1">
      <alignment horizontal="center"/>
    </xf>
    <xf numFmtId="0" fontId="6" fillId="0" borderId="68" xfId="98" applyFont="1" applyBorder="1" applyAlignment="1">
      <alignment horizontal="center"/>
    </xf>
    <xf numFmtId="0" fontId="6" fillId="0" borderId="29" xfId="98" applyFont="1" applyBorder="1" applyAlignment="1">
      <alignment horizontal="center"/>
    </xf>
    <xf numFmtId="0" fontId="6" fillId="0" borderId="0" xfId="98" quotePrefix="1" applyFont="1" applyAlignment="1">
      <alignment horizontal="center"/>
    </xf>
    <xf numFmtId="164" fontId="6" fillId="0" borderId="0" xfId="61" applyNumberFormat="1" applyFont="1" applyBorder="1" applyAlignment="1">
      <alignment horizontal="center"/>
    </xf>
    <xf numFmtId="164" fontId="6" fillId="0" borderId="0" xfId="61" quotePrefix="1" applyNumberFormat="1" applyFont="1" applyBorder="1" applyAlignment="1">
      <alignment horizontal="center"/>
    </xf>
    <xf numFmtId="0" fontId="6" fillId="0" borderId="0" xfId="98" quotePrefix="1" applyFont="1" applyAlignment="1">
      <alignment horizontal="right"/>
    </xf>
    <xf numFmtId="0" fontId="6" fillId="0" borderId="0" xfId="98" applyFont="1" applyAlignment="1">
      <alignment horizontal="right"/>
    </xf>
    <xf numFmtId="164" fontId="13" fillId="0" borderId="0" xfId="61" applyNumberFormat="1" applyFont="1" applyBorder="1" applyAlignment="1">
      <alignment horizontal="center"/>
    </xf>
    <xf numFmtId="164" fontId="5" fillId="0" borderId="0" xfId="61" applyNumberFormat="1" applyFont="1"/>
    <xf numFmtId="164" fontId="5" fillId="0" borderId="0" xfId="61" quotePrefix="1" applyNumberFormat="1" applyFont="1" applyAlignment="1">
      <alignment horizontal="right"/>
    </xf>
    <xf numFmtId="164" fontId="5" fillId="0" borderId="0" xfId="61" applyNumberFormat="1" applyFill="1"/>
    <xf numFmtId="0" fontId="6" fillId="0" borderId="0" xfId="98" applyFont="1"/>
    <xf numFmtId="164" fontId="6" fillId="0" borderId="0" xfId="61" applyNumberFormat="1" applyFont="1"/>
    <xf numFmtId="0" fontId="5" fillId="0" borderId="0" xfId="99"/>
    <xf numFmtId="0" fontId="6" fillId="46" borderId="76" xfId="99" applyFont="1" applyFill="1" applyBorder="1" applyAlignment="1">
      <alignment horizontal="center"/>
    </xf>
    <xf numFmtId="0" fontId="6" fillId="46" borderId="27" xfId="99" applyFont="1" applyFill="1" applyBorder="1" applyAlignment="1">
      <alignment horizontal="center"/>
    </xf>
    <xf numFmtId="0" fontId="6" fillId="46" borderId="46" xfId="99" applyFont="1" applyFill="1" applyBorder="1" applyAlignment="1">
      <alignment horizontal="center"/>
    </xf>
    <xf numFmtId="0" fontId="6" fillId="46" borderId="28" xfId="99" applyFont="1" applyFill="1" applyBorder="1" applyAlignment="1">
      <alignment horizontal="center"/>
    </xf>
    <xf numFmtId="0" fontId="6" fillId="46" borderId="27" xfId="99" quotePrefix="1" applyFont="1" applyFill="1" applyBorder="1" applyAlignment="1">
      <alignment horizontal="center"/>
    </xf>
    <xf numFmtId="0" fontId="6" fillId="46" borderId="28" xfId="99" quotePrefix="1" applyFont="1" applyFill="1" applyBorder="1" applyAlignment="1">
      <alignment horizontal="center"/>
    </xf>
    <xf numFmtId="0" fontId="6" fillId="46" borderId="77" xfId="99" applyFont="1" applyFill="1" applyBorder="1" applyAlignment="1">
      <alignment horizontal="center"/>
    </xf>
    <xf numFmtId="0" fontId="6" fillId="46" borderId="25" xfId="99" applyFont="1" applyFill="1" applyBorder="1" applyAlignment="1">
      <alignment horizontal="center"/>
    </xf>
    <xf numFmtId="0" fontId="6" fillId="46" borderId="50" xfId="99" applyFont="1" applyFill="1" applyBorder="1" applyAlignment="1">
      <alignment horizontal="center"/>
    </xf>
    <xf numFmtId="0" fontId="6" fillId="46" borderId="26" xfId="99" applyFont="1" applyFill="1" applyBorder="1" applyAlignment="1">
      <alignment horizontal="center"/>
    </xf>
    <xf numFmtId="0" fontId="6" fillId="46" borderId="25" xfId="99" quotePrefix="1" applyFont="1" applyFill="1" applyBorder="1" applyAlignment="1">
      <alignment horizontal="center"/>
    </xf>
    <xf numFmtId="0" fontId="5" fillId="0" borderId="27" xfId="99" applyBorder="1"/>
    <xf numFmtId="0" fontId="5" fillId="0" borderId="46" xfId="99" applyBorder="1"/>
    <xf numFmtId="0" fontId="5" fillId="0" borderId="28" xfId="99" applyBorder="1"/>
    <xf numFmtId="0" fontId="5" fillId="0" borderId="76" xfId="99" applyBorder="1"/>
    <xf numFmtId="0" fontId="6" fillId="0" borderId="0" xfId="99" applyFont="1"/>
    <xf numFmtId="39" fontId="0" fillId="0" borderId="18" xfId="0" applyNumberFormat="1" applyBorder="1"/>
    <xf numFmtId="39" fontId="5" fillId="0" borderId="18" xfId="99" applyNumberFormat="1" applyBorder="1"/>
    <xf numFmtId="176" fontId="5" fillId="0" borderId="75" xfId="99" applyNumberFormat="1" applyBorder="1" applyAlignment="1">
      <alignment horizontal="right"/>
    </xf>
    <xf numFmtId="0" fontId="5" fillId="0" borderId="18" xfId="99" applyBorder="1"/>
    <xf numFmtId="0" fontId="5" fillId="0" borderId="75" xfId="99" applyBorder="1"/>
    <xf numFmtId="10" fontId="5" fillId="0" borderId="75" xfId="99" applyNumberFormat="1" applyBorder="1" applyAlignment="1">
      <alignment horizontal="right"/>
    </xf>
    <xf numFmtId="0" fontId="6" fillId="0" borderId="0" xfId="99" quotePrefix="1" applyFont="1" applyAlignment="1">
      <alignment horizontal="left"/>
    </xf>
    <xf numFmtId="10" fontId="5" fillId="0" borderId="18" xfId="112" applyNumberFormat="1" applyBorder="1"/>
    <xf numFmtId="10" fontId="5" fillId="0" borderId="18" xfId="111" applyNumberFormat="1" applyBorder="1"/>
    <xf numFmtId="0" fontId="5" fillId="0" borderId="0" xfId="99" quotePrefix="1" applyAlignment="1">
      <alignment horizontal="center"/>
    </xf>
    <xf numFmtId="0" fontId="5" fillId="0" borderId="75" xfId="99" quotePrefix="1" applyBorder="1" applyAlignment="1">
      <alignment horizontal="center"/>
    </xf>
    <xf numFmtId="0" fontId="5" fillId="0" borderId="18" xfId="99" quotePrefix="1" applyBorder="1" applyAlignment="1">
      <alignment horizontal="center"/>
    </xf>
    <xf numFmtId="10" fontId="0" fillId="0" borderId="25" xfId="0" applyNumberFormat="1" applyBorder="1"/>
    <xf numFmtId="10" fontId="5" fillId="0" borderId="25" xfId="99" applyNumberFormat="1" applyBorder="1"/>
    <xf numFmtId="10" fontId="5" fillId="0" borderId="50" xfId="99" applyNumberFormat="1" applyBorder="1" applyAlignment="1">
      <alignment horizontal="right"/>
    </xf>
    <xf numFmtId="0" fontId="5" fillId="0" borderId="26" xfId="99" quotePrefix="1" applyBorder="1" applyAlignment="1">
      <alignment horizontal="center"/>
    </xf>
    <xf numFmtId="0" fontId="5" fillId="0" borderId="50" xfId="99" quotePrefix="1" applyBorder="1" applyAlignment="1">
      <alignment horizontal="center"/>
    </xf>
    <xf numFmtId="0" fontId="5" fillId="0" borderId="25" xfId="99" quotePrefix="1" applyBorder="1" applyAlignment="1">
      <alignment horizontal="center"/>
    </xf>
    <xf numFmtId="0" fontId="6" fillId="46" borderId="36" xfId="0" applyFont="1" applyFill="1" applyBorder="1" applyAlignment="1">
      <alignment horizontal="center"/>
    </xf>
    <xf numFmtId="0" fontId="6" fillId="46" borderId="37" xfId="0" applyFont="1" applyFill="1" applyBorder="1" applyAlignment="1">
      <alignment horizontal="center"/>
    </xf>
    <xf numFmtId="0" fontId="6" fillId="46" borderId="38" xfId="0" applyFont="1" applyFill="1" applyBorder="1" applyAlignment="1">
      <alignment horizontal="center"/>
    </xf>
    <xf numFmtId="0" fontId="0" fillId="0" borderId="80" xfId="0" applyBorder="1"/>
    <xf numFmtId="0" fontId="0" fillId="0" borderId="42" xfId="0" applyBorder="1"/>
    <xf numFmtId="0" fontId="13" fillId="0" borderId="73" xfId="0" quotePrefix="1" applyFont="1" applyBorder="1" applyAlignment="1">
      <alignment horizontal="left" vertical="top" wrapText="1" indent="3"/>
    </xf>
    <xf numFmtId="176" fontId="0" fillId="0" borderId="69" xfId="0" applyNumberFormat="1" applyBorder="1" applyAlignment="1">
      <alignment horizontal="right" vertical="top" wrapText="1"/>
    </xf>
    <xf numFmtId="176" fontId="0" fillId="0" borderId="19" xfId="0" applyNumberFormat="1" applyBorder="1" applyAlignment="1">
      <alignment horizontal="right" vertical="top" wrapText="1"/>
    </xf>
    <xf numFmtId="0" fontId="13" fillId="0" borderId="73" xfId="0" applyFont="1" applyBorder="1" applyAlignment="1">
      <alignment horizontal="left" vertical="top" wrapText="1" indent="3"/>
    </xf>
    <xf numFmtId="176" fontId="0" fillId="0" borderId="19" xfId="0" applyNumberFormat="1" applyBorder="1" applyAlignment="1">
      <alignment horizontal="right" vertical="top"/>
    </xf>
    <xf numFmtId="176" fontId="0" fillId="0" borderId="19" xfId="0" applyNumberFormat="1" applyBorder="1" applyAlignment="1">
      <alignment horizontal="right"/>
    </xf>
    <xf numFmtId="0" fontId="13" fillId="0" borderId="52" xfId="0" applyFont="1" applyBorder="1" applyAlignment="1">
      <alignment horizontal="left" vertical="top" wrapText="1" indent="3"/>
    </xf>
    <xf numFmtId="176" fontId="0" fillId="0" borderId="47" xfId="0" applyNumberFormat="1" applyBorder="1" applyAlignment="1">
      <alignment horizontal="right" vertical="top" wrapText="1"/>
    </xf>
    <xf numFmtId="176" fontId="0" fillId="0" borderId="49" xfId="0" applyNumberFormat="1" applyBorder="1" applyAlignment="1">
      <alignment horizontal="right" vertical="top" wrapText="1"/>
    </xf>
    <xf numFmtId="0" fontId="13" fillId="0" borderId="0" xfId="0" applyFont="1" applyAlignment="1">
      <alignment horizontal="left" vertical="top" wrapText="1" indent="3"/>
    </xf>
    <xf numFmtId="176" fontId="0" fillId="0" borderId="0" xfId="0" applyNumberFormat="1" applyAlignment="1">
      <alignment horizontal="right" vertical="top" wrapText="1"/>
    </xf>
    <xf numFmtId="0" fontId="6" fillId="0" borderId="80" xfId="0" applyFont="1" applyBorder="1" applyAlignment="1">
      <alignment horizontal="center"/>
    </xf>
    <xf numFmtId="0" fontId="6" fillId="0" borderId="75" xfId="0" applyFont="1" applyBorder="1" applyAlignment="1">
      <alignment horizontal="center"/>
    </xf>
    <xf numFmtId="10" fontId="0" fillId="0" borderId="0" xfId="0" applyNumberFormat="1" applyAlignment="1">
      <alignment horizontal="right" vertical="top" wrapText="1"/>
    </xf>
    <xf numFmtId="10" fontId="0" fillId="0" borderId="75" xfId="0" applyNumberFormat="1" applyBorder="1" applyAlignment="1">
      <alignment horizontal="right" vertical="top"/>
    </xf>
    <xf numFmtId="10" fontId="0" fillId="0" borderId="26" xfId="0" applyNumberFormat="1" applyBorder="1" applyAlignment="1">
      <alignment horizontal="right" vertical="top" wrapText="1"/>
    </xf>
    <xf numFmtId="10" fontId="0" fillId="0" borderId="50" xfId="0" applyNumberFormat="1" applyBorder="1" applyAlignment="1">
      <alignment horizontal="right" vertical="top"/>
    </xf>
    <xf numFmtId="10" fontId="0" fillId="0" borderId="0" xfId="0" applyNumberFormat="1" applyAlignment="1">
      <alignment horizontal="right"/>
    </xf>
    <xf numFmtId="0" fontId="6" fillId="0" borderId="44" xfId="0" applyFont="1" applyBorder="1" applyAlignment="1">
      <alignment horizontal="center"/>
    </xf>
    <xf numFmtId="10" fontId="0" fillId="0" borderId="75" xfId="0" applyNumberFormat="1" applyBorder="1" applyAlignment="1">
      <alignment horizontal="right"/>
    </xf>
    <xf numFmtId="17" fontId="0" fillId="46" borderId="0" xfId="0" applyNumberFormat="1" applyFill="1"/>
    <xf numFmtId="0" fontId="5" fillId="0" borderId="0" xfId="99" applyAlignment="1">
      <alignment horizontal="left"/>
    </xf>
    <xf numFmtId="176" fontId="5" fillId="0" borderId="0" xfId="111" applyNumberFormat="1" applyFill="1"/>
    <xf numFmtId="190" fontId="13" fillId="49" borderId="0" xfId="0" applyNumberFormat="1" applyFont="1" applyFill="1" applyAlignment="1">
      <alignment horizontal="center" vertical="top"/>
    </xf>
    <xf numFmtId="190" fontId="13" fillId="0" borderId="0" xfId="98" applyNumberFormat="1" applyFont="1" applyAlignment="1">
      <alignment horizontal="right" vertical="top"/>
    </xf>
    <xf numFmtId="190" fontId="13" fillId="0" borderId="0" xfId="98" applyNumberFormat="1" applyFont="1" applyAlignment="1">
      <alignment horizontal="right" vertical="top" wrapText="1"/>
    </xf>
    <xf numFmtId="39" fontId="5" fillId="0" borderId="0" xfId="107" applyNumberFormat="1" applyAlignment="1">
      <alignment horizontal="right"/>
    </xf>
    <xf numFmtId="10" fontId="5" fillId="0" borderId="0" xfId="107" applyFill="1"/>
    <xf numFmtId="43" fontId="6" fillId="0" borderId="4" xfId="57" applyFont="1" applyFill="1" applyBorder="1" applyAlignment="1">
      <alignment horizontal="center"/>
    </xf>
    <xf numFmtId="0" fontId="13" fillId="0" borderId="0" xfId="0" quotePrefix="1" applyFont="1" applyAlignment="1">
      <alignment horizontal="center"/>
    </xf>
    <xf numFmtId="164" fontId="6" fillId="0" borderId="4" xfId="57" applyNumberFormat="1" applyFont="1" applyFill="1" applyBorder="1" applyAlignment="1">
      <alignment horizontal="center"/>
    </xf>
    <xf numFmtId="181" fontId="17" fillId="0" borderId="16" xfId="0" applyNumberFormat="1" applyFont="1" applyBorder="1"/>
    <xf numFmtId="44" fontId="17" fillId="0" borderId="17" xfId="0" applyNumberFormat="1" applyFont="1" applyBorder="1"/>
    <xf numFmtId="44" fontId="22" fillId="0" borderId="35" xfId="0" applyNumberFormat="1" applyFont="1" applyBorder="1"/>
    <xf numFmtId="0" fontId="0" fillId="0" borderId="0" xfId="0" applyAlignment="1">
      <alignment horizontal="centerContinuous"/>
    </xf>
    <xf numFmtId="0" fontId="0" fillId="48" borderId="27" xfId="0" applyFill="1" applyBorder="1" applyAlignment="1">
      <alignment horizontal="center"/>
    </xf>
    <xf numFmtId="0" fontId="6" fillId="48" borderId="41" xfId="0" applyFont="1" applyFill="1" applyBorder="1" applyAlignment="1">
      <alignment horizontal="centerContinuous"/>
    </xf>
    <xf numFmtId="0" fontId="6" fillId="48" borderId="26" xfId="0" applyFont="1" applyFill="1" applyBorder="1" applyAlignment="1">
      <alignment horizontal="center"/>
    </xf>
    <xf numFmtId="0" fontId="42" fillId="48" borderId="29" xfId="0" applyFont="1" applyFill="1" applyBorder="1" applyAlignment="1">
      <alignment horizontal="center" wrapText="1"/>
    </xf>
    <xf numFmtId="14" fontId="0" fillId="0" borderId="18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8" xfId="0" quotePrefix="1" applyNumberFormat="1" applyBorder="1"/>
    <xf numFmtId="43" fontId="0" fillId="0" borderId="17" xfId="0" applyNumberFormat="1" applyBorder="1" applyAlignment="1">
      <alignment horizontal="center"/>
    </xf>
    <xf numFmtId="43" fontId="0" fillId="0" borderId="17" xfId="0" applyNumberFormat="1" applyBorder="1"/>
    <xf numFmtId="43" fontId="0" fillId="0" borderId="0" xfId="0" quotePrefix="1" applyNumberFormat="1"/>
    <xf numFmtId="17" fontId="0" fillId="0" borderId="18" xfId="0" quotePrefix="1" applyNumberFormat="1" applyBorder="1"/>
    <xf numFmtId="43" fontId="0" fillId="0" borderId="0" xfId="0" applyNumberFormat="1" applyAlignment="1">
      <alignment wrapText="1"/>
    </xf>
    <xf numFmtId="14" fontId="0" fillId="0" borderId="18" xfId="0" applyNumberFormat="1" applyBorder="1"/>
    <xf numFmtId="43" fontId="0" fillId="0" borderId="0" xfId="0" applyNumberFormat="1" applyAlignment="1">
      <alignment horizontal="center"/>
    </xf>
    <xf numFmtId="43" fontId="0" fillId="0" borderId="16" xfId="0" applyNumberFormat="1" applyBorder="1" applyAlignment="1">
      <alignment horizontal="center"/>
    </xf>
    <xf numFmtId="43" fontId="0" fillId="0" borderId="40" xfId="0" applyNumberFormat="1" applyBorder="1" applyAlignment="1">
      <alignment horizontal="center"/>
    </xf>
    <xf numFmtId="43" fontId="6" fillId="0" borderId="0" xfId="0" applyNumberFormat="1" applyFont="1"/>
    <xf numFmtId="0" fontId="0" fillId="0" borderId="29" xfId="0" applyBorder="1"/>
    <xf numFmtId="164" fontId="13" fillId="0" borderId="24" xfId="61" applyNumberFormat="1" applyFont="1" applyBorder="1" applyAlignment="1">
      <alignment horizontal="right"/>
    </xf>
    <xf numFmtId="164" fontId="13" fillId="0" borderId="17" xfId="61" applyNumberFormat="1" applyFont="1" applyBorder="1" applyAlignment="1">
      <alignment horizontal="right"/>
    </xf>
    <xf numFmtId="164" fontId="13" fillId="0" borderId="40" xfId="61" applyNumberFormat="1" applyFont="1" applyFill="1" applyBorder="1" applyAlignment="1"/>
    <xf numFmtId="37" fontId="13" fillId="0" borderId="71" xfId="98" applyNumberFormat="1" applyFont="1" applyBorder="1"/>
    <xf numFmtId="164" fontId="13" fillId="0" borderId="81" xfId="61" applyNumberFormat="1" applyFont="1" applyBorder="1" applyAlignment="1">
      <alignment horizontal="right"/>
    </xf>
    <xf numFmtId="37" fontId="5" fillId="0" borderId="81" xfId="98" applyNumberFormat="1" applyBorder="1"/>
    <xf numFmtId="41" fontId="5" fillId="0" borderId="0" xfId="98" applyNumberFormat="1" applyAlignment="1">
      <alignment vertical="top"/>
    </xf>
    <xf numFmtId="41" fontId="13" fillId="0" borderId="0" xfId="98" applyNumberFormat="1" applyFont="1" applyAlignment="1">
      <alignment vertical="top"/>
    </xf>
    <xf numFmtId="41" fontId="13" fillId="0" borderId="0" xfId="98" applyNumberFormat="1" applyFont="1"/>
    <xf numFmtId="41" fontId="5" fillId="0" borderId="0" xfId="98" applyNumberFormat="1"/>
    <xf numFmtId="41" fontId="5" fillId="0" borderId="0" xfId="98" quotePrefix="1" applyNumberFormat="1" applyAlignment="1">
      <alignment horizontal="left"/>
    </xf>
    <xf numFmtId="41" fontId="13" fillId="0" borderId="0" xfId="61" applyNumberFormat="1" applyFont="1" applyFill="1" applyAlignment="1"/>
    <xf numFmtId="41" fontId="13" fillId="0" borderId="0" xfId="113" quotePrefix="1" applyNumberFormat="1" applyFont="1" applyFill="1" applyAlignment="1">
      <alignment horizontal="left"/>
    </xf>
    <xf numFmtId="41" fontId="13" fillId="0" borderId="0" xfId="61" applyNumberFormat="1" applyFont="1" applyFill="1" applyAlignment="1">
      <alignment vertical="top"/>
    </xf>
    <xf numFmtId="41" fontId="5" fillId="0" borderId="0" xfId="98" applyNumberFormat="1" applyAlignment="1">
      <alignment horizontal="center" vertical="top"/>
    </xf>
    <xf numFmtId="0" fontId="13" fillId="0" borderId="0" xfId="0" applyFont="1" applyAlignment="1">
      <alignment vertical="center"/>
    </xf>
    <xf numFmtId="0" fontId="0" fillId="0" borderId="0" xfId="61" applyNumberFormat="1" applyFont="1" applyFill="1" applyAlignment="1">
      <alignment vertical="top" wrapText="1"/>
    </xf>
    <xf numFmtId="164" fontId="0" fillId="0" borderId="0" xfId="61" applyNumberFormat="1" applyFont="1"/>
    <xf numFmtId="164" fontId="17" fillId="0" borderId="0" xfId="60" applyNumberFormat="1" applyFont="1"/>
    <xf numFmtId="164" fontId="39" fillId="0" borderId="0" xfId="60" applyNumberFormat="1"/>
    <xf numFmtId="164" fontId="22" fillId="46" borderId="76" xfId="60" applyNumberFormat="1" applyFont="1" applyFill="1" applyBorder="1" applyAlignment="1">
      <alignment horizontal="left" vertical="center"/>
    </xf>
    <xf numFmtId="164" fontId="22" fillId="46" borderId="52" xfId="60" applyNumberFormat="1" applyFont="1" applyFill="1" applyBorder="1" applyAlignment="1">
      <alignment horizontal="center"/>
    </xf>
    <xf numFmtId="164" fontId="6" fillId="46" borderId="29" xfId="60" applyNumberFormat="1" applyFont="1" applyFill="1" applyBorder="1" applyAlignment="1">
      <alignment horizontal="center"/>
    </xf>
    <xf numFmtId="164" fontId="22" fillId="46" borderId="52" xfId="60" applyNumberFormat="1" applyFont="1" applyFill="1" applyBorder="1" applyAlignment="1">
      <alignment horizontal="center" wrapText="1"/>
    </xf>
    <xf numFmtId="164" fontId="22" fillId="46" borderId="26" xfId="60" quotePrefix="1" applyNumberFormat="1" applyFont="1" applyFill="1" applyBorder="1" applyAlignment="1">
      <alignment horizontal="center" wrapText="1"/>
    </xf>
    <xf numFmtId="164" fontId="22" fillId="46" borderId="47" xfId="60" quotePrefix="1" applyNumberFormat="1" applyFont="1" applyFill="1" applyBorder="1" applyAlignment="1">
      <alignment horizontal="center" wrapText="1"/>
    </xf>
    <xf numFmtId="164" fontId="22" fillId="46" borderId="26" xfId="60" applyNumberFormat="1" applyFont="1" applyFill="1" applyBorder="1" applyAlignment="1">
      <alignment horizontal="center" wrapText="1"/>
    </xf>
    <xf numFmtId="164" fontId="22" fillId="46" borderId="78" xfId="60" quotePrefix="1" applyNumberFormat="1" applyFont="1" applyFill="1" applyBorder="1" applyAlignment="1">
      <alignment horizontal="center" wrapText="1"/>
    </xf>
    <xf numFmtId="164" fontId="22" fillId="46" borderId="82" xfId="60" quotePrefix="1" applyNumberFormat="1" applyFont="1" applyFill="1" applyBorder="1" applyAlignment="1">
      <alignment horizontal="center" wrapText="1"/>
    </xf>
    <xf numFmtId="164" fontId="22" fillId="46" borderId="29" xfId="60" applyNumberFormat="1" applyFont="1" applyFill="1" applyBorder="1" applyAlignment="1">
      <alignment horizontal="center" wrapText="1"/>
    </xf>
    <xf numFmtId="164" fontId="22" fillId="46" borderId="48" xfId="60" applyNumberFormat="1" applyFont="1" applyFill="1" applyBorder="1" applyAlignment="1">
      <alignment horizontal="center" wrapText="1"/>
    </xf>
    <xf numFmtId="164" fontId="22" fillId="46" borderId="47" xfId="60" applyNumberFormat="1" applyFont="1" applyFill="1" applyBorder="1" applyAlignment="1">
      <alignment horizontal="center" wrapText="1"/>
    </xf>
    <xf numFmtId="164" fontId="22" fillId="46" borderId="50" xfId="60" applyNumberFormat="1" applyFont="1" applyFill="1" applyBorder="1" applyAlignment="1">
      <alignment horizontal="center" wrapText="1"/>
    </xf>
    <xf numFmtId="164" fontId="22" fillId="46" borderId="77" xfId="60" applyNumberFormat="1" applyFont="1" applyFill="1" applyBorder="1" applyAlignment="1">
      <alignment horizontal="center"/>
    </xf>
    <xf numFmtId="164" fontId="17" fillId="0" borderId="71" xfId="60" applyNumberFormat="1" applyFont="1" applyBorder="1" applyAlignment="1">
      <alignment vertical="top"/>
    </xf>
    <xf numFmtId="164" fontId="17" fillId="0" borderId="75" xfId="60" applyNumberFormat="1" applyFont="1" applyBorder="1" applyAlignment="1">
      <alignment vertical="top"/>
    </xf>
    <xf numFmtId="164" fontId="17" fillId="0" borderId="73" xfId="60" applyNumberFormat="1" applyFont="1" applyBorder="1" applyAlignment="1">
      <alignment vertical="top"/>
    </xf>
    <xf numFmtId="164" fontId="17" fillId="0" borderId="69" xfId="60" applyNumberFormat="1" applyFont="1" applyBorder="1" applyAlignment="1">
      <alignment vertical="top"/>
    </xf>
    <xf numFmtId="164" fontId="17" fillId="0" borderId="30" xfId="60" applyNumberFormat="1" applyFont="1" applyBorder="1" applyAlignment="1">
      <alignment vertical="top"/>
    </xf>
    <xf numFmtId="164" fontId="17" fillId="0" borderId="43" xfId="60" applyNumberFormat="1" applyFont="1" applyBorder="1" applyAlignment="1">
      <alignment vertical="top"/>
    </xf>
    <xf numFmtId="164" fontId="17" fillId="0" borderId="44" xfId="60" applyNumberFormat="1" applyFont="1" applyBorder="1" applyAlignment="1">
      <alignment vertical="top"/>
    </xf>
    <xf numFmtId="164" fontId="17" fillId="0" borderId="17" xfId="60" applyNumberFormat="1" applyFont="1" applyBorder="1" applyAlignment="1">
      <alignment vertical="top"/>
    </xf>
    <xf numFmtId="164" fontId="17" fillId="0" borderId="0" xfId="60" applyNumberFormat="1" applyFont="1" applyBorder="1" applyAlignment="1">
      <alignment vertical="top"/>
    </xf>
    <xf numFmtId="0" fontId="17" fillId="0" borderId="83" xfId="60" applyNumberFormat="1" applyFont="1" applyBorder="1" applyAlignment="1">
      <alignment horizontal="left" vertical="top" wrapText="1"/>
    </xf>
    <xf numFmtId="164" fontId="17" fillId="0" borderId="19" xfId="60" applyNumberFormat="1" applyFont="1" applyBorder="1" applyAlignment="1">
      <alignment vertical="top"/>
    </xf>
    <xf numFmtId="164" fontId="17" fillId="0" borderId="83" xfId="60" applyNumberFormat="1" applyFont="1" applyBorder="1" applyAlignment="1">
      <alignment vertical="top" wrapText="1"/>
    </xf>
    <xf numFmtId="164" fontId="17" fillId="0" borderId="81" xfId="60" applyNumberFormat="1" applyFont="1" applyBorder="1" applyAlignment="1">
      <alignment vertical="top"/>
    </xf>
    <xf numFmtId="164" fontId="17" fillId="0" borderId="40" xfId="60" applyNumberFormat="1" applyFont="1" applyBorder="1" applyAlignment="1">
      <alignment vertical="top"/>
    </xf>
    <xf numFmtId="164" fontId="22" fillId="0" borderId="51" xfId="60" applyNumberFormat="1" applyFont="1" applyBorder="1" applyAlignment="1">
      <alignment vertical="top"/>
    </xf>
    <xf numFmtId="164" fontId="22" fillId="0" borderId="82" xfId="60" applyNumberFormat="1" applyFont="1" applyBorder="1" applyAlignment="1">
      <alignment vertical="top"/>
    </xf>
    <xf numFmtId="164" fontId="22" fillId="0" borderId="78" xfId="60" applyNumberFormat="1" applyFont="1" applyBorder="1" applyAlignment="1">
      <alignment vertical="top"/>
    </xf>
    <xf numFmtId="164" fontId="22" fillId="0" borderId="48" xfId="60" applyNumberFormat="1" applyFont="1" applyBorder="1" applyAlignment="1">
      <alignment vertical="top"/>
    </xf>
    <xf numFmtId="164" fontId="22" fillId="0" borderId="77" xfId="60" applyNumberFormat="1" applyFont="1" applyBorder="1" applyAlignment="1">
      <alignment vertical="top"/>
    </xf>
    <xf numFmtId="164" fontId="6" fillId="0" borderId="0" xfId="60" applyNumberFormat="1" applyFont="1"/>
    <xf numFmtId="164" fontId="17" fillId="0" borderId="18" xfId="60" applyNumberFormat="1" applyFont="1" applyBorder="1" applyAlignment="1">
      <alignment vertical="top"/>
    </xf>
    <xf numFmtId="164" fontId="17" fillId="0" borderId="0" xfId="60" applyNumberFormat="1" applyFont="1" applyAlignment="1">
      <alignment vertical="top"/>
    </xf>
    <xf numFmtId="164" fontId="39" fillId="0" borderId="0" xfId="60" applyNumberFormat="1" applyAlignment="1">
      <alignment vertical="top"/>
    </xf>
    <xf numFmtId="0" fontId="79" fillId="0" borderId="0" xfId="103"/>
    <xf numFmtId="49" fontId="74" fillId="0" borderId="0" xfId="103" applyNumberFormat="1" applyFont="1"/>
    <xf numFmtId="0" fontId="74" fillId="0" borderId="0" xfId="103" applyFont="1"/>
    <xf numFmtId="191" fontId="74" fillId="0" borderId="0" xfId="103" applyNumberFormat="1" applyFont="1"/>
    <xf numFmtId="14" fontId="74" fillId="0" borderId="0" xfId="103" applyNumberFormat="1" applyFont="1"/>
    <xf numFmtId="192" fontId="74" fillId="0" borderId="0" xfId="103" applyNumberFormat="1" applyFont="1"/>
    <xf numFmtId="193" fontId="74" fillId="0" borderId="0" xfId="103" applyNumberFormat="1" applyFont="1"/>
    <xf numFmtId="49" fontId="75" fillId="0" borderId="0" xfId="103" applyNumberFormat="1" applyFont="1"/>
    <xf numFmtId="3" fontId="74" fillId="0" borderId="0" xfId="103" applyNumberFormat="1" applyFont="1"/>
    <xf numFmtId="4" fontId="74" fillId="0" borderId="0" xfId="103" applyNumberFormat="1" applyFont="1"/>
    <xf numFmtId="164" fontId="13" fillId="0" borderId="0" xfId="61" applyNumberFormat="1" applyFont="1"/>
    <xf numFmtId="43" fontId="17" fillId="0" borderId="0" xfId="57" applyFont="1" applyBorder="1" applyAlignment="1">
      <alignment horizontal="right"/>
    </xf>
    <xf numFmtId="43" fontId="5" fillId="0" borderId="20" xfId="57" applyFont="1" applyBorder="1" applyAlignment="1">
      <alignment horizontal="center"/>
    </xf>
    <xf numFmtId="44" fontId="0" fillId="0" borderId="34" xfId="0" applyNumberFormat="1" applyBorder="1"/>
    <xf numFmtId="43" fontId="17" fillId="0" borderId="0" xfId="0" applyNumberFormat="1" applyFont="1" applyAlignment="1">
      <alignment horizontal="right"/>
    </xf>
    <xf numFmtId="43" fontId="0" fillId="0" borderId="20" xfId="57" applyFont="1" applyBorder="1"/>
    <xf numFmtId="14" fontId="17" fillId="0" borderId="18" xfId="0" quotePrefix="1" applyNumberFormat="1" applyFont="1" applyBorder="1" applyAlignment="1">
      <alignment horizontal="center" vertical="top"/>
    </xf>
    <xf numFmtId="16" fontId="17" fillId="0" borderId="0" xfId="0" quotePrefix="1" applyNumberFormat="1" applyFont="1" applyAlignment="1">
      <alignment horizontal="center"/>
    </xf>
    <xf numFmtId="0" fontId="13" fillId="0" borderId="18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43" fontId="5" fillId="47" borderId="0" xfId="57" quotePrefix="1" applyFont="1" applyFill="1" applyAlignment="1">
      <alignment horizontal="center"/>
    </xf>
    <xf numFmtId="13" fontId="5" fillId="47" borderId="0" xfId="57" quotePrefix="1" applyNumberFormat="1" applyFont="1" applyFill="1" applyAlignment="1">
      <alignment horizontal="center"/>
    </xf>
    <xf numFmtId="43" fontId="0" fillId="47" borderId="0" xfId="0" applyNumberFormat="1" applyFill="1"/>
    <xf numFmtId="16" fontId="13" fillId="0" borderId="0" xfId="0" quotePrefix="1" applyNumberFormat="1" applyFont="1" applyAlignment="1">
      <alignment horizontal="center"/>
    </xf>
    <xf numFmtId="43" fontId="13" fillId="0" borderId="17" xfId="0" applyNumberFormat="1" applyFont="1" applyBorder="1"/>
    <xf numFmtId="0" fontId="6" fillId="0" borderId="16" xfId="0" applyFont="1" applyBorder="1" applyAlignment="1">
      <alignment horizontal="center"/>
    </xf>
    <xf numFmtId="43" fontId="80" fillId="0" borderId="0" xfId="57" applyFont="1"/>
    <xf numFmtId="43" fontId="5" fillId="0" borderId="16" xfId="57" applyFont="1" applyBorder="1" applyAlignment="1">
      <alignment horizontal="left"/>
    </xf>
    <xf numFmtId="17" fontId="17" fillId="53" borderId="0" xfId="0" applyNumberFormat="1" applyFont="1" applyFill="1"/>
    <xf numFmtId="43" fontId="17" fillId="53" borderId="0" xfId="57" applyFont="1" applyFill="1" applyBorder="1" applyAlignment="1">
      <alignment horizontal="center"/>
    </xf>
    <xf numFmtId="43" fontId="17" fillId="53" borderId="0" xfId="57" applyFont="1" applyFill="1" applyBorder="1"/>
    <xf numFmtId="43" fontId="17" fillId="53" borderId="0" xfId="0" applyNumberFormat="1" applyFont="1" applyFill="1" applyAlignment="1">
      <alignment horizontal="right"/>
    </xf>
    <xf numFmtId="40" fontId="13" fillId="53" borderId="0" xfId="0" applyNumberFormat="1" applyFont="1" applyFill="1" applyAlignment="1">
      <alignment horizontal="right"/>
    </xf>
    <xf numFmtId="43" fontId="17" fillId="0" borderId="0" xfId="0" applyNumberFormat="1" applyFont="1" applyAlignment="1">
      <alignment horizontal="center"/>
    </xf>
    <xf numFmtId="43" fontId="17" fillId="53" borderId="0" xfId="0" applyNumberFormat="1" applyFont="1" applyFill="1" applyAlignment="1">
      <alignment horizontal="center"/>
    </xf>
    <xf numFmtId="43" fontId="13" fillId="0" borderId="0" xfId="0" applyNumberFormat="1" applyFont="1" applyAlignment="1">
      <alignment horizontal="center"/>
    </xf>
    <xf numFmtId="43" fontId="6" fillId="0" borderId="20" xfId="57" applyFont="1" applyBorder="1" applyAlignment="1">
      <alignment horizontal="center"/>
    </xf>
    <xf numFmtId="44" fontId="22" fillId="0" borderId="35" xfId="64" applyFont="1" applyBorder="1"/>
    <xf numFmtId="0" fontId="17" fillId="0" borderId="27" xfId="0" quotePrefix="1" applyFont="1" applyBorder="1" applyAlignment="1">
      <alignment horizontal="center"/>
    </xf>
    <xf numFmtId="0" fontId="17" fillId="0" borderId="28" xfId="0" applyFont="1" applyBorder="1"/>
    <xf numFmtId="39" fontId="17" fillId="0" borderId="41" xfId="0" applyNumberFormat="1" applyFont="1" applyBorder="1"/>
    <xf numFmtId="14" fontId="77" fillId="0" borderId="18" xfId="0" quotePrefix="1" applyNumberFormat="1" applyFont="1" applyBorder="1" applyAlignment="1">
      <alignment horizontal="center" vertical="top"/>
    </xf>
    <xf numFmtId="0" fontId="77" fillId="0" borderId="0" xfId="0" applyFont="1" applyAlignment="1">
      <alignment vertical="top"/>
    </xf>
    <xf numFmtId="0" fontId="77" fillId="0" borderId="0" xfId="0" applyFont="1" applyAlignment="1">
      <alignment horizontal="center" vertical="top"/>
    </xf>
    <xf numFmtId="0" fontId="77" fillId="0" borderId="0" xfId="0" applyFont="1"/>
    <xf numFmtId="0" fontId="77" fillId="0" borderId="0" xfId="0" applyFont="1" applyAlignment="1">
      <alignment horizontal="left"/>
    </xf>
    <xf numFmtId="44" fontId="77" fillId="0" borderId="17" xfId="0" applyNumberFormat="1" applyFont="1" applyBorder="1"/>
    <xf numFmtId="0" fontId="77" fillId="0" borderId="18" xfId="0" applyFont="1" applyBorder="1"/>
    <xf numFmtId="0" fontId="77" fillId="0" borderId="0" xfId="0" applyFont="1" applyAlignment="1">
      <alignment horizontal="center" vertical="center"/>
    </xf>
    <xf numFmtId="0" fontId="77" fillId="0" borderId="18" xfId="0" quotePrefix="1" applyFont="1" applyBorder="1" applyAlignment="1">
      <alignment horizontal="center" vertical="top"/>
    </xf>
    <xf numFmtId="194" fontId="77" fillId="0" borderId="17" xfId="0" applyNumberFormat="1" applyFont="1" applyBorder="1"/>
    <xf numFmtId="14" fontId="77" fillId="0" borderId="18" xfId="0" quotePrefix="1" applyNumberFormat="1" applyFont="1" applyBorder="1" applyAlignment="1">
      <alignment horizontal="center"/>
    </xf>
    <xf numFmtId="44" fontId="77" fillId="0" borderId="0" xfId="0" applyNumberFormat="1" applyFont="1"/>
    <xf numFmtId="44" fontId="77" fillId="0" borderId="17" xfId="64" applyFont="1" applyBorder="1"/>
    <xf numFmtId="39" fontId="77" fillId="0" borderId="17" xfId="57" applyNumberFormat="1" applyFont="1" applyBorder="1"/>
    <xf numFmtId="0" fontId="77" fillId="0" borderId="33" xfId="0" applyFont="1" applyBorder="1"/>
    <xf numFmtId="0" fontId="77" fillId="0" borderId="34" xfId="0" applyFont="1" applyBorder="1"/>
    <xf numFmtId="44" fontId="78" fillId="0" borderId="34" xfId="0" applyNumberFormat="1" applyFont="1" applyBorder="1"/>
    <xf numFmtId="44" fontId="77" fillId="0" borderId="35" xfId="64" applyFont="1" applyBorder="1"/>
    <xf numFmtId="44" fontId="77" fillId="0" borderId="0" xfId="0" applyNumberFormat="1" applyFont="1" applyAlignment="1">
      <alignment vertical="top"/>
    </xf>
    <xf numFmtId="44" fontId="17" fillId="0" borderId="17" xfId="0" applyNumberFormat="1" applyFont="1" applyBorder="1" applyAlignment="1">
      <alignment vertical="top"/>
    </xf>
    <xf numFmtId="44" fontId="78" fillId="0" borderId="35" xfId="0" applyNumberFormat="1" applyFont="1" applyBorder="1"/>
    <xf numFmtId="14" fontId="22" fillId="0" borderId="18" xfId="0" quotePrefix="1" applyNumberFormat="1" applyFont="1" applyBorder="1" applyAlignment="1">
      <alignment horizontal="center"/>
    </xf>
    <xf numFmtId="44" fontId="22" fillId="0" borderId="17" xfId="64" applyFont="1" applyBorder="1"/>
    <xf numFmtId="0" fontId="77" fillId="0" borderId="0" xfId="0" applyFont="1" applyAlignment="1">
      <alignment horizontal="right"/>
    </xf>
    <xf numFmtId="44" fontId="22" fillId="0" borderId="0" xfId="0" applyNumberFormat="1" applyFont="1"/>
    <xf numFmtId="0" fontId="26" fillId="0" borderId="0" xfId="0" applyFont="1"/>
    <xf numFmtId="9" fontId="72" fillId="0" borderId="0" xfId="113" applyFont="1"/>
    <xf numFmtId="0" fontId="68" fillId="49" borderId="0" xfId="0" applyFont="1" applyFill="1" applyAlignment="1">
      <alignment horizontal="center"/>
    </xf>
    <xf numFmtId="164" fontId="70" fillId="49" borderId="0" xfId="62" applyNumberFormat="1" applyFont="1" applyFill="1" applyBorder="1" applyAlignment="1">
      <alignment horizontal="right" vertical="top"/>
    </xf>
    <xf numFmtId="164" fontId="70" fillId="49" borderId="0" xfId="62" applyNumberFormat="1" applyFont="1" applyFill="1" applyBorder="1" applyAlignment="1">
      <alignment vertical="top"/>
    </xf>
    <xf numFmtId="164" fontId="70" fillId="49" borderId="17" xfId="62" applyNumberFormat="1" applyFont="1" applyFill="1" applyBorder="1" applyAlignment="1">
      <alignment vertical="top"/>
    </xf>
    <xf numFmtId="164" fontId="69" fillId="48" borderId="19" xfId="62" applyNumberFormat="1" applyFont="1" applyFill="1" applyBorder="1" applyAlignment="1">
      <alignment vertical="top"/>
    </xf>
    <xf numFmtId="164" fontId="69" fillId="48" borderId="0" xfId="62" applyNumberFormat="1" applyFont="1" applyFill="1" applyBorder="1" applyAlignment="1">
      <alignment vertical="top"/>
    </xf>
    <xf numFmtId="164" fontId="69" fillId="52" borderId="0" xfId="62" applyNumberFormat="1" applyFont="1" applyFill="1" applyBorder="1" applyAlignment="1">
      <alignment vertical="top"/>
    </xf>
    <xf numFmtId="164" fontId="69" fillId="52" borderId="30" xfId="62" applyNumberFormat="1" applyFont="1" applyFill="1" applyBorder="1" applyAlignment="1">
      <alignment vertical="top"/>
    </xf>
    <xf numFmtId="0" fontId="28" fillId="49" borderId="0" xfId="0" applyFont="1" applyFill="1" applyAlignment="1">
      <alignment horizontal="right" indent="1"/>
    </xf>
    <xf numFmtId="14" fontId="82" fillId="0" borderId="18" xfId="0" quotePrefix="1" applyNumberFormat="1" applyFont="1" applyBorder="1" applyAlignment="1">
      <alignment horizontal="center" vertical="top"/>
    </xf>
    <xf numFmtId="0" fontId="82" fillId="0" borderId="0" xfId="0" applyFont="1"/>
    <xf numFmtId="0" fontId="82" fillId="0" borderId="0" xfId="0" applyFont="1" applyAlignment="1">
      <alignment horizontal="left"/>
    </xf>
    <xf numFmtId="194" fontId="82" fillId="0" borderId="17" xfId="0" applyNumberFormat="1" applyFont="1" applyBorder="1"/>
    <xf numFmtId="0" fontId="80" fillId="0" borderId="0" xfId="0" applyFont="1"/>
    <xf numFmtId="0" fontId="82" fillId="0" borderId="0" xfId="0" applyFont="1" applyAlignment="1">
      <alignment horizontal="center" vertical="top"/>
    </xf>
    <xf numFmtId="0" fontId="82" fillId="0" borderId="18" xfId="0" quotePrefix="1" applyFont="1" applyBorder="1" applyAlignment="1">
      <alignment horizontal="center"/>
    </xf>
    <xf numFmtId="0" fontId="82" fillId="0" borderId="18" xfId="0" applyFont="1" applyBorder="1"/>
    <xf numFmtId="0" fontId="82" fillId="0" borderId="0" xfId="0" applyFont="1" applyAlignment="1">
      <alignment horizontal="center" vertical="center"/>
    </xf>
    <xf numFmtId="0" fontId="6" fillId="0" borderId="41" xfId="98" applyFont="1" applyBorder="1" applyAlignment="1">
      <alignment horizontal="center" vertical="top"/>
    </xf>
    <xf numFmtId="0" fontId="6" fillId="0" borderId="0" xfId="98" applyFont="1" applyAlignment="1">
      <alignment horizontal="center"/>
    </xf>
    <xf numFmtId="0" fontId="6" fillId="49" borderId="0" xfId="0" applyFont="1" applyFill="1" applyAlignment="1">
      <alignment horizontal="center"/>
    </xf>
    <xf numFmtId="41" fontId="22" fillId="48" borderId="45" xfId="0" applyNumberFormat="1" applyFont="1" applyFill="1" applyBorder="1" applyAlignment="1">
      <alignment horizontal="center"/>
    </xf>
    <xf numFmtId="0" fontId="6" fillId="48" borderId="28" xfId="0" applyFont="1" applyFill="1" applyBorder="1" applyAlignment="1">
      <alignment horizontal="center" vertical="center"/>
    </xf>
    <xf numFmtId="0" fontId="6" fillId="48" borderId="26" xfId="0" applyFont="1" applyFill="1" applyBorder="1" applyAlignment="1">
      <alignment horizontal="center" vertical="center"/>
    </xf>
    <xf numFmtId="16" fontId="77" fillId="0" borderId="0" xfId="0" applyNumberFormat="1" applyFont="1"/>
    <xf numFmtId="0" fontId="78" fillId="0" borderId="0" xfId="0" applyFont="1" applyAlignment="1">
      <alignment horizontal="left"/>
    </xf>
    <xf numFmtId="0" fontId="22" fillId="48" borderId="25" xfId="0" applyFont="1" applyFill="1" applyBorder="1" applyAlignment="1">
      <alignment horizontal="center" vertical="center" wrapText="1"/>
    </xf>
    <xf numFmtId="0" fontId="22" fillId="48" borderId="26" xfId="0" applyFont="1" applyFill="1" applyBorder="1" applyAlignment="1">
      <alignment horizontal="center" vertical="center" wrapText="1"/>
    </xf>
    <xf numFmtId="0" fontId="22" fillId="48" borderId="29" xfId="0" applyFont="1" applyFill="1" applyBorder="1" applyAlignment="1">
      <alignment horizontal="center" vertical="center" wrapText="1"/>
    </xf>
    <xf numFmtId="44" fontId="5" fillId="0" borderId="17" xfId="0" applyNumberFormat="1" applyFont="1" applyBorder="1"/>
    <xf numFmtId="0" fontId="17" fillId="0" borderId="41" xfId="0" applyFont="1" applyBorder="1"/>
    <xf numFmtId="44" fontId="77" fillId="0" borderId="17" xfId="0" applyNumberFormat="1" applyFont="1" applyBorder="1" applyAlignment="1">
      <alignment vertical="top"/>
    </xf>
    <xf numFmtId="194" fontId="77" fillId="0" borderId="40" xfId="0" applyNumberFormat="1" applyFont="1" applyBorder="1"/>
    <xf numFmtId="14" fontId="77" fillId="0" borderId="39" xfId="0" quotePrefix="1" applyNumberFormat="1" applyFont="1" applyBorder="1" applyAlignment="1">
      <alignment horizontal="center" vertical="top"/>
    </xf>
    <xf numFmtId="0" fontId="77" fillId="0" borderId="16" xfId="0" applyFont="1" applyBorder="1"/>
    <xf numFmtId="0" fontId="77" fillId="0" borderId="16" xfId="0" applyFont="1" applyBorder="1" applyAlignment="1">
      <alignment horizontal="center" vertical="center"/>
    </xf>
    <xf numFmtId="43" fontId="77" fillId="0" borderId="17" xfId="57" applyFont="1" applyBorder="1"/>
    <xf numFmtId="194" fontId="77" fillId="0" borderId="17" xfId="57" applyNumberFormat="1" applyFont="1" applyBorder="1"/>
    <xf numFmtId="194" fontId="77" fillId="0" borderId="40" xfId="57" applyNumberFormat="1" applyFont="1" applyBorder="1"/>
    <xf numFmtId="194" fontId="0" fillId="0" borderId="0" xfId="57" applyNumberFormat="1" applyFont="1"/>
    <xf numFmtId="194" fontId="17" fillId="0" borderId="0" xfId="0" applyNumberFormat="1" applyFont="1"/>
    <xf numFmtId="194" fontId="22" fillId="48" borderId="41" xfId="0" applyNumberFormat="1" applyFont="1" applyFill="1" applyBorder="1"/>
    <xf numFmtId="194" fontId="22" fillId="48" borderId="29" xfId="0" applyNumberFormat="1" applyFont="1" applyFill="1" applyBorder="1" applyAlignment="1">
      <alignment horizontal="center" wrapText="1"/>
    </xf>
    <xf numFmtId="194" fontId="17" fillId="0" borderId="17" xfId="0" applyNumberFormat="1" applyFont="1" applyBorder="1"/>
    <xf numFmtId="194" fontId="0" fillId="0" borderId="0" xfId="0" applyNumberFormat="1"/>
    <xf numFmtId="194" fontId="77" fillId="0" borderId="96" xfId="0" applyNumberFormat="1" applyFont="1" applyBorder="1"/>
    <xf numFmtId="194" fontId="77" fillId="0" borderId="35" xfId="0" applyNumberFormat="1" applyFont="1" applyBorder="1"/>
    <xf numFmtId="14" fontId="77" fillId="0" borderId="33" xfId="0" quotePrefix="1" applyNumberFormat="1" applyFont="1" applyBorder="1" applyAlignment="1">
      <alignment horizontal="center" vertical="top"/>
    </xf>
    <xf numFmtId="0" fontId="77" fillId="0" borderId="33" xfId="0" quotePrefix="1" applyFont="1" applyBorder="1" applyAlignment="1">
      <alignment horizontal="center" vertical="top"/>
    </xf>
    <xf numFmtId="0" fontId="77" fillId="0" borderId="34" xfId="0" applyFont="1" applyBorder="1" applyAlignment="1">
      <alignment horizontal="right"/>
    </xf>
    <xf numFmtId="194" fontId="77" fillId="0" borderId="35" xfId="57" applyNumberFormat="1" applyFont="1" applyBorder="1"/>
    <xf numFmtId="194" fontId="22" fillId="0" borderId="35" xfId="0" applyNumberFormat="1" applyFont="1" applyBorder="1"/>
    <xf numFmtId="49" fontId="83" fillId="0" borderId="0" xfId="171" applyNumberFormat="1" applyFont="1"/>
    <xf numFmtId="14" fontId="84" fillId="0" borderId="0" xfId="0" applyNumberFormat="1" applyFont="1" applyAlignment="1">
      <alignment horizontal="center"/>
    </xf>
    <xf numFmtId="14" fontId="85" fillId="0" borderId="0" xfId="0" applyNumberFormat="1" applyFont="1" applyAlignment="1">
      <alignment horizontal="center"/>
    </xf>
    <xf numFmtId="7" fontId="77" fillId="0" borderId="17" xfId="0" applyNumberFormat="1" applyFont="1" applyBorder="1"/>
    <xf numFmtId="49" fontId="84" fillId="0" borderId="0" xfId="0" applyNumberFormat="1" applyFont="1"/>
    <xf numFmtId="49" fontId="83" fillId="0" borderId="0" xfId="172" applyNumberFormat="1" applyFont="1"/>
    <xf numFmtId="194" fontId="77" fillId="0" borderId="97" xfId="0" applyNumberFormat="1" applyFont="1" applyBorder="1"/>
    <xf numFmtId="0" fontId="15" fillId="0" borderId="5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43" fontId="15" fillId="0" borderId="0" xfId="57" applyFont="1"/>
    <xf numFmtId="0" fontId="83" fillId="0" borderId="0" xfId="173" applyFont="1"/>
    <xf numFmtId="196" fontId="86" fillId="0" borderId="0" xfId="0" applyNumberFormat="1" applyFont="1"/>
    <xf numFmtId="0" fontId="15" fillId="0" borderId="70" xfId="0" applyFont="1" applyBorder="1"/>
    <xf numFmtId="43" fontId="15" fillId="0" borderId="70" xfId="57" applyFont="1" applyBorder="1"/>
    <xf numFmtId="43" fontId="15" fillId="0" borderId="0" xfId="57" applyFont="1" applyBorder="1"/>
    <xf numFmtId="0" fontId="77" fillId="0" borderId="18" xfId="0" quotePrefix="1" applyFont="1" applyBorder="1" applyAlignment="1">
      <alignment horizontal="center"/>
    </xf>
    <xf numFmtId="4" fontId="0" fillId="53" borderId="0" xfId="0" applyNumberFormat="1" applyFill="1"/>
    <xf numFmtId="44" fontId="6" fillId="0" borderId="0" xfId="64" applyFont="1"/>
    <xf numFmtId="44" fontId="6" fillId="0" borderId="0" xfId="0" applyNumberFormat="1" applyFont="1"/>
    <xf numFmtId="14" fontId="5" fillId="0" borderId="0" xfId="0" applyNumberFormat="1" applyFont="1"/>
    <xf numFmtId="0" fontId="17" fillId="0" borderId="8" xfId="0" applyFont="1" applyBorder="1" applyAlignment="1">
      <alignment horizontal="left"/>
    </xf>
    <xf numFmtId="0" fontId="17" fillId="0" borderId="8" xfId="0" applyFont="1" applyBorder="1"/>
    <xf numFmtId="0" fontId="22" fillId="0" borderId="8" xfId="0" applyFont="1" applyBorder="1" applyAlignment="1">
      <alignment horizontal="left"/>
    </xf>
    <xf numFmtId="0" fontId="22" fillId="0" borderId="8" xfId="0" applyFont="1" applyBorder="1"/>
    <xf numFmtId="44" fontId="22" fillId="0" borderId="8" xfId="64" applyFont="1" applyBorder="1"/>
    <xf numFmtId="0" fontId="6" fillId="0" borderId="8" xfId="0" applyFont="1" applyBorder="1"/>
    <xf numFmtId="44" fontId="6" fillId="0" borderId="8" xfId="64" applyFont="1" applyBorder="1"/>
    <xf numFmtId="0" fontId="22" fillId="0" borderId="23" xfId="0" applyFont="1" applyBorder="1"/>
    <xf numFmtId="44" fontId="22" fillId="0" borderId="24" xfId="0" applyNumberFormat="1" applyFont="1" applyBorder="1"/>
    <xf numFmtId="44" fontId="22" fillId="0" borderId="8" xfId="0" applyNumberFormat="1" applyFont="1" applyBorder="1"/>
    <xf numFmtId="44" fontId="6" fillId="0" borderId="8" xfId="0" applyNumberFormat="1" applyFont="1" applyBorder="1"/>
    <xf numFmtId="0" fontId="6" fillId="0" borderId="8" xfId="0" applyFont="1" applyBorder="1" applyAlignment="1">
      <alignment horizontal="right"/>
    </xf>
    <xf numFmtId="0" fontId="78" fillId="0" borderId="0" xfId="0" applyFont="1"/>
    <xf numFmtId="0" fontId="86" fillId="0" borderId="0" xfId="0" applyFont="1"/>
    <xf numFmtId="0" fontId="89" fillId="0" borderId="0" xfId="0" applyFont="1"/>
    <xf numFmtId="14" fontId="86" fillId="0" borderId="0" xfId="0" applyNumberFormat="1" applyFont="1"/>
    <xf numFmtId="18" fontId="86" fillId="0" borderId="0" xfId="0" applyNumberFormat="1" applyFont="1"/>
    <xf numFmtId="4" fontId="86" fillId="0" borderId="0" xfId="0" applyNumberFormat="1" applyFont="1"/>
    <xf numFmtId="44" fontId="90" fillId="0" borderId="17" xfId="0" applyNumberFormat="1" applyFont="1" applyBorder="1" applyAlignment="1">
      <alignment vertical="top"/>
    </xf>
    <xf numFmtId="0" fontId="91" fillId="0" borderId="0" xfId="0" applyFont="1"/>
    <xf numFmtId="3" fontId="89" fillId="0" borderId="0" xfId="0" applyNumberFormat="1" applyFont="1"/>
    <xf numFmtId="4" fontId="89" fillId="0" borderId="0" xfId="0" applyNumberFormat="1" applyFont="1"/>
    <xf numFmtId="197" fontId="86" fillId="0" borderId="0" xfId="0" applyNumberFormat="1" applyFont="1"/>
    <xf numFmtId="10" fontId="86" fillId="0" borderId="0" xfId="0" applyNumberFormat="1" applyFont="1"/>
    <xf numFmtId="196" fontId="86" fillId="0" borderId="98" xfId="0" applyNumberFormat="1" applyFont="1" applyBorder="1"/>
    <xf numFmtId="10" fontId="86" fillId="0" borderId="98" xfId="0" applyNumberFormat="1" applyFont="1" applyBorder="1"/>
    <xf numFmtId="0" fontId="0" fillId="0" borderId="98" xfId="0" applyBorder="1"/>
    <xf numFmtId="196" fontId="86" fillId="0" borderId="99" xfId="0" applyNumberFormat="1" applyFont="1" applyBorder="1"/>
    <xf numFmtId="0" fontId="83" fillId="0" borderId="0" xfId="179" applyFont="1"/>
    <xf numFmtId="196" fontId="83" fillId="0" borderId="16" xfId="179" applyNumberFormat="1" applyFont="1" applyBorder="1"/>
    <xf numFmtId="0" fontId="87" fillId="0" borderId="16" xfId="0" applyFont="1" applyBorder="1"/>
    <xf numFmtId="196" fontId="42" fillId="0" borderId="0" xfId="0" applyNumberFormat="1" applyFont="1"/>
    <xf numFmtId="196" fontId="42" fillId="0" borderId="16" xfId="0" applyNumberFormat="1" applyFont="1" applyBorder="1"/>
    <xf numFmtId="10" fontId="86" fillId="0" borderId="99" xfId="0" applyNumberFormat="1" applyFont="1" applyBorder="1"/>
    <xf numFmtId="0" fontId="6" fillId="0" borderId="61" xfId="98" applyFont="1" applyBorder="1" applyAlignment="1">
      <alignment horizontal="center" vertical="top"/>
    </xf>
    <xf numFmtId="0" fontId="6" fillId="0" borderId="63" xfId="98" applyFont="1" applyBorder="1" applyAlignment="1">
      <alignment horizontal="center" vertical="top"/>
    </xf>
    <xf numFmtId="0" fontId="6" fillId="0" borderId="62" xfId="98" applyFont="1" applyBorder="1" applyAlignment="1">
      <alignment horizontal="center" vertical="top"/>
    </xf>
    <xf numFmtId="0" fontId="6" fillId="0" borderId="27" xfId="98" applyFont="1" applyBorder="1" applyAlignment="1">
      <alignment horizontal="center" vertical="top"/>
    </xf>
    <xf numFmtId="0" fontId="6" fillId="0" borderId="28" xfId="98" applyFont="1" applyBorder="1" applyAlignment="1">
      <alignment horizontal="center" vertical="top"/>
    </xf>
    <xf numFmtId="0" fontId="6" fillId="0" borderId="41" xfId="98" applyFont="1" applyBorder="1" applyAlignment="1">
      <alignment horizontal="center" vertical="top"/>
    </xf>
    <xf numFmtId="0" fontId="6" fillId="0" borderId="27" xfId="98" quotePrefix="1" applyFont="1" applyBorder="1" applyAlignment="1">
      <alignment horizontal="center"/>
    </xf>
    <xf numFmtId="0" fontId="6" fillId="0" borderId="28" xfId="98" applyFont="1" applyBorder="1" applyAlignment="1">
      <alignment horizontal="center"/>
    </xf>
    <xf numFmtId="0" fontId="6" fillId="0" borderId="41" xfId="98" applyFont="1" applyBorder="1" applyAlignment="1">
      <alignment horizontal="center"/>
    </xf>
    <xf numFmtId="0" fontId="6" fillId="0" borderId="61" xfId="98" quotePrefix="1" applyFont="1" applyBorder="1" applyAlignment="1">
      <alignment horizontal="center"/>
    </xf>
    <xf numFmtId="0" fontId="6" fillId="0" borderId="62" xfId="98" applyFont="1" applyBorder="1" applyAlignment="1">
      <alignment horizontal="center"/>
    </xf>
    <xf numFmtId="0" fontId="6" fillId="0" borderId="63" xfId="98" applyFont="1" applyBorder="1" applyAlignment="1">
      <alignment horizontal="center"/>
    </xf>
    <xf numFmtId="0" fontId="6" fillId="0" borderId="54" xfId="98" applyFont="1" applyBorder="1" applyAlignment="1">
      <alignment horizontal="center"/>
    </xf>
    <xf numFmtId="0" fontId="6" fillId="0" borderId="55" xfId="98" applyFont="1" applyBorder="1" applyAlignment="1">
      <alignment horizontal="center"/>
    </xf>
    <xf numFmtId="0" fontId="6" fillId="0" borderId="62" xfId="98" quotePrefix="1" applyFont="1" applyBorder="1" applyAlignment="1">
      <alignment horizontal="center"/>
    </xf>
    <xf numFmtId="0" fontId="6" fillId="0" borderId="63" xfId="98" quotePrefix="1" applyFont="1" applyBorder="1" applyAlignment="1">
      <alignment horizontal="center"/>
    </xf>
    <xf numFmtId="0" fontId="6" fillId="0" borderId="0" xfId="98" applyFont="1" applyAlignment="1">
      <alignment horizontal="center"/>
    </xf>
    <xf numFmtId="0" fontId="0" fillId="0" borderId="26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6" fillId="46" borderId="3" xfId="0" applyFont="1" applyFill="1" applyBorder="1" applyAlignment="1">
      <alignment horizontal="center"/>
    </xf>
    <xf numFmtId="0" fontId="6" fillId="46" borderId="85" xfId="0" applyFont="1" applyFill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46" borderId="84" xfId="99" applyFont="1" applyFill="1" applyBorder="1" applyAlignment="1">
      <alignment horizontal="center"/>
    </xf>
    <xf numFmtId="0" fontId="6" fillId="46" borderId="3" xfId="99" applyFont="1" applyFill="1" applyBorder="1" applyAlignment="1">
      <alignment horizontal="center"/>
    </xf>
    <xf numFmtId="0" fontId="6" fillId="46" borderId="85" xfId="99" applyFont="1" applyFill="1" applyBorder="1" applyAlignment="1">
      <alignment horizontal="center"/>
    </xf>
    <xf numFmtId="0" fontId="9" fillId="48" borderId="27" xfId="99" applyFont="1" applyFill="1" applyBorder="1" applyAlignment="1">
      <alignment horizontal="center"/>
    </xf>
    <xf numFmtId="0" fontId="9" fillId="48" borderId="28" xfId="99" applyFont="1" applyFill="1" applyBorder="1" applyAlignment="1">
      <alignment horizontal="center"/>
    </xf>
    <xf numFmtId="0" fontId="9" fillId="48" borderId="41" xfId="99" applyFont="1" applyFill="1" applyBorder="1" applyAlignment="1">
      <alignment horizontal="center"/>
    </xf>
    <xf numFmtId="0" fontId="9" fillId="48" borderId="18" xfId="99" applyFont="1" applyFill="1" applyBorder="1" applyAlignment="1">
      <alignment horizontal="center"/>
    </xf>
    <xf numFmtId="0" fontId="9" fillId="48" borderId="0" xfId="99" applyFont="1" applyFill="1" applyAlignment="1">
      <alignment horizontal="center"/>
    </xf>
    <xf numFmtId="0" fontId="9" fillId="48" borderId="17" xfId="99" applyFont="1" applyFill="1" applyBorder="1" applyAlignment="1">
      <alignment horizontal="center"/>
    </xf>
    <xf numFmtId="0" fontId="9" fillId="48" borderId="25" xfId="99" applyFont="1" applyFill="1" applyBorder="1" applyAlignment="1">
      <alignment horizontal="center"/>
    </xf>
    <xf numFmtId="0" fontId="9" fillId="48" borderId="26" xfId="99" applyFont="1" applyFill="1" applyBorder="1" applyAlignment="1">
      <alignment horizontal="center"/>
    </xf>
    <xf numFmtId="0" fontId="9" fillId="48" borderId="29" xfId="99" applyFont="1" applyFill="1" applyBorder="1" applyAlignment="1">
      <alignment horizontal="center"/>
    </xf>
    <xf numFmtId="0" fontId="6" fillId="49" borderId="0" xfId="0" applyFont="1" applyFill="1" applyAlignment="1">
      <alignment horizontal="center"/>
    </xf>
    <xf numFmtId="41" fontId="22" fillId="48" borderId="61" xfId="0" applyNumberFormat="1" applyFont="1" applyFill="1" applyBorder="1" applyAlignment="1">
      <alignment horizontal="center"/>
    </xf>
    <xf numFmtId="41" fontId="22" fillId="48" borderId="62" xfId="0" applyNumberFormat="1" applyFont="1" applyFill="1" applyBorder="1" applyAlignment="1">
      <alignment horizontal="center"/>
    </xf>
    <xf numFmtId="0" fontId="0" fillId="0" borderId="63" xfId="0" applyBorder="1" applyAlignment="1">
      <alignment horizontal="center"/>
    </xf>
    <xf numFmtId="41" fontId="22" fillId="48" borderId="63" xfId="0" applyNumberFormat="1" applyFont="1" applyFill="1" applyBorder="1" applyAlignment="1">
      <alignment horizontal="center"/>
    </xf>
    <xf numFmtId="41" fontId="22" fillId="48" borderId="27" xfId="0" applyNumberFormat="1" applyFont="1" applyFill="1" applyBorder="1" applyAlignment="1">
      <alignment horizontal="center"/>
    </xf>
    <xf numFmtId="0" fontId="9" fillId="46" borderId="27" xfId="0" applyFont="1" applyFill="1" applyBorder="1" applyAlignment="1">
      <alignment horizontal="center"/>
    </xf>
    <xf numFmtId="0" fontId="9" fillId="46" borderId="28" xfId="0" applyFont="1" applyFill="1" applyBorder="1" applyAlignment="1">
      <alignment horizontal="center"/>
    </xf>
    <xf numFmtId="0" fontId="9" fillId="46" borderId="41" xfId="0" applyFont="1" applyFill="1" applyBorder="1" applyAlignment="1">
      <alignment horizontal="center"/>
    </xf>
    <xf numFmtId="0" fontId="6" fillId="46" borderId="18" xfId="0" applyFont="1" applyFill="1" applyBorder="1" applyAlignment="1">
      <alignment horizontal="center"/>
    </xf>
    <xf numFmtId="0" fontId="6" fillId="46" borderId="0" xfId="0" applyFont="1" applyFill="1" applyAlignment="1">
      <alignment horizontal="center"/>
    </xf>
    <xf numFmtId="0" fontId="6" fillId="46" borderId="17" xfId="0" applyFont="1" applyFill="1" applyBorder="1" applyAlignment="1">
      <alignment horizontal="center"/>
    </xf>
    <xf numFmtId="0" fontId="6" fillId="46" borderId="25" xfId="0" quotePrefix="1" applyFont="1" applyFill="1" applyBorder="1" applyAlignment="1">
      <alignment horizontal="center"/>
    </xf>
    <xf numFmtId="0" fontId="6" fillId="46" borderId="26" xfId="0" applyFont="1" applyFill="1" applyBorder="1" applyAlignment="1">
      <alignment horizontal="center"/>
    </xf>
    <xf numFmtId="0" fontId="6" fillId="46" borderId="29" xfId="0" applyFont="1" applyFill="1" applyBorder="1" applyAlignment="1">
      <alignment horizontal="center"/>
    </xf>
    <xf numFmtId="41" fontId="22" fillId="48" borderId="86" xfId="0" applyNumberFormat="1" applyFont="1" applyFill="1" applyBorder="1" applyAlignment="1">
      <alignment horizontal="center"/>
    </xf>
    <xf numFmtId="41" fontId="22" fillId="48" borderId="87" xfId="0" applyNumberFormat="1" applyFont="1" applyFill="1" applyBorder="1" applyAlignment="1">
      <alignment horizontal="center"/>
    </xf>
    <xf numFmtId="41" fontId="22" fillId="48" borderId="45" xfId="0" applyNumberFormat="1" applyFont="1" applyFill="1" applyBorder="1" applyAlignment="1">
      <alignment horizontal="center"/>
    </xf>
    <xf numFmtId="180" fontId="22" fillId="48" borderId="49" xfId="57" applyNumberFormat="1" applyFont="1" applyFill="1" applyBorder="1" applyAlignment="1">
      <alignment horizontal="center"/>
    </xf>
    <xf numFmtId="0" fontId="0" fillId="0" borderId="68" xfId="0" applyBorder="1" applyAlignment="1">
      <alignment horizontal="center"/>
    </xf>
    <xf numFmtId="0" fontId="23" fillId="46" borderId="27" xfId="104" quotePrefix="1" applyFont="1" applyFill="1" applyBorder="1" applyAlignment="1">
      <alignment horizontal="center"/>
    </xf>
    <xf numFmtId="0" fontId="23" fillId="46" borderId="28" xfId="104" quotePrefix="1" applyFont="1" applyFill="1" applyBorder="1" applyAlignment="1">
      <alignment horizontal="center"/>
    </xf>
    <xf numFmtId="0" fontId="23" fillId="46" borderId="41" xfId="104" quotePrefix="1" applyFont="1" applyFill="1" applyBorder="1" applyAlignment="1">
      <alignment horizontal="center"/>
    </xf>
    <xf numFmtId="0" fontId="23" fillId="46" borderId="18" xfId="0" applyFont="1" applyFill="1" applyBorder="1" applyAlignment="1">
      <alignment horizontal="center"/>
    </xf>
    <xf numFmtId="0" fontId="23" fillId="46" borderId="0" xfId="0" quotePrefix="1" applyFont="1" applyFill="1" applyAlignment="1">
      <alignment horizontal="center"/>
    </xf>
    <xf numFmtId="0" fontId="23" fillId="46" borderId="17" xfId="0" quotePrefix="1" applyFont="1" applyFill="1" applyBorder="1" applyAlignment="1">
      <alignment horizontal="center"/>
    </xf>
    <xf numFmtId="0" fontId="9" fillId="46" borderId="25" xfId="0" applyFont="1" applyFill="1" applyBorder="1" applyAlignment="1">
      <alignment horizontal="center"/>
    </xf>
    <xf numFmtId="0" fontId="9" fillId="46" borderId="26" xfId="0" applyFont="1" applyFill="1" applyBorder="1" applyAlignment="1">
      <alignment horizontal="center"/>
    </xf>
    <xf numFmtId="0" fontId="9" fillId="46" borderId="29" xfId="0" applyFont="1" applyFill="1" applyBorder="1" applyAlignment="1">
      <alignment horizontal="center"/>
    </xf>
    <xf numFmtId="164" fontId="22" fillId="0" borderId="33" xfId="60" applyNumberFormat="1" applyFont="1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164" fontId="23" fillId="48" borderId="27" xfId="60" applyNumberFormat="1" applyFont="1" applyFill="1" applyBorder="1" applyAlignment="1">
      <alignment horizontal="center"/>
    </xf>
    <xf numFmtId="164" fontId="23" fillId="48" borderId="28" xfId="60" applyNumberFormat="1" applyFont="1" applyFill="1" applyBorder="1" applyAlignment="1">
      <alignment horizontal="center"/>
    </xf>
    <xf numFmtId="164" fontId="23" fillId="48" borderId="41" xfId="60" applyNumberFormat="1" applyFont="1" applyFill="1" applyBorder="1" applyAlignment="1">
      <alignment horizontal="center"/>
    </xf>
    <xf numFmtId="164" fontId="23" fillId="48" borderId="18" xfId="60" applyNumberFormat="1" applyFont="1" applyFill="1" applyBorder="1" applyAlignment="1">
      <alignment horizontal="center"/>
    </xf>
    <xf numFmtId="164" fontId="23" fillId="48" borderId="0" xfId="60" applyNumberFormat="1" applyFont="1" applyFill="1" applyBorder="1" applyAlignment="1">
      <alignment horizontal="center"/>
    </xf>
    <xf numFmtId="164" fontId="23" fillId="48" borderId="0" xfId="60" quotePrefix="1" applyNumberFormat="1" applyFont="1" applyFill="1" applyBorder="1" applyAlignment="1">
      <alignment horizontal="center"/>
    </xf>
    <xf numFmtId="164" fontId="23" fillId="48" borderId="17" xfId="60" quotePrefix="1" applyNumberFormat="1" applyFont="1" applyFill="1" applyBorder="1" applyAlignment="1">
      <alignment horizontal="center"/>
    </xf>
    <xf numFmtId="164" fontId="23" fillId="48" borderId="25" xfId="60" applyNumberFormat="1" applyFont="1" applyFill="1" applyBorder="1" applyAlignment="1">
      <alignment horizontal="center"/>
    </xf>
    <xf numFmtId="164" fontId="23" fillId="48" borderId="26" xfId="60" quotePrefix="1" applyNumberFormat="1" applyFont="1" applyFill="1" applyBorder="1" applyAlignment="1">
      <alignment horizontal="center"/>
    </xf>
    <xf numFmtId="164" fontId="23" fillId="48" borderId="29" xfId="60" quotePrefix="1" applyNumberFormat="1" applyFont="1" applyFill="1" applyBorder="1" applyAlignment="1">
      <alignment horizontal="center"/>
    </xf>
    <xf numFmtId="164" fontId="22" fillId="46" borderId="61" xfId="60" applyNumberFormat="1" applyFont="1" applyFill="1" applyBorder="1" applyAlignment="1">
      <alignment horizontal="center" vertical="center"/>
    </xf>
    <xf numFmtId="164" fontId="22" fillId="46" borderId="63" xfId="60" applyNumberFormat="1" applyFont="1" applyFill="1" applyBorder="1" applyAlignment="1">
      <alignment horizontal="center" vertical="center"/>
    </xf>
    <xf numFmtId="164" fontId="22" fillId="46" borderId="61" xfId="60" applyNumberFormat="1" applyFont="1" applyFill="1" applyBorder="1" applyAlignment="1" applyProtection="1">
      <alignment horizontal="center" vertical="center" wrapText="1"/>
      <protection locked="0"/>
    </xf>
    <xf numFmtId="164" fontId="22" fillId="46" borderId="62" xfId="60" applyNumberFormat="1" applyFont="1" applyFill="1" applyBorder="1" applyAlignment="1" applyProtection="1">
      <alignment horizontal="center" vertical="center" wrapText="1"/>
      <protection locked="0"/>
    </xf>
    <xf numFmtId="164" fontId="22" fillId="46" borderId="63" xfId="60" applyNumberFormat="1" applyFont="1" applyFill="1" applyBorder="1" applyAlignment="1" applyProtection="1">
      <alignment horizontal="center" vertical="center" wrapText="1"/>
      <protection locked="0"/>
    </xf>
    <xf numFmtId="164" fontId="22" fillId="46" borderId="61" xfId="60" applyNumberFormat="1" applyFont="1" applyFill="1" applyBorder="1" applyAlignment="1">
      <alignment horizontal="center" vertical="center" wrapText="1"/>
    </xf>
    <xf numFmtId="164" fontId="22" fillId="46" borderId="62" xfId="60" applyNumberFormat="1" applyFont="1" applyFill="1" applyBorder="1" applyAlignment="1">
      <alignment horizontal="center" vertical="center" wrapText="1"/>
    </xf>
    <xf numFmtId="164" fontId="22" fillId="46" borderId="63" xfId="60" applyNumberFormat="1" applyFont="1" applyFill="1" applyBorder="1" applyAlignment="1">
      <alignment horizontal="center" vertical="center" wrapText="1"/>
    </xf>
    <xf numFmtId="0" fontId="23" fillId="46" borderId="27" xfId="0" applyFont="1" applyFill="1" applyBorder="1" applyAlignment="1">
      <alignment horizontal="center"/>
    </xf>
    <xf numFmtId="0" fontId="23" fillId="46" borderId="28" xfId="0" applyFont="1" applyFill="1" applyBorder="1" applyAlignment="1">
      <alignment horizontal="center"/>
    </xf>
    <xf numFmtId="0" fontId="23" fillId="46" borderId="41" xfId="0" applyFont="1" applyFill="1" applyBorder="1" applyAlignment="1">
      <alignment horizontal="center"/>
    </xf>
    <xf numFmtId="0" fontId="23" fillId="46" borderId="25" xfId="0" applyFont="1" applyFill="1" applyBorder="1" applyAlignment="1">
      <alignment horizontal="center"/>
    </xf>
    <xf numFmtId="0" fontId="23" fillId="46" borderId="26" xfId="0" applyFont="1" applyFill="1" applyBorder="1" applyAlignment="1">
      <alignment horizontal="center"/>
    </xf>
    <xf numFmtId="0" fontId="23" fillId="46" borderId="29" xfId="0" applyFont="1" applyFill="1" applyBorder="1" applyAlignment="1">
      <alignment horizontal="center"/>
    </xf>
    <xf numFmtId="0" fontId="6" fillId="0" borderId="60" xfId="0" quotePrefix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9" xfId="0" applyBorder="1" applyAlignment="1">
      <alignment horizontal="center"/>
    </xf>
    <xf numFmtId="41" fontId="23" fillId="46" borderId="88" xfId="0" quotePrefix="1" applyNumberFormat="1" applyFont="1" applyFill="1" applyBorder="1" applyAlignment="1">
      <alignment horizontal="center"/>
    </xf>
    <xf numFmtId="0" fontId="23" fillId="46" borderId="89" xfId="0" quotePrefix="1" applyFont="1" applyFill="1" applyBorder="1" applyAlignment="1">
      <alignment horizontal="center"/>
    </xf>
    <xf numFmtId="0" fontId="23" fillId="46" borderId="90" xfId="0" quotePrefix="1" applyFont="1" applyFill="1" applyBorder="1" applyAlignment="1">
      <alignment horizontal="center"/>
    </xf>
    <xf numFmtId="0" fontId="23" fillId="46" borderId="91" xfId="0" quotePrefix="1" applyFont="1" applyFill="1" applyBorder="1" applyAlignment="1">
      <alignment horizontal="center"/>
    </xf>
    <xf numFmtId="0" fontId="23" fillId="46" borderId="92" xfId="0" quotePrefix="1" applyFont="1" applyFill="1" applyBorder="1" applyAlignment="1">
      <alignment horizontal="center"/>
    </xf>
    <xf numFmtId="0" fontId="23" fillId="46" borderId="93" xfId="0" quotePrefix="1" applyFont="1" applyFill="1" applyBorder="1" applyAlignment="1">
      <alignment horizontal="center"/>
    </xf>
    <xf numFmtId="0" fontId="23" fillId="46" borderId="94" xfId="0" quotePrefix="1" applyFont="1" applyFill="1" applyBorder="1" applyAlignment="1">
      <alignment horizontal="center"/>
    </xf>
    <xf numFmtId="0" fontId="23" fillId="46" borderId="95" xfId="0" quotePrefix="1" applyFont="1" applyFill="1" applyBorder="1" applyAlignment="1">
      <alignment horizontal="center"/>
    </xf>
    <xf numFmtId="0" fontId="22" fillId="46" borderId="25" xfId="0" applyFont="1" applyFill="1" applyBorder="1" applyAlignment="1">
      <alignment horizontal="center"/>
    </xf>
    <xf numFmtId="0" fontId="22" fillId="46" borderId="26" xfId="0" applyFont="1" applyFill="1" applyBorder="1" applyAlignment="1">
      <alignment horizontal="center"/>
    </xf>
    <xf numFmtId="0" fontId="6" fillId="0" borderId="8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85" xfId="0" applyFont="1" applyBorder="1" applyAlignment="1">
      <alignment horizontal="center"/>
    </xf>
    <xf numFmtId="15" fontId="23" fillId="46" borderId="25" xfId="0" applyNumberFormat="1" applyFont="1" applyFill="1" applyBorder="1" applyAlignment="1">
      <alignment horizontal="center"/>
    </xf>
    <xf numFmtId="15" fontId="23" fillId="46" borderId="26" xfId="0" quotePrefix="1" applyNumberFormat="1" applyFont="1" applyFill="1" applyBorder="1" applyAlignment="1">
      <alignment horizontal="center"/>
    </xf>
    <xf numFmtId="15" fontId="23" fillId="46" borderId="29" xfId="0" quotePrefix="1" applyNumberFormat="1" applyFont="1" applyFill="1" applyBorder="1" applyAlignment="1">
      <alignment horizontal="center"/>
    </xf>
    <xf numFmtId="0" fontId="23" fillId="46" borderId="18" xfId="100" applyFont="1" applyFill="1" applyBorder="1" applyAlignment="1">
      <alignment horizontal="center"/>
    </xf>
    <xf numFmtId="0" fontId="23" fillId="46" borderId="0" xfId="100" applyFont="1" applyFill="1" applyAlignment="1">
      <alignment horizontal="center"/>
    </xf>
    <xf numFmtId="0" fontId="23" fillId="46" borderId="17" xfId="100" applyFont="1" applyFill="1" applyBorder="1" applyAlignment="1">
      <alignment horizontal="center"/>
    </xf>
    <xf numFmtId="41" fontId="9" fillId="46" borderId="25" xfId="100" applyNumberFormat="1" applyFont="1" applyFill="1" applyBorder="1" applyAlignment="1">
      <alignment horizontal="center"/>
    </xf>
    <xf numFmtId="41" fontId="9" fillId="46" borderId="26" xfId="100" applyNumberFormat="1" applyFont="1" applyFill="1" applyBorder="1" applyAlignment="1">
      <alignment horizontal="center"/>
    </xf>
    <xf numFmtId="41" fontId="9" fillId="46" borderId="29" xfId="100" applyNumberFormat="1" applyFont="1" applyFill="1" applyBorder="1" applyAlignment="1">
      <alignment horizontal="center"/>
    </xf>
    <xf numFmtId="0" fontId="0" fillId="0" borderId="28" xfId="0" applyBorder="1"/>
    <xf numFmtId="0" fontId="0" fillId="0" borderId="41" xfId="0" applyBorder="1"/>
    <xf numFmtId="0" fontId="23" fillId="46" borderId="18" xfId="0" quotePrefix="1" applyFont="1" applyFill="1" applyBorder="1" applyAlignment="1">
      <alignment horizontal="center"/>
    </xf>
    <xf numFmtId="195" fontId="9" fillId="46" borderId="25" xfId="0" applyNumberFormat="1" applyFont="1" applyFill="1" applyBorder="1" applyAlignment="1">
      <alignment horizontal="center"/>
    </xf>
    <xf numFmtId="195" fontId="9" fillId="46" borderId="26" xfId="0" applyNumberFormat="1" applyFont="1" applyFill="1" applyBorder="1" applyAlignment="1">
      <alignment horizontal="center"/>
    </xf>
    <xf numFmtId="195" fontId="9" fillId="46" borderId="29" xfId="0" applyNumberFormat="1" applyFont="1" applyFill="1" applyBorder="1" applyAlignment="1">
      <alignment horizontal="center"/>
    </xf>
    <xf numFmtId="0" fontId="23" fillId="46" borderId="0" xfId="0" applyFont="1" applyFill="1" applyAlignment="1">
      <alignment horizontal="center"/>
    </xf>
    <xf numFmtId="0" fontId="23" fillId="46" borderId="17" xfId="0" applyFont="1" applyFill="1" applyBorder="1" applyAlignment="1">
      <alignment horizontal="center"/>
    </xf>
    <xf numFmtId="0" fontId="23" fillId="46" borderId="25" xfId="0" quotePrefix="1" applyFont="1" applyFill="1" applyBorder="1" applyAlignment="1">
      <alignment horizontal="center"/>
    </xf>
    <xf numFmtId="0" fontId="23" fillId="46" borderId="26" xfId="0" quotePrefix="1" applyFont="1" applyFill="1" applyBorder="1" applyAlignment="1">
      <alignment horizontal="center"/>
    </xf>
    <xf numFmtId="0" fontId="23" fillId="46" borderId="29" xfId="0" quotePrefix="1" applyFont="1" applyFill="1" applyBorder="1" applyAlignment="1">
      <alignment horizontal="center"/>
    </xf>
    <xf numFmtId="0" fontId="6" fillId="48" borderId="28" xfId="0" applyFont="1" applyFill="1" applyBorder="1" applyAlignment="1">
      <alignment horizontal="center" vertical="center"/>
    </xf>
    <xf numFmtId="0" fontId="6" fillId="48" borderId="26" xfId="0" applyFont="1" applyFill="1" applyBorder="1" applyAlignment="1">
      <alignment horizontal="center" vertical="center"/>
    </xf>
  </cellXfs>
  <cellStyles count="18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1 - 20%" xfId="20" xr:uid="{00000000-0005-0000-0000-000013000000}"/>
    <cellStyle name="Accent1 - 40%" xfId="21" xr:uid="{00000000-0005-0000-0000-000014000000}"/>
    <cellStyle name="Accent1 - 60%" xfId="22" xr:uid="{00000000-0005-0000-0000-000015000000}"/>
    <cellStyle name="Accent2" xfId="23" builtinId="33" customBuiltin="1"/>
    <cellStyle name="Accent2 - 20%" xfId="24" xr:uid="{00000000-0005-0000-0000-000017000000}"/>
    <cellStyle name="Accent2 - 40%" xfId="25" xr:uid="{00000000-0005-0000-0000-000018000000}"/>
    <cellStyle name="Accent2 - 60%" xfId="26" xr:uid="{00000000-0005-0000-0000-000019000000}"/>
    <cellStyle name="Accent3" xfId="27" builtinId="37" customBuiltin="1"/>
    <cellStyle name="Accent3 - 20%" xfId="28" xr:uid="{00000000-0005-0000-0000-00001B000000}"/>
    <cellStyle name="Accent3 - 40%" xfId="29" xr:uid="{00000000-0005-0000-0000-00001C000000}"/>
    <cellStyle name="Accent3 - 60%" xfId="30" xr:uid="{00000000-0005-0000-0000-00001D000000}"/>
    <cellStyle name="Accent4" xfId="31" builtinId="41" customBuiltin="1"/>
    <cellStyle name="Accent4 - 20%" xfId="32" xr:uid="{00000000-0005-0000-0000-00001F000000}"/>
    <cellStyle name="Accent4 - 40%" xfId="33" xr:uid="{00000000-0005-0000-0000-000020000000}"/>
    <cellStyle name="Accent4 - 60%" xfId="34" xr:uid="{00000000-0005-0000-0000-000021000000}"/>
    <cellStyle name="Accent5" xfId="35" builtinId="45" customBuiltin="1"/>
    <cellStyle name="Accent5 - 20%" xfId="36" xr:uid="{00000000-0005-0000-0000-000023000000}"/>
    <cellStyle name="Accent5 - 40%" xfId="37" xr:uid="{00000000-0005-0000-0000-000024000000}"/>
    <cellStyle name="Accent5 - 60%" xfId="38" xr:uid="{00000000-0005-0000-0000-000025000000}"/>
    <cellStyle name="Accent6" xfId="39" builtinId="49" customBuiltin="1"/>
    <cellStyle name="Accent6 - 20%" xfId="40" xr:uid="{00000000-0005-0000-0000-000027000000}"/>
    <cellStyle name="Accent6 - 40%" xfId="41" xr:uid="{00000000-0005-0000-0000-000028000000}"/>
    <cellStyle name="Accent6 - 60%" xfId="42" xr:uid="{00000000-0005-0000-0000-000029000000}"/>
    <cellStyle name="B10IT" xfId="43" xr:uid="{00000000-0005-0000-0000-00002A000000}"/>
    <cellStyle name="B8DUND" xfId="44" xr:uid="{00000000-0005-0000-0000-00002B000000}"/>
    <cellStyle name="B8SUND" xfId="45" xr:uid="{00000000-0005-0000-0000-00002C000000}"/>
    <cellStyle name="Bad" xfId="46" builtinId="27" customBuiltin="1"/>
    <cellStyle name="Calc Currency (0)" xfId="47" xr:uid="{00000000-0005-0000-0000-00002E000000}"/>
    <cellStyle name="Calc Currency (2)" xfId="48" xr:uid="{00000000-0005-0000-0000-00002F000000}"/>
    <cellStyle name="Calc Percent (0)" xfId="49" xr:uid="{00000000-0005-0000-0000-000030000000}"/>
    <cellStyle name="Calc Percent (1)" xfId="50" xr:uid="{00000000-0005-0000-0000-000031000000}"/>
    <cellStyle name="Calc Percent (2)" xfId="51" xr:uid="{00000000-0005-0000-0000-000032000000}"/>
    <cellStyle name="Calc Units (0)" xfId="52" xr:uid="{00000000-0005-0000-0000-000033000000}"/>
    <cellStyle name="Calc Units (1)" xfId="53" xr:uid="{00000000-0005-0000-0000-000034000000}"/>
    <cellStyle name="Calc Units (2)" xfId="54" xr:uid="{00000000-0005-0000-0000-000035000000}"/>
    <cellStyle name="Calculation" xfId="55" builtinId="22" customBuiltin="1"/>
    <cellStyle name="Check Cell" xfId="56" builtinId="23" customBuiltin="1"/>
    <cellStyle name="Comma" xfId="57" builtinId="3"/>
    <cellStyle name="Comma [00]" xfId="58" xr:uid="{00000000-0005-0000-0000-000039000000}"/>
    <cellStyle name="Comma [2]" xfId="59" xr:uid="{00000000-0005-0000-0000-00003A000000}"/>
    <cellStyle name="Comma 2" xfId="60" xr:uid="{00000000-0005-0000-0000-00003B000000}"/>
    <cellStyle name="Comma 3 2" xfId="180" xr:uid="{2CDE265E-7CE1-427F-8162-D23A1450587B}"/>
    <cellStyle name="Comma_Minimum Rent Template" xfId="61" xr:uid="{00000000-0005-0000-0000-00003C000000}"/>
    <cellStyle name="Comma_New Minimum Rent Schedule" xfId="62" xr:uid="{00000000-0005-0000-0000-00003D000000}"/>
    <cellStyle name="Copied" xfId="63" xr:uid="{00000000-0005-0000-0000-00003E000000}"/>
    <cellStyle name="Currency" xfId="64" builtinId="4"/>
    <cellStyle name="Currency [00]" xfId="65" xr:uid="{00000000-0005-0000-0000-000040000000}"/>
    <cellStyle name="Currency [2]" xfId="66" xr:uid="{00000000-0005-0000-0000-000041000000}"/>
    <cellStyle name="Currency 2" xfId="178" xr:uid="{F8C081CD-C9F0-4548-B5B0-586BDF8DB8ED}"/>
    <cellStyle name="Currency_New Minimum Rent Schedule" xfId="67" xr:uid="{00000000-0005-0000-0000-000042000000}"/>
    <cellStyle name="Date Short" xfId="68" xr:uid="{00000000-0005-0000-0000-000043000000}"/>
    <cellStyle name="Emphasis 1" xfId="69" xr:uid="{00000000-0005-0000-0000-000044000000}"/>
    <cellStyle name="Emphasis 2" xfId="70" xr:uid="{00000000-0005-0000-0000-000045000000}"/>
    <cellStyle name="Emphasis 3" xfId="71" xr:uid="{00000000-0005-0000-0000-000046000000}"/>
    <cellStyle name="Enter Currency (0)" xfId="72" xr:uid="{00000000-0005-0000-0000-000047000000}"/>
    <cellStyle name="Enter Currency (2)" xfId="73" xr:uid="{00000000-0005-0000-0000-000048000000}"/>
    <cellStyle name="Enter Units (0)" xfId="74" xr:uid="{00000000-0005-0000-0000-000049000000}"/>
    <cellStyle name="Enter Units (1)" xfId="75" xr:uid="{00000000-0005-0000-0000-00004A000000}"/>
    <cellStyle name="Enter Units (2)" xfId="76" xr:uid="{00000000-0005-0000-0000-00004B000000}"/>
    <cellStyle name="Entered" xfId="77" xr:uid="{00000000-0005-0000-0000-00004C000000}"/>
    <cellStyle name="Explanatory Text" xfId="78" builtinId="53" customBuiltin="1"/>
    <cellStyle name="Good" xfId="79" builtinId="26" customBuiltin="1"/>
    <cellStyle name="Grey" xfId="80" xr:uid="{00000000-0005-0000-0000-00004F000000}"/>
    <cellStyle name="Header1" xfId="81" xr:uid="{00000000-0005-0000-0000-000050000000}"/>
    <cellStyle name="Header2" xfId="82" xr:uid="{00000000-0005-0000-0000-000051000000}"/>
    <cellStyle name="Heading 1" xfId="83" builtinId="16" customBuiltin="1"/>
    <cellStyle name="Heading 2" xfId="84" builtinId="17" customBuiltin="1"/>
    <cellStyle name="Heading 3" xfId="85" builtinId="18" customBuiltin="1"/>
    <cellStyle name="Heading 4" xfId="86" builtinId="19" customBuiltin="1"/>
    <cellStyle name="hman's" xfId="87" xr:uid="{00000000-0005-0000-0000-000056000000}"/>
    <cellStyle name="Input" xfId="88" builtinId="20" customBuiltin="1"/>
    <cellStyle name="Input [yellow]" xfId="89" xr:uid="{00000000-0005-0000-0000-000058000000}"/>
    <cellStyle name="Link Currency (0)" xfId="90" xr:uid="{00000000-0005-0000-0000-000059000000}"/>
    <cellStyle name="Link Currency (2)" xfId="91" xr:uid="{00000000-0005-0000-0000-00005A000000}"/>
    <cellStyle name="Link Units (0)" xfId="92" xr:uid="{00000000-0005-0000-0000-00005B000000}"/>
    <cellStyle name="Link Units (1)" xfId="93" xr:uid="{00000000-0005-0000-0000-00005C000000}"/>
    <cellStyle name="Link Units (2)" xfId="94" xr:uid="{00000000-0005-0000-0000-00005D000000}"/>
    <cellStyle name="Linked Cell" xfId="95" builtinId="24" customBuiltin="1"/>
    <cellStyle name="Neutral" xfId="96" builtinId="28" customBuiltin="1"/>
    <cellStyle name="Normal" xfId="0" builtinId="0"/>
    <cellStyle name="Normal - Style1" xfId="97" xr:uid="{00000000-0005-0000-0000-000061000000}"/>
    <cellStyle name="Normal 2" xfId="174" xr:uid="{CD0B2EAF-B1E5-4188-8D20-4FAFCBF8BE9A}"/>
    <cellStyle name="Normal 2 2" xfId="177" xr:uid="{B2431885-03C9-4D3C-B3B0-E590ACA23140}"/>
    <cellStyle name="Normal 3" xfId="175" xr:uid="{01AD8080-E731-49C2-9451-A48F554C4889}"/>
    <cellStyle name="Normal 4" xfId="176" xr:uid="{A3B45C2F-736C-4BC1-A7D6-862E44181D4C}"/>
    <cellStyle name="Normal_15500" xfId="171" xr:uid="{6B096DDE-2C45-41DA-96F5-C5B386C07E06}"/>
    <cellStyle name="Normal_16500A" xfId="172" xr:uid="{A0E40FBD-03A4-4312-80F9-8A8B68644603}"/>
    <cellStyle name="Normal_Alton Square" xfId="98" xr:uid="{00000000-0005-0000-0000-000062000000}"/>
    <cellStyle name="Normal_Alton Stats" xfId="99" xr:uid="{00000000-0005-0000-0000-000063000000}"/>
    <cellStyle name="Normal_Bad Debt Reserves" xfId="100" xr:uid="{00000000-0005-0000-0000-000064000000}"/>
    <cellStyle name="Normal_Cash Income_2" xfId="173" xr:uid="{285C7814-F8DA-4FAC-A120-8E08716C6222}"/>
    <cellStyle name="Normal_CR VAR" xfId="179" xr:uid="{6CECF7E4-B78B-41FF-8E26-FE1E21D43876}"/>
    <cellStyle name="Normal_FI Balance Sheet Schedule1.xls" xfId="101" xr:uid="{00000000-0005-0000-0000-000065000000}"/>
    <cellStyle name="Normal_FI BS Schedules" xfId="102" xr:uid="{00000000-0005-0000-0000-000066000000}"/>
    <cellStyle name="Normal_MRI Data" xfId="103" xr:uid="{00000000-0005-0000-0000-000067000000}"/>
    <cellStyle name="Normal_Receivable Schedule" xfId="104" xr:uid="{00000000-0005-0000-0000-000068000000}"/>
    <cellStyle name="Note" xfId="105" builtinId="10" customBuiltin="1"/>
    <cellStyle name="Output" xfId="106" builtinId="21" customBuiltin="1"/>
    <cellStyle name="Percent" xfId="107" builtinId="5"/>
    <cellStyle name="Percent [0]" xfId="108" xr:uid="{00000000-0005-0000-0000-00006C000000}"/>
    <cellStyle name="Percent [00]" xfId="109" xr:uid="{00000000-0005-0000-0000-00006D000000}"/>
    <cellStyle name="Percent [2]" xfId="110" xr:uid="{00000000-0005-0000-0000-00006E000000}"/>
    <cellStyle name="Percent_Alton Stats" xfId="111" xr:uid="{00000000-0005-0000-0000-00006F000000}"/>
    <cellStyle name="Percent_Crossroads Stats" xfId="112" xr:uid="{00000000-0005-0000-0000-000070000000}"/>
    <cellStyle name="Percent_Minimum Rent Template" xfId="113" xr:uid="{00000000-0005-0000-0000-000071000000}"/>
    <cellStyle name="Percent_New Minimum Rent Schedule" xfId="114" xr:uid="{00000000-0005-0000-0000-000072000000}"/>
    <cellStyle name="PrePop Currency (0)" xfId="115" xr:uid="{00000000-0005-0000-0000-000073000000}"/>
    <cellStyle name="PrePop Currency (2)" xfId="116" xr:uid="{00000000-0005-0000-0000-000074000000}"/>
    <cellStyle name="PrePop Units (0)" xfId="117" xr:uid="{00000000-0005-0000-0000-000075000000}"/>
    <cellStyle name="PrePop Units (1)" xfId="118" xr:uid="{00000000-0005-0000-0000-000076000000}"/>
    <cellStyle name="PrePop Units (2)" xfId="119" xr:uid="{00000000-0005-0000-0000-000077000000}"/>
    <cellStyle name="RevList" xfId="120" xr:uid="{00000000-0005-0000-0000-000078000000}"/>
    <cellStyle name="SAPBEXaggData" xfId="121" xr:uid="{00000000-0005-0000-0000-000079000000}"/>
    <cellStyle name="SAPBEXaggDataEmph" xfId="122" xr:uid="{00000000-0005-0000-0000-00007A000000}"/>
    <cellStyle name="SAPBEXaggItem" xfId="123" xr:uid="{00000000-0005-0000-0000-00007B000000}"/>
    <cellStyle name="SAPBEXaggItemX" xfId="124" xr:uid="{00000000-0005-0000-0000-00007C000000}"/>
    <cellStyle name="SAPBEXchaText" xfId="125" xr:uid="{00000000-0005-0000-0000-00007D000000}"/>
    <cellStyle name="SAPBEXexcBad7" xfId="126" xr:uid="{00000000-0005-0000-0000-00007E000000}"/>
    <cellStyle name="SAPBEXexcBad8" xfId="127" xr:uid="{00000000-0005-0000-0000-00007F000000}"/>
    <cellStyle name="SAPBEXexcBad9" xfId="128" xr:uid="{00000000-0005-0000-0000-000080000000}"/>
    <cellStyle name="SAPBEXexcCritical4" xfId="129" xr:uid="{00000000-0005-0000-0000-000081000000}"/>
    <cellStyle name="SAPBEXexcCritical5" xfId="130" xr:uid="{00000000-0005-0000-0000-000082000000}"/>
    <cellStyle name="SAPBEXexcCritical6" xfId="131" xr:uid="{00000000-0005-0000-0000-000083000000}"/>
    <cellStyle name="SAPBEXexcGood1" xfId="132" xr:uid="{00000000-0005-0000-0000-000084000000}"/>
    <cellStyle name="SAPBEXexcGood2" xfId="133" xr:uid="{00000000-0005-0000-0000-000085000000}"/>
    <cellStyle name="SAPBEXexcGood3" xfId="134" xr:uid="{00000000-0005-0000-0000-000086000000}"/>
    <cellStyle name="SAPBEXfilterDrill" xfId="135" xr:uid="{00000000-0005-0000-0000-000087000000}"/>
    <cellStyle name="SAPBEXfilterItem" xfId="136" xr:uid="{00000000-0005-0000-0000-000088000000}"/>
    <cellStyle name="SAPBEXfilterText" xfId="137" xr:uid="{00000000-0005-0000-0000-000089000000}"/>
    <cellStyle name="SAPBEXformats" xfId="138" xr:uid="{00000000-0005-0000-0000-00008A000000}"/>
    <cellStyle name="SAPBEXheaderItem" xfId="139" xr:uid="{00000000-0005-0000-0000-00008B000000}"/>
    <cellStyle name="SAPBEXheaderText" xfId="140" xr:uid="{00000000-0005-0000-0000-00008C000000}"/>
    <cellStyle name="SAPBEXHLevel0" xfId="141" xr:uid="{00000000-0005-0000-0000-00008D000000}"/>
    <cellStyle name="SAPBEXHLevel0X" xfId="142" xr:uid="{00000000-0005-0000-0000-00008E000000}"/>
    <cellStyle name="SAPBEXHLevel1" xfId="143" xr:uid="{00000000-0005-0000-0000-00008F000000}"/>
    <cellStyle name="SAPBEXHLevel1X" xfId="144" xr:uid="{00000000-0005-0000-0000-000090000000}"/>
    <cellStyle name="SAPBEXHLevel2" xfId="145" xr:uid="{00000000-0005-0000-0000-000091000000}"/>
    <cellStyle name="SAPBEXHLevel2X" xfId="146" xr:uid="{00000000-0005-0000-0000-000092000000}"/>
    <cellStyle name="SAPBEXHLevel3" xfId="147" xr:uid="{00000000-0005-0000-0000-000093000000}"/>
    <cellStyle name="SAPBEXHLevel3X" xfId="148" xr:uid="{00000000-0005-0000-0000-000094000000}"/>
    <cellStyle name="SAPBEXinputData" xfId="149" xr:uid="{00000000-0005-0000-0000-000095000000}"/>
    <cellStyle name="SAPBEXItemHeader" xfId="150" xr:uid="{00000000-0005-0000-0000-000096000000}"/>
    <cellStyle name="SAPBEXresData" xfId="151" xr:uid="{00000000-0005-0000-0000-000097000000}"/>
    <cellStyle name="SAPBEXresDataEmph" xfId="152" xr:uid="{00000000-0005-0000-0000-000098000000}"/>
    <cellStyle name="SAPBEXresItem" xfId="153" xr:uid="{00000000-0005-0000-0000-000099000000}"/>
    <cellStyle name="SAPBEXresItemX" xfId="154" xr:uid="{00000000-0005-0000-0000-00009A000000}"/>
    <cellStyle name="SAPBEXstdData" xfId="155" xr:uid="{00000000-0005-0000-0000-00009B000000}"/>
    <cellStyle name="SAPBEXstdDataEmph" xfId="156" xr:uid="{00000000-0005-0000-0000-00009C000000}"/>
    <cellStyle name="SAPBEXstdItem" xfId="157" xr:uid="{00000000-0005-0000-0000-00009D000000}"/>
    <cellStyle name="SAPBEXstdItemX" xfId="158" xr:uid="{00000000-0005-0000-0000-00009E000000}"/>
    <cellStyle name="SAPBEXtitle" xfId="159" xr:uid="{00000000-0005-0000-0000-00009F000000}"/>
    <cellStyle name="SAPBEXunassignedItem" xfId="160" xr:uid="{00000000-0005-0000-0000-0000A0000000}"/>
    <cellStyle name="SAPBEXundefined" xfId="161" xr:uid="{00000000-0005-0000-0000-0000A1000000}"/>
    <cellStyle name="Sheet Title" xfId="162" xr:uid="{00000000-0005-0000-0000-0000A2000000}"/>
    <cellStyle name="Style 1" xfId="163" xr:uid="{00000000-0005-0000-0000-0000A3000000}"/>
    <cellStyle name="Subtotal" xfId="164" xr:uid="{00000000-0005-0000-0000-0000A4000000}"/>
    <cellStyle name="Text Indent A" xfId="165" xr:uid="{00000000-0005-0000-0000-0000A5000000}"/>
    <cellStyle name="Text Indent B" xfId="166" xr:uid="{00000000-0005-0000-0000-0000A6000000}"/>
    <cellStyle name="Text Indent C" xfId="167" xr:uid="{00000000-0005-0000-0000-0000A7000000}"/>
    <cellStyle name="Title" xfId="168" builtinId="15" customBuiltin="1"/>
    <cellStyle name="Total" xfId="169" builtinId="25" customBuiltin="1"/>
    <cellStyle name="Warning Text" xfId="170" builtinId="11" customBuiltin="1"/>
  </cellStyles>
  <dxfs count="18"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heetMetadata" Target="metadata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5.xml"/><Relationship Id="rId89" Type="http://schemas.openxmlformats.org/officeDocument/2006/relationships/externalLink" Target="externalLinks/externalLink10.xml"/><Relationship Id="rId112" Type="http://schemas.openxmlformats.org/officeDocument/2006/relationships/externalLink" Target="externalLinks/externalLink33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2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externalLink" Target="externalLinks/externalLink2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11.xml"/><Relationship Id="rId95" Type="http://schemas.openxmlformats.org/officeDocument/2006/relationships/externalLink" Target="externalLinks/externalLink16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externalLink" Target="externalLinks/externalLink34.xml"/><Relationship Id="rId118" Type="http://schemas.openxmlformats.org/officeDocument/2006/relationships/calcChain" Target="calcChain.xml"/><Relationship Id="rId80" Type="http://schemas.openxmlformats.org/officeDocument/2006/relationships/externalLink" Target="externalLinks/externalLink1.xml"/><Relationship Id="rId85" Type="http://schemas.openxmlformats.org/officeDocument/2006/relationships/externalLink" Target="externalLinks/externalLink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24.xml"/><Relationship Id="rId108" Type="http://schemas.openxmlformats.org/officeDocument/2006/relationships/externalLink" Target="externalLinks/externalLink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externalLink" Target="externalLinks/externalLink12.xml"/><Relationship Id="rId96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theme" Target="theme/theme1.xml"/><Relationship Id="rId119" Type="http://schemas.openxmlformats.org/officeDocument/2006/relationships/customXml" Target="../customXml/item1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externalLink" Target="externalLinks/externalLink2.xml"/><Relationship Id="rId86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30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18.xml"/><Relationship Id="rId104" Type="http://schemas.openxmlformats.org/officeDocument/2006/relationships/externalLink" Target="externalLinks/externalLink25.xml"/><Relationship Id="rId12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externalLink" Target="externalLinks/externalLink8.xml"/><Relationship Id="rId110" Type="http://schemas.openxmlformats.org/officeDocument/2006/relationships/externalLink" Target="externalLinks/externalLink31.xml"/><Relationship Id="rId115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externalLink" Target="externalLinks/externalLink21.xml"/><Relationship Id="rId105" Type="http://schemas.openxmlformats.org/officeDocument/2006/relationships/externalLink" Target="externalLinks/externalLink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14.xml"/><Relationship Id="rId98" Type="http://schemas.openxmlformats.org/officeDocument/2006/relationships/externalLink" Target="externalLinks/externalLink19.xml"/><Relationship Id="rId12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externalLink" Target="externalLinks/externalLink4.xml"/><Relationship Id="rId88" Type="http://schemas.openxmlformats.org/officeDocument/2006/relationships/externalLink" Target="externalLinks/externalLink9.xml"/><Relationship Id="rId111" Type="http://schemas.openxmlformats.org/officeDocument/2006/relationships/externalLink" Target="externalLinks/externalLink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externalLink" Target="externalLinks/externalLink15.xml"/><Relationship Id="rId99" Type="http://schemas.openxmlformats.org/officeDocument/2006/relationships/externalLink" Target="externalLinks/externalLink20.xml"/><Relationship Id="rId101" Type="http://schemas.openxmlformats.org/officeDocument/2006/relationships/externalLink" Target="externalLinks/externalLink22.xml"/><Relationship Id="rId1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pic>
      <xdr:nvPicPr>
        <xdr:cNvPr id="5740" name="Picture 1" descr="Retail-h">
          <a:extLst>
            <a:ext uri="{FF2B5EF4-FFF2-40B4-BE49-F238E27FC236}">
              <a16:creationId xmlns:a16="http://schemas.microsoft.com/office/drawing/2014/main" id="{F1027D4C-0320-4067-806C-DBBBDB402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pic>
      <xdr:nvPicPr>
        <xdr:cNvPr id="5741" name="Picture 2" descr="Retail-h">
          <a:extLst>
            <a:ext uri="{FF2B5EF4-FFF2-40B4-BE49-F238E27FC236}">
              <a16:creationId xmlns:a16="http://schemas.microsoft.com/office/drawing/2014/main" id="{F8FBCF94-0FCE-4219-B4A0-ED84C7F2A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2409825</xdr:colOff>
      <xdr:row>1</xdr:row>
      <xdr:rowOff>9525</xdr:rowOff>
    </xdr:from>
    <xdr:to>
      <xdr:col>1</xdr:col>
      <xdr:colOff>3886200</xdr:colOff>
      <xdr:row>5</xdr:row>
      <xdr:rowOff>76200</xdr:rowOff>
    </xdr:to>
    <xdr:pic>
      <xdr:nvPicPr>
        <xdr:cNvPr id="5742" name="Picture 193">
          <a:extLst>
            <a:ext uri="{FF2B5EF4-FFF2-40B4-BE49-F238E27FC236}">
              <a16:creationId xmlns:a16="http://schemas.microsoft.com/office/drawing/2014/main" id="{D16CE001-4A03-43F2-BCA4-AEB00AA5B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171450"/>
          <a:ext cx="1476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Vivien/Combo%20Varnotes-N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1\users\SLee\Combination\Var%20Notes%20(Master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1/users/vlynn/Combo%20Varnotes-Vann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1\users\vlynn\Combo%20Varnotes-Vann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4XX%20The%20Marketplace/TMP%20III/EXCEL/2001-2002/JE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Trang\Kristen\VarianceNotes-Kriste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PG\Retail%20Properties\Integration\Accounting\ACCTG\Monthly%20Reporting\TIC%20Monthly%20Financials\New%20Varnotes%20Files\MRI%20VARNOTES%20-%20Crystal%20Cov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TIC%20Financials%20-%20Nc\2007%2008%20Financials\December%20'07\New%20Varnotes%20Files\MRI%20VARNOTES%20-%20Alton%20Squa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PG\Retail%20Properties\Integration\Accounting\ACCTG\Monthly%20Reporting\TIC%20Monthly%20Financials\New%20Varnotes%20Files\MRI%20VARNOTES%20-%20Bayside.xls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ARAGON/CARSON%20CROSSINGS/MONTHLY%20REPORTS/2025/6.2025/264%20-06.2025%20Monthly%20Schedule.xlsx" TargetMode="External"/><Relationship Id="rId2" Type="http://schemas.openxmlformats.org/officeDocument/2006/relationships/externalLinkPath" Target="file:///J:\PARAGON\CARSON%20CROSSINGS\MONTHLY%20REPORTS\2025\6.2025\264%20-06.2025%20Monthly%20Schedule.xlsx" TargetMode="External"/><Relationship Id="rId1" Type="http://schemas.openxmlformats.org/officeDocument/2006/relationships/externalLinkPath" Target="/PARAGON/CARSON%20CROSSINGS/MONTHLY%20REPORTS/2025/6.2025/264%20-06.2025%20Monthly%20Schedul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hared\Retail\Operations%20Financial%20Reports\NC's\Coyle\Preliminary%20Reports\Crystal%20Cove%20-%20Prelim%20-%20Dec%20'0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2/Shared/IPG/Retail%20Properties/Integration/Accounting/ACCTG/Monthly%20Reporting/Amy%20B/Variance%20Budget%20NOI-Harbor%20View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Variance%20Budget%20NOI-Harbor%20View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2/Shared/IPG/Retail%20Properties/Integration/Accounting/ACCTG/Monthly%20Reporting/TIC%20Financials%20-%20Nc/2004%2005%20Financials/Juliana/Combo%20Varnotes%200605-Julian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PG\Retail%20Properties\Integration\Accounting\ACCTG\Monthly%20Reporting\TIC%20Financials%20-%20Nc\2004%2005%20Financials\Juliana\Combo%20Varnotes%200605-Julian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TIC%20Financials%20-%20Nc\2004%2005%20Financials\Juliana\Combo%20Varnotes%200605-Julian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2/Shared/IPG/Retail%20Properties/Integration/Accounting/ACCTG/Monthly%20Reporting/Kim's%20Properties/variance%20budget-ki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Kim's%20Properties\variance%20budget-ki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1/users/amozaffar/variance%20budget%20TMP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1\users\amozaffar\variance%20budget%20TMP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variance%20budget%20TM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Documents%20and%20Settings/amozaffar/Local%20Settings/Temporary%20Internet%20Files/OLK2B/variance%20budget%20TM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variance%20budget-Origin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2/Shared/IPG/Retail%20Properties/Integration/Accounting/ACCTG/Monthly%20Reporting/Amy%20B/NOI%20Budget-Forecast%20Upload/variance%20budget-Am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NOI%20Budget-Forecast%20Upload\variance%20budget-Am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Trang\NOI%20Budget-Forecast%20Upload\variance%20budget-Amy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Documents%20and%20Settings/ABustos/My%20Documents/Variance%20Forecast%20NOI-Harbor%20View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2/Shared/IPG/Retail%20Properties/Integration/Accounting/ACCTG/Monthly%20Reporting/Amy%20B/variance%20budget-Amy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variance%20budget-Amy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Documents%20and%20Settings/ABustos/My%20Documents/Variance%20Budget%20NOI-Harbor%20View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NOI%20Budget-Forecast%20Upload\variance%20budget-alison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variance%20budget-alis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PG\Retail%20Properties\Integration\Accounting\ACCTG\Monthly%20Reporting\TIC%20Financials%20-%20Nc\2009%2010%20Financials\February%20'10\Alton%20Square%20-%20Feb%20'1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PG\Retail%20Properties\Integration\Accounting\ACCTG\Monthly%20Reporting\TIC%20Monthly%20Financials\Crystal%20Cov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quare (The)"/>
      <sheetName val="Bayside"/>
      <sheetName val="Bluffs"/>
      <sheetName val="Newport North"/>
      <sheetName val="data"/>
      <sheetName val="#REF"/>
      <sheetName val="JE"/>
      <sheetName val="variance"/>
      <sheetName val="Combo Varnotes-NC"/>
      <sheetName val="Westcliff"/>
      <sheetName val="Eastbluff"/>
    </sheetNames>
    <sheetDataSet>
      <sheetData sheetId="0">
        <row r="18">
          <cell r="D18" t="str">
            <v>Other Income</v>
          </cell>
        </row>
        <row r="19">
          <cell r="D19" t="str">
            <v>Rental Income - Vacancy</v>
          </cell>
        </row>
        <row r="20">
          <cell r="D20" t="str">
            <v>Late Fees</v>
          </cell>
        </row>
        <row r="21">
          <cell r="D21" t="str">
            <v>TOTAL REVENUE</v>
          </cell>
        </row>
      </sheetData>
      <sheetData sheetId="1"/>
      <sheetData sheetId="2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Ten Months Ended April 2005</v>
          </cell>
        </row>
        <row r="7">
          <cell r="G7" t="str">
            <v>Budget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</row>
        <row r="10">
          <cell r="B10">
            <v>62145</v>
          </cell>
          <cell r="C10" t="str">
            <v>Bluffs</v>
          </cell>
        </row>
        <row r="12">
          <cell r="D12" t="str">
            <v>REVENUE</v>
          </cell>
        </row>
        <row r="13">
          <cell r="A13" t="str">
            <v>6214541050</v>
          </cell>
          <cell r="B13">
            <v>41050</v>
          </cell>
          <cell r="D13" t="str">
            <v>Rental Income - Fixed</v>
          </cell>
          <cell r="F13">
            <v>1923003.65</v>
          </cell>
          <cell r="G13">
            <v>1931406.42</v>
          </cell>
          <cell r="H13">
            <v>-8402.7700000000186</v>
          </cell>
          <cell r="I13">
            <v>-4.3505964943411643E-3</v>
          </cell>
        </row>
        <row r="14">
          <cell r="A14" t="str">
            <v>6214541074</v>
          </cell>
          <cell r="B14">
            <v>41074</v>
          </cell>
          <cell r="D14" t="str">
            <v>Rental Income - Percentage</v>
          </cell>
          <cell r="F14">
            <v>0</v>
          </cell>
          <cell r="G14">
            <v>0</v>
          </cell>
          <cell r="H14">
            <v>0</v>
          </cell>
          <cell r="I14" t="str">
            <v>N/A</v>
          </cell>
        </row>
        <row r="15">
          <cell r="A15" t="str">
            <v>6214541082</v>
          </cell>
          <cell r="B15">
            <v>41082</v>
          </cell>
          <cell r="D15" t="str">
            <v>Rental Income - Operating Expense Recoveries</v>
          </cell>
          <cell r="F15">
            <v>725544.49</v>
          </cell>
          <cell r="G15">
            <v>651468.48</v>
          </cell>
          <cell r="H15">
            <v>74076.010000000009</v>
          </cell>
          <cell r="I15">
            <v>0.11370620724428604</v>
          </cell>
        </row>
        <row r="16">
          <cell r="A16" t="str">
            <v>6214545071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</row>
        <row r="17">
          <cell r="A17" t="str">
            <v>6214545070</v>
          </cell>
          <cell r="B17">
            <v>45070</v>
          </cell>
          <cell r="D17" t="str">
            <v>Other Income</v>
          </cell>
          <cell r="F17">
            <v>-0.01</v>
          </cell>
          <cell r="G17">
            <v>106.09</v>
          </cell>
          <cell r="H17">
            <v>-106.10000000000001</v>
          </cell>
          <cell r="I17">
            <v>-1.0000942595909135</v>
          </cell>
        </row>
        <row r="18">
          <cell r="A18" t="str">
            <v>6214541060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-25829</v>
          </cell>
          <cell r="H18">
            <v>25829</v>
          </cell>
          <cell r="I18">
            <v>-1</v>
          </cell>
        </row>
        <row r="19">
          <cell r="A19" t="str">
            <v>6214544870</v>
          </cell>
          <cell r="B19">
            <v>44870</v>
          </cell>
          <cell r="D19" t="str">
            <v>Late Fees</v>
          </cell>
          <cell r="F19">
            <v>4000</v>
          </cell>
          <cell r="G19">
            <v>0</v>
          </cell>
          <cell r="H19">
            <v>4000</v>
          </cell>
          <cell r="I19" t="str">
            <v>N/A</v>
          </cell>
        </row>
        <row r="20">
          <cell r="D20" t="str">
            <v>TOTAL REVENUE</v>
          </cell>
          <cell r="F20">
            <v>2652548.13</v>
          </cell>
          <cell r="G20">
            <v>2557151.9899999998</v>
          </cell>
          <cell r="H20">
            <v>95396.139999999985</v>
          </cell>
          <cell r="I20">
            <v>3.7305619835291834E-2</v>
          </cell>
        </row>
        <row r="22">
          <cell r="D22" t="str">
            <v>Exclusion to CAM True Up</v>
          </cell>
          <cell r="F22">
            <v>68855</v>
          </cell>
        </row>
        <row r="23">
          <cell r="D23" t="str">
            <v>CAM Rev Excluding PY, HVAC</v>
          </cell>
          <cell r="F23">
            <v>656689.49</v>
          </cell>
          <cell r="G23">
            <v>651468.48</v>
          </cell>
        </row>
        <row r="24">
          <cell r="D24" t="str">
            <v>CAM Recovery Ratio</v>
          </cell>
          <cell r="F24">
            <v>1.0670856982813779</v>
          </cell>
          <cell r="G24">
            <v>0.98300006610486046</v>
          </cell>
          <cell r="H24">
            <v>8.4085632176517433E-2</v>
          </cell>
          <cell r="I24">
            <v>8.5539803175911172E-2</v>
          </cell>
        </row>
        <row r="26">
          <cell r="D26" t="str">
            <v>REIMBURSABLE EXPENSES</v>
          </cell>
        </row>
        <row r="27">
          <cell r="A27" t="str">
            <v>6214572710</v>
          </cell>
          <cell r="B27">
            <v>72710</v>
          </cell>
          <cell r="D27" t="str">
            <v>Utilities - Electricity</v>
          </cell>
          <cell r="F27">
            <v>31712.44</v>
          </cell>
          <cell r="G27">
            <v>40804</v>
          </cell>
          <cell r="H27">
            <v>9091.5600000000013</v>
          </cell>
          <cell r="I27">
            <v>0.22281050877364966</v>
          </cell>
          <cell r="J27" t="str">
            <v>High budget in October and January based on historical data.</v>
          </cell>
        </row>
        <row r="28">
          <cell r="A28" t="str">
            <v>6214572770</v>
          </cell>
          <cell r="B28">
            <v>72770</v>
          </cell>
          <cell r="D28" t="str">
            <v>Utilities - Water</v>
          </cell>
          <cell r="F28">
            <v>8959.8799999999992</v>
          </cell>
          <cell r="G28">
            <v>6078.12</v>
          </cell>
          <cell r="H28">
            <v>-2881.7599999999993</v>
          </cell>
          <cell r="I28">
            <v>-0.47412028719406646</v>
          </cell>
          <cell r="J28" t="str">
            <v>Account is underbudgeted. Adjusted in forecast.</v>
          </cell>
        </row>
        <row r="29">
          <cell r="A29" t="str">
            <v>6214576000</v>
          </cell>
          <cell r="B29">
            <v>76000</v>
          </cell>
          <cell r="D29" t="str">
            <v>Bldg Maintenance &amp; Repair</v>
          </cell>
          <cell r="F29">
            <v>89102.080000000002</v>
          </cell>
          <cell r="G29">
            <v>44478.65</v>
          </cell>
          <cell r="H29">
            <v>-44623.43</v>
          </cell>
          <cell r="I29">
            <v>-1.0032550448361179</v>
          </cell>
          <cell r="J29" t="str">
            <v>Plumbing rprs to move pipes underground ($8,263K) not anticipated in the budget. Window/Awning cleaning of $2K will be used in 05/05. Add'tl grease removal svcs not anticipated ($5K). Backflow repairs not anticipated ($1,332)</v>
          </cell>
        </row>
        <row r="30">
          <cell r="A30" t="str">
            <v>6214576020</v>
          </cell>
          <cell r="B30">
            <v>76020</v>
          </cell>
          <cell r="D30" t="str">
            <v>Food Court Expenses</v>
          </cell>
          <cell r="F30">
            <v>0</v>
          </cell>
          <cell r="G30">
            <v>0</v>
          </cell>
          <cell r="H30">
            <v>0</v>
          </cell>
          <cell r="I30" t="str">
            <v>N/A</v>
          </cell>
          <cell r="J30">
            <v>1</v>
          </cell>
        </row>
        <row r="31">
          <cell r="A31" t="str">
            <v>6214576050</v>
          </cell>
          <cell r="B31">
            <v>76050</v>
          </cell>
          <cell r="D31" t="str">
            <v>Cleaning Expense</v>
          </cell>
          <cell r="F31">
            <v>86092.2</v>
          </cell>
          <cell r="G31">
            <v>94059.72</v>
          </cell>
          <cell r="H31">
            <v>7967.5200000000041</v>
          </cell>
          <cell r="I31">
            <v>8.4707035062405081E-2</v>
          </cell>
        </row>
        <row r="32">
          <cell r="A32" t="str">
            <v>6214576091</v>
          </cell>
          <cell r="B32">
            <v>76091</v>
          </cell>
          <cell r="D32" t="str">
            <v>Parking Maintenance</v>
          </cell>
          <cell r="F32">
            <v>100818.8</v>
          </cell>
          <cell r="G32">
            <v>40012.32</v>
          </cell>
          <cell r="H32">
            <v>-60806.48</v>
          </cell>
          <cell r="I32">
            <v>-1.5196939342682454</v>
          </cell>
          <cell r="J32" t="str">
            <v>Valet parking program started, not accounted for in the budget.</v>
          </cell>
        </row>
        <row r="33">
          <cell r="A33" t="str">
            <v>6214577000</v>
          </cell>
          <cell r="B33">
            <v>77000</v>
          </cell>
          <cell r="D33" t="str">
            <v>Grounds Maintenance</v>
          </cell>
          <cell r="F33">
            <v>36689.050000000003</v>
          </cell>
          <cell r="G33">
            <v>39821.07</v>
          </cell>
          <cell r="H33">
            <v>3132.0199999999968</v>
          </cell>
          <cell r="I33">
            <v>7.8652331542070492E-2</v>
          </cell>
          <cell r="J33" t="str">
            <v>Misc Rpr and Common Area Seating Account has budget, but no expenses. (PERM).</v>
          </cell>
        </row>
        <row r="34">
          <cell r="A34" t="str">
            <v>6214577053</v>
          </cell>
          <cell r="B34">
            <v>77053</v>
          </cell>
          <cell r="D34" t="str">
            <v>Landscaping</v>
          </cell>
          <cell r="F34">
            <v>70737</v>
          </cell>
          <cell r="G34">
            <v>50163.77</v>
          </cell>
          <cell r="H34">
            <v>-20573.230000000003</v>
          </cell>
          <cell r="I34">
            <v>-0.41012128873089093</v>
          </cell>
          <cell r="J34" t="str">
            <v>Canary Palm expensed (instead of amortizing it). ($16,500).</v>
          </cell>
        </row>
        <row r="35">
          <cell r="A35" t="str">
            <v>6214578020</v>
          </cell>
          <cell r="B35">
            <v>78020</v>
          </cell>
          <cell r="D35" t="str">
            <v>Amortized CAM Exp</v>
          </cell>
          <cell r="F35">
            <v>28417.56</v>
          </cell>
          <cell r="G35">
            <v>1</v>
          </cell>
          <cell r="H35">
            <v>-28416.560000000001</v>
          </cell>
          <cell r="I35">
            <v>-28416.560000000001</v>
          </cell>
        </row>
        <row r="36">
          <cell r="A36" t="str">
            <v>6214585584</v>
          </cell>
          <cell r="B36">
            <v>85584</v>
          </cell>
          <cell r="D36" t="str">
            <v>Bldg Admin-Office Costs</v>
          </cell>
          <cell r="F36">
            <v>4055.24</v>
          </cell>
          <cell r="G36">
            <v>6106</v>
          </cell>
          <cell r="H36">
            <v>2050.7600000000002</v>
          </cell>
          <cell r="I36">
            <v>0.33585981002292831</v>
          </cell>
          <cell r="J36" t="str">
            <v>Actual expenses are lower than anticipated in budget.</v>
          </cell>
        </row>
        <row r="37">
          <cell r="A37" t="str">
            <v>6214585582</v>
          </cell>
          <cell r="B37">
            <v>85582</v>
          </cell>
          <cell r="D37" t="str">
            <v>Bldg Admin-Salaries</v>
          </cell>
          <cell r="F37">
            <v>23098.51</v>
          </cell>
          <cell r="G37">
            <v>36631.300000000003</v>
          </cell>
          <cell r="H37">
            <v>13532.790000000005</v>
          </cell>
          <cell r="I37">
            <v>0.36943242527565234</v>
          </cell>
          <cell r="J37" t="str">
            <v>Actual expenses are lower than anticipated in budget.</v>
          </cell>
        </row>
        <row r="38">
          <cell r="A38" t="str">
            <v>6214586564</v>
          </cell>
          <cell r="B38">
            <v>86564</v>
          </cell>
          <cell r="D38" t="str">
            <v>Insurance</v>
          </cell>
          <cell r="F38">
            <v>27405</v>
          </cell>
          <cell r="G38">
            <v>23005</v>
          </cell>
          <cell r="H38">
            <v>-4400</v>
          </cell>
          <cell r="I38">
            <v>-0.19126276896326885</v>
          </cell>
          <cell r="J38" t="str">
            <v>Actual expenses are higher than anticipated in budget.</v>
          </cell>
        </row>
        <row r="39">
          <cell r="A39" t="str">
            <v>6214588890</v>
          </cell>
          <cell r="B39">
            <v>88890</v>
          </cell>
          <cell r="D39" t="str">
            <v>Security/Safety</v>
          </cell>
          <cell r="F39">
            <v>29399.58</v>
          </cell>
          <cell r="G39">
            <v>57415.98</v>
          </cell>
          <cell r="H39">
            <v>28016.400000000001</v>
          </cell>
          <cell r="I39">
            <v>0.4879547470930567</v>
          </cell>
          <cell r="J39" t="str">
            <v>Bills have been reduced. Budget is higher than expenses (Perm).</v>
          </cell>
        </row>
        <row r="40">
          <cell r="A40" t="str">
            <v>6214589786</v>
          </cell>
          <cell r="B40">
            <v>89786</v>
          </cell>
          <cell r="D40" t="str">
            <v>Property Tax Exp</v>
          </cell>
          <cell r="F40">
            <v>78917.3</v>
          </cell>
          <cell r="G40">
            <v>224158</v>
          </cell>
          <cell r="H40">
            <v>145240.70000000001</v>
          </cell>
          <cell r="I40">
            <v>0.6479389537736775</v>
          </cell>
          <cell r="J40" t="str">
            <v>New center. Tax bill estimates are a lot higher than actual.</v>
          </cell>
        </row>
        <row r="41">
          <cell r="D41" t="str">
            <v>Total Reimbursable</v>
          </cell>
          <cell r="F41">
            <v>615404.64</v>
          </cell>
          <cell r="G41">
            <v>662734.92999999993</v>
          </cell>
          <cell r="H41">
            <v>47330.290000000008</v>
          </cell>
          <cell r="I41">
            <v>7.1416622027150448E-2</v>
          </cell>
        </row>
        <row r="43">
          <cell r="D43" t="str">
            <v>NON-REIMBURSABLE EXPENSES</v>
          </cell>
        </row>
        <row r="44">
          <cell r="A44" t="str">
            <v>6214572701</v>
          </cell>
          <cell r="B44">
            <v>72701</v>
          </cell>
          <cell r="D44" t="str">
            <v>Utilities</v>
          </cell>
          <cell r="F44">
            <v>0</v>
          </cell>
          <cell r="G44">
            <v>0</v>
          </cell>
          <cell r="H44">
            <v>0</v>
          </cell>
          <cell r="I44" t="str">
            <v>N/A</v>
          </cell>
        </row>
        <row r="45">
          <cell r="A45" t="str">
            <v>6214576010</v>
          </cell>
          <cell r="B45">
            <v>76010</v>
          </cell>
          <cell r="D45" t="str">
            <v>Tenant Alterations</v>
          </cell>
          <cell r="F45">
            <v>2.11</v>
          </cell>
          <cell r="G45">
            <v>0</v>
          </cell>
          <cell r="H45">
            <v>-2.11</v>
          </cell>
          <cell r="I45" t="str">
            <v>N/A</v>
          </cell>
        </row>
        <row r="46">
          <cell r="A46" t="str">
            <v>6214576054</v>
          </cell>
          <cell r="B46">
            <v>76054</v>
          </cell>
          <cell r="D46" t="str">
            <v>Bldg Maintenance &amp; Repair</v>
          </cell>
          <cell r="F46">
            <v>27450.81</v>
          </cell>
          <cell r="G46">
            <v>776.64</v>
          </cell>
          <cell r="H46">
            <v>-26674.170000000002</v>
          </cell>
          <cell r="I46">
            <v>-34.345604140914709</v>
          </cell>
          <cell r="J46" t="str">
            <v xml:space="preserve">Variance due to add'tl grease services and grease trap pump to control odor. </v>
          </cell>
        </row>
        <row r="47">
          <cell r="A47" t="str">
            <v>6214584240</v>
          </cell>
          <cell r="B47">
            <v>84240</v>
          </cell>
          <cell r="D47" t="str">
            <v>Marketing Leasing</v>
          </cell>
          <cell r="F47">
            <v>60.52</v>
          </cell>
          <cell r="G47">
            <v>1456</v>
          </cell>
          <cell r="H47">
            <v>1395.48</v>
          </cell>
          <cell r="I47">
            <v>0.95843406593406599</v>
          </cell>
        </row>
        <row r="48">
          <cell r="A48" t="str">
            <v>6214584242</v>
          </cell>
          <cell r="B48">
            <v>84242</v>
          </cell>
          <cell r="D48" t="str">
            <v>Marketing-Subsidy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6214585016</v>
          </cell>
          <cell r="B49">
            <v>85016</v>
          </cell>
          <cell r="D49" t="str">
            <v>Prof Svc-Attorney Outside</v>
          </cell>
          <cell r="F49">
            <v>-1000</v>
          </cell>
          <cell r="G49">
            <v>717.91</v>
          </cell>
          <cell r="H49">
            <v>1717.9099999999999</v>
          </cell>
          <cell r="I49">
            <v>2.3929322617041131</v>
          </cell>
        </row>
        <row r="50">
          <cell r="A50" t="str">
            <v>6214585022</v>
          </cell>
          <cell r="B50">
            <v>85022</v>
          </cell>
          <cell r="D50" t="str">
            <v>Prof Svc-Audit/Acctng</v>
          </cell>
          <cell r="F50">
            <v>1950</v>
          </cell>
          <cell r="G50">
            <v>642.04999999999995</v>
          </cell>
          <cell r="H50">
            <v>-1307.95</v>
          </cell>
          <cell r="I50">
            <v>-2.0371466396698077</v>
          </cell>
        </row>
        <row r="51">
          <cell r="A51" t="str">
            <v>6214585500</v>
          </cell>
          <cell r="B51">
            <v>85500</v>
          </cell>
          <cell r="D51" t="str">
            <v>Consulting Services</v>
          </cell>
          <cell r="F51">
            <v>4063.38</v>
          </cell>
          <cell r="G51">
            <v>1565</v>
          </cell>
          <cell r="H51">
            <v>-2498.38</v>
          </cell>
          <cell r="I51">
            <v>-1.5964089456869011</v>
          </cell>
        </row>
        <row r="52">
          <cell r="A52" t="str">
            <v>6214585566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6214585581</v>
          </cell>
          <cell r="B53">
            <v>85581</v>
          </cell>
          <cell r="D53" t="str">
            <v>Bldg Admin- Salaries</v>
          </cell>
          <cell r="F53">
            <v>16600.330000000002</v>
          </cell>
          <cell r="G53">
            <v>37456.800000000003</v>
          </cell>
          <cell r="H53">
            <v>20856.47</v>
          </cell>
          <cell r="I53">
            <v>0.55681398304179752</v>
          </cell>
        </row>
        <row r="54">
          <cell r="A54" t="str">
            <v>6214585583</v>
          </cell>
          <cell r="B54">
            <v>85583</v>
          </cell>
          <cell r="D54" t="str">
            <v>Bldg Admin - Office Exp</v>
          </cell>
          <cell r="F54">
            <v>2273.6</v>
          </cell>
          <cell r="G54">
            <v>0</v>
          </cell>
          <cell r="H54">
            <v>-2273.6</v>
          </cell>
          <cell r="I54" t="str">
            <v>N/A</v>
          </cell>
        </row>
        <row r="55">
          <cell r="A55" t="str">
            <v>6214586985</v>
          </cell>
          <cell r="B55">
            <v>86985</v>
          </cell>
          <cell r="D55" t="str">
            <v>Purchased Svcs-Other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A56" t="str">
            <v>6214588710</v>
          </cell>
          <cell r="B56">
            <v>88710</v>
          </cell>
          <cell r="D56" t="str">
            <v>Losses-Bad Debts</v>
          </cell>
          <cell r="F56">
            <v>0</v>
          </cell>
          <cell r="G56">
            <v>25828</v>
          </cell>
          <cell r="H56">
            <v>25828</v>
          </cell>
          <cell r="I56">
            <v>1</v>
          </cell>
        </row>
        <row r="57">
          <cell r="D57" t="str">
            <v>Total Non-Reimbursable</v>
          </cell>
          <cell r="F57">
            <v>51400.750000000007</v>
          </cell>
          <cell r="G57">
            <v>68442.399999999994</v>
          </cell>
          <cell r="H57">
            <v>17041.649999999994</v>
          </cell>
          <cell r="I57">
            <v>0.24899258354470322</v>
          </cell>
        </row>
        <row r="59">
          <cell r="D59" t="str">
            <v>TOTAL OPERATING EXPENSES</v>
          </cell>
          <cell r="F59">
            <v>666805.39</v>
          </cell>
          <cell r="G59">
            <v>731177.33</v>
          </cell>
          <cell r="H59">
            <v>64371.94</v>
          </cell>
          <cell r="I59">
            <v>8.8038752514386628E-2</v>
          </cell>
        </row>
        <row r="61">
          <cell r="D61" t="str">
            <v>NET INCOME (Excluding NRO)</v>
          </cell>
          <cell r="F61">
            <v>1985742.7399999998</v>
          </cell>
          <cell r="G61">
            <v>1825974.6599999997</v>
          </cell>
          <cell r="H61">
            <v>159768.07999999999</v>
          </cell>
          <cell r="I61">
            <v>8.7497424526143217E-2</v>
          </cell>
        </row>
        <row r="62">
          <cell r="A62" t="str">
            <v>6214576071</v>
          </cell>
          <cell r="B62">
            <v>76071</v>
          </cell>
          <cell r="D62" t="str">
            <v>Reimaging Maintenance</v>
          </cell>
          <cell r="F62">
            <v>0</v>
          </cell>
          <cell r="G62">
            <v>0</v>
          </cell>
          <cell r="H62">
            <v>0</v>
          </cell>
          <cell r="I62" t="str">
            <v>N/A</v>
          </cell>
        </row>
        <row r="63">
          <cell r="D63" t="str">
            <v xml:space="preserve">NET INCOME </v>
          </cell>
          <cell r="F63">
            <v>1985742.7399999998</v>
          </cell>
          <cell r="G63">
            <v>1825974.6599999997</v>
          </cell>
          <cell r="H63">
            <v>159768.07999999999</v>
          </cell>
          <cell r="I63">
            <v>8.7497424526143217E-2</v>
          </cell>
        </row>
        <row r="66">
          <cell r="C66" t="str">
            <v>Forecasted Variances:</v>
          </cell>
        </row>
        <row r="67">
          <cell r="C67" t="str">
            <v xml:space="preserve">l  </v>
          </cell>
          <cell r="D67" t="str">
            <v>Rental Income - Operating Exp Recoveries:  Although we are trying to save tenants some money, we did not adjust the budget numbers. Therefore forecast reflects original budget numbers.</v>
          </cell>
        </row>
        <row r="68">
          <cell r="C68" t="str">
            <v xml:space="preserve">l  </v>
          </cell>
          <cell r="D68" t="str">
            <v>Utilities - Electricity:  Actuals are just a bit lower than forecast.</v>
          </cell>
        </row>
        <row r="69">
          <cell r="C69" t="str">
            <v xml:space="preserve">l  </v>
          </cell>
          <cell r="D69" t="str">
            <v>Bldg Maintenance &amp; Repair:  Window/Awning Cleaning and Gutter/Downspouts service expense will occur in 03/05.</v>
          </cell>
        </row>
        <row r="70">
          <cell r="C70" t="str">
            <v xml:space="preserve">l  </v>
          </cell>
          <cell r="D70" t="str">
            <v>Parking Maintenance:  Parking lot strip/seal expense $2,800 scheduled for 03/05.Valet Parking has a positive variance due to a high accrual in 03/04. Budget of $2K for Parking Maint-Reimb will not be expensed (PERM).</v>
          </cell>
        </row>
        <row r="71">
          <cell r="C71" t="str">
            <v xml:space="preserve">l  </v>
          </cell>
          <cell r="D71" t="str">
            <v>Landscaping:  Canary Palm Tree has been expensed (instead of amortizing it $16,500).</v>
          </cell>
        </row>
        <row r="72">
          <cell r="C72" t="str">
            <v xml:space="preserve">l  </v>
          </cell>
          <cell r="D72" t="str">
            <v>Bldg Admin - Office Costs:  To be updated.</v>
          </cell>
        </row>
        <row r="73">
          <cell r="C73" t="str">
            <v xml:space="preserve">l  </v>
          </cell>
          <cell r="D73" t="str">
            <v>Bldg Admin - Salaries:  To be updated.</v>
          </cell>
        </row>
        <row r="74">
          <cell r="C74" t="str">
            <v xml:space="preserve">l  </v>
          </cell>
          <cell r="D74" t="str">
            <v>Bldg Maintenance &amp; Repair:  Forecast of $49,410. Will check with G.M.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Fixed:  Due to occupancy percentage increase in current year.</v>
          </cell>
        </row>
        <row r="79">
          <cell r="C79" t="str">
            <v xml:space="preserve">l  </v>
          </cell>
          <cell r="D79" t="str">
            <v>Utilities - Electricity:  High budget in current year based on historical data.</v>
          </cell>
        </row>
        <row r="80">
          <cell r="C80" t="str">
            <v xml:space="preserve">l  </v>
          </cell>
          <cell r="D80" t="str">
            <v>Utilities - Water:  Timing variance, low budget for July, high budget for October.</v>
          </cell>
        </row>
        <row r="81">
          <cell r="C81" t="str">
            <v xml:space="preserve">l  </v>
          </cell>
          <cell r="D81" t="str">
            <v>Parking Maintenance:  Valet parking program started in current year.</v>
          </cell>
        </row>
        <row r="82">
          <cell r="C82" t="str">
            <v xml:space="preserve">l  </v>
          </cell>
          <cell r="D82" t="str">
            <v>Grounds Maintenance:  Last year was the center's first X-mas.  PY expense is higher than current year's due to new lightline and extension cords ($9k)_. In Common Area Seating, umbrellas and bases, trash receptacles had to be purchased, accounting for $6K</v>
          </cell>
        </row>
        <row r="83">
          <cell r="C83" t="str">
            <v xml:space="preserve">l  </v>
          </cell>
          <cell r="D83" t="str">
            <v>Landscaping:  Canary Palm tree was expensed this year $18k  .Negative budget for Landscaping Contractor due to warranty period in August.</v>
          </cell>
        </row>
        <row r="84">
          <cell r="C84" t="str">
            <v xml:space="preserve">l  </v>
          </cell>
          <cell r="D84" t="str">
            <v>Security/Safety:  Bills have been reduced. Budget is higher than expenses (Perm).</v>
          </cell>
        </row>
        <row r="85">
          <cell r="C85" t="str">
            <v xml:space="preserve">l  </v>
          </cell>
          <cell r="D85" t="str">
            <v>Bldg Maintenance &amp; Repair:  Due to odor remediation (grease) in the center in the current year.</v>
          </cell>
        </row>
        <row r="86">
          <cell r="C86" t="str">
            <v xml:space="preserve">l  </v>
          </cell>
          <cell r="D86" t="str">
            <v>Consulting Services:  Due to mitigation monitoring expense in current year.</v>
          </cell>
        </row>
        <row r="87">
          <cell r="C87" t="str">
            <v xml:space="preserve">l  </v>
          </cell>
          <cell r="D87" t="str">
            <v>Management Fee:  3rd Party Management Company not used in the current year.</v>
          </cell>
        </row>
      </sheetData>
      <sheetData sheetId="3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Ten Months Ended April 2005</v>
          </cell>
        </row>
        <row r="7">
          <cell r="G7" t="str">
            <v>Budget</v>
          </cell>
          <cell r="K7" t="str">
            <v>Forecast</v>
          </cell>
          <cell r="N7" t="str">
            <v>Prior Year</v>
          </cell>
          <cell r="Q7" t="str">
            <v>Annual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  <cell r="K8" t="str">
            <v>YTD</v>
          </cell>
          <cell r="L8" t="str">
            <v>Variance</v>
          </cell>
          <cell r="M8" t="str">
            <v>% Var.</v>
          </cell>
          <cell r="N8" t="str">
            <v>YTD</v>
          </cell>
          <cell r="O8" t="str">
            <v>Variance</v>
          </cell>
          <cell r="P8" t="str">
            <v>% Var.</v>
          </cell>
          <cell r="Q8" t="str">
            <v>B2005</v>
          </cell>
          <cell r="R8" t="str">
            <v>Forecast</v>
          </cell>
          <cell r="S8" t="str">
            <v>Prior Year</v>
          </cell>
        </row>
        <row r="10">
          <cell r="B10">
            <v>62230</v>
          </cell>
          <cell r="C10" t="str">
            <v>Newport North</v>
          </cell>
        </row>
        <row r="12">
          <cell r="D12" t="str">
            <v>REVENUE</v>
          </cell>
        </row>
        <row r="13">
          <cell r="A13" t="str">
            <v>6223041050</v>
          </cell>
          <cell r="B13">
            <v>41050</v>
          </cell>
          <cell r="D13" t="str">
            <v>Rental Income - Fixed</v>
          </cell>
          <cell r="F13">
            <v>1846821.82</v>
          </cell>
          <cell r="G13">
            <v>1827501.54</v>
          </cell>
          <cell r="H13">
            <v>19320.280000000028</v>
          </cell>
          <cell r="I13">
            <v>1.0571963731423191E-2</v>
          </cell>
          <cell r="J13" t="str">
            <v>Please see Minimum Rent Schedule.</v>
          </cell>
          <cell r="K13">
            <v>1825284.11</v>
          </cell>
          <cell r="L13">
            <v>21537.709999999963</v>
          </cell>
          <cell r="M13">
            <v>1.179964800109938E-2</v>
          </cell>
          <cell r="N13">
            <v>1853643.07</v>
          </cell>
          <cell r="O13">
            <v>-6821.25</v>
          </cell>
          <cell r="P13">
            <v>-3.6799155729587141E-3</v>
          </cell>
          <cell r="Q13">
            <v>1827501.54</v>
          </cell>
          <cell r="R13">
            <v>1825284.11</v>
          </cell>
          <cell r="S13">
            <v>1853643.07</v>
          </cell>
        </row>
        <row r="14">
          <cell r="A14" t="str">
            <v>6223041074</v>
          </cell>
          <cell r="B14">
            <v>41074</v>
          </cell>
          <cell r="D14" t="str">
            <v>Rental Income - Percentage</v>
          </cell>
          <cell r="F14">
            <v>21930.95</v>
          </cell>
          <cell r="G14">
            <v>30296</v>
          </cell>
          <cell r="H14">
            <v>-8365.0499999999993</v>
          </cell>
          <cell r="I14">
            <v>-0.27611070768418272</v>
          </cell>
          <cell r="K14">
            <v>21925.25</v>
          </cell>
          <cell r="L14">
            <v>5.7000000000007276</v>
          </cell>
          <cell r="M14">
            <v>2.5997423062454144E-4</v>
          </cell>
          <cell r="N14">
            <v>33910.71</v>
          </cell>
          <cell r="O14">
            <v>-11979.759999999998</v>
          </cell>
          <cell r="P14">
            <v>-0.35327364127734273</v>
          </cell>
          <cell r="Q14">
            <v>30296</v>
          </cell>
          <cell r="R14">
            <v>21925.25</v>
          </cell>
          <cell r="S14">
            <v>33910.71</v>
          </cell>
        </row>
        <row r="15">
          <cell r="A15" t="str">
            <v>6223041082</v>
          </cell>
          <cell r="B15">
            <v>41082</v>
          </cell>
          <cell r="D15" t="str">
            <v>Rental Income - Operating Expense Recoveries</v>
          </cell>
          <cell r="F15">
            <v>381133.83</v>
          </cell>
          <cell r="G15">
            <v>439840.92</v>
          </cell>
          <cell r="H15">
            <v>-58707.089999999967</v>
          </cell>
          <cell r="I15">
            <v>-0.13347346126867862</v>
          </cell>
          <cell r="J15" t="str">
            <v>Revenue reflects a budgeted recovery ratio of 111.5%. Variance reflects timing of expenses.</v>
          </cell>
          <cell r="K15">
            <v>390460.07</v>
          </cell>
          <cell r="L15">
            <v>-9326.2399999999907</v>
          </cell>
          <cell r="M15">
            <v>-2.3885259253270098E-2</v>
          </cell>
          <cell r="N15">
            <v>465373.39</v>
          </cell>
          <cell r="O15">
            <v>-84239.56</v>
          </cell>
          <cell r="P15">
            <v>-0.18101499099465054</v>
          </cell>
          <cell r="Q15">
            <v>439840.92</v>
          </cell>
          <cell r="R15">
            <v>390460.07</v>
          </cell>
          <cell r="S15">
            <v>465373.39</v>
          </cell>
        </row>
        <row r="16">
          <cell r="A16" t="str">
            <v>6223045071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  <cell r="K16">
            <v>0</v>
          </cell>
          <cell r="L16">
            <v>0</v>
          </cell>
          <cell r="M16" t="str">
            <v>N/A</v>
          </cell>
          <cell r="N16">
            <v>0</v>
          </cell>
          <cell r="O16">
            <v>0</v>
          </cell>
          <cell r="P16" t="str">
            <v>N/A</v>
          </cell>
          <cell r="Q16">
            <v>0</v>
          </cell>
          <cell r="R16">
            <v>0</v>
          </cell>
          <cell r="S16">
            <v>0</v>
          </cell>
        </row>
        <row r="17">
          <cell r="A17" t="str">
            <v>6223045070</v>
          </cell>
          <cell r="B17">
            <v>45070</v>
          </cell>
          <cell r="D17" t="str">
            <v>Other Income</v>
          </cell>
          <cell r="F17">
            <v>343.58</v>
          </cell>
          <cell r="G17">
            <v>864.91</v>
          </cell>
          <cell r="H17">
            <v>-521.32999999999993</v>
          </cell>
          <cell r="I17">
            <v>-0.60275635615266321</v>
          </cell>
          <cell r="K17">
            <v>523.36</v>
          </cell>
          <cell r="L17">
            <v>-179.78000000000003</v>
          </cell>
          <cell r="M17">
            <v>-0.34351115866707432</v>
          </cell>
          <cell r="N17">
            <v>788.34</v>
          </cell>
          <cell r="O17">
            <v>-444.76000000000005</v>
          </cell>
          <cell r="P17">
            <v>-0.56417281883451309</v>
          </cell>
          <cell r="Q17">
            <v>864.91</v>
          </cell>
          <cell r="R17">
            <v>523.36</v>
          </cell>
          <cell r="S17">
            <v>788.34</v>
          </cell>
        </row>
        <row r="18">
          <cell r="A18" t="str">
            <v>6223041060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-22975</v>
          </cell>
          <cell r="H18">
            <v>22975</v>
          </cell>
          <cell r="I18">
            <v>-1</v>
          </cell>
          <cell r="K18">
            <v>-7658.36</v>
          </cell>
          <cell r="L18">
            <v>7658.36</v>
          </cell>
          <cell r="M18">
            <v>-1</v>
          </cell>
          <cell r="N18">
            <v>0</v>
          </cell>
          <cell r="O18">
            <v>0</v>
          </cell>
          <cell r="P18" t="str">
            <v>N/A</v>
          </cell>
          <cell r="Q18">
            <v>-22975</v>
          </cell>
          <cell r="R18">
            <v>-7658.36</v>
          </cell>
          <cell r="S18">
            <v>0</v>
          </cell>
        </row>
        <row r="19">
          <cell r="A19" t="str">
            <v>6223044870</v>
          </cell>
          <cell r="B19">
            <v>44870</v>
          </cell>
          <cell r="D19" t="str">
            <v>Late Fees</v>
          </cell>
          <cell r="F19">
            <v>3025</v>
          </cell>
          <cell r="G19">
            <v>0</v>
          </cell>
          <cell r="H19">
            <v>3025</v>
          </cell>
          <cell r="I19" t="str">
            <v>N/A</v>
          </cell>
          <cell r="K19">
            <v>750</v>
          </cell>
          <cell r="L19">
            <v>2275</v>
          </cell>
          <cell r="M19">
            <v>3.0333333333333332</v>
          </cell>
          <cell r="N19">
            <v>0</v>
          </cell>
          <cell r="O19">
            <v>3025</v>
          </cell>
          <cell r="P19" t="str">
            <v>N/A</v>
          </cell>
          <cell r="Q19">
            <v>0</v>
          </cell>
          <cell r="R19">
            <v>750</v>
          </cell>
          <cell r="S19">
            <v>0</v>
          </cell>
        </row>
        <row r="20">
          <cell r="D20" t="str">
            <v>TOTAL REVENUE</v>
          </cell>
          <cell r="F20">
            <v>2253255.1800000002</v>
          </cell>
          <cell r="G20">
            <v>2275528.37</v>
          </cell>
          <cell r="H20">
            <v>-22273.189999999944</v>
          </cell>
          <cell r="I20">
            <v>-9.7881398859465518E-3</v>
          </cell>
          <cell r="K20">
            <v>2231284.4300000002</v>
          </cell>
          <cell r="L20">
            <v>21970.749999999971</v>
          </cell>
          <cell r="M20">
            <v>9.8466827915793635E-3</v>
          </cell>
          <cell r="N20">
            <v>2353715.5099999998</v>
          </cell>
          <cell r="O20">
            <v>-100460.32999999999</v>
          </cell>
          <cell r="P20">
            <v>-4.2681594089508293E-2</v>
          </cell>
          <cell r="Q20">
            <v>2275528.37</v>
          </cell>
          <cell r="R20">
            <v>2231284.4300000002</v>
          </cell>
          <cell r="S20">
            <v>2353715.5099999998</v>
          </cell>
        </row>
        <row r="22">
          <cell r="D22" t="str">
            <v>Exclusion to CAM True Up</v>
          </cell>
          <cell r="F22">
            <v>-59421</v>
          </cell>
        </row>
        <row r="23">
          <cell r="D23" t="str">
            <v>CAM Rev Excluding PY, HVAC</v>
          </cell>
          <cell r="F23">
            <v>440554.83</v>
          </cell>
          <cell r="G23">
            <v>439840.92</v>
          </cell>
          <cell r="K23">
            <v>390460.07</v>
          </cell>
          <cell r="L23">
            <v>-9326.2399999999907</v>
          </cell>
          <cell r="N23">
            <v>465373.39</v>
          </cell>
          <cell r="O23">
            <v>-84239.56</v>
          </cell>
          <cell r="Q23">
            <v>439840.92</v>
          </cell>
          <cell r="R23">
            <v>390460.07</v>
          </cell>
          <cell r="S23">
            <v>465373.39</v>
          </cell>
        </row>
        <row r="24">
          <cell r="D24" t="str">
            <v>CAM Recovery Ratio</v>
          </cell>
          <cell r="F24">
            <v>1.2928632208847635</v>
          </cell>
          <cell r="G24">
            <v>1.1149998909946912</v>
          </cell>
          <cell r="H24">
            <v>0.17786332989007225</v>
          </cell>
          <cell r="I24">
            <v>0.15951869711072383</v>
          </cell>
          <cell r="K24">
            <v>1.0378150432972606</v>
          </cell>
          <cell r="L24">
            <v>0.25504817758750287</v>
          </cell>
          <cell r="M24">
            <v>0.24575494374911427</v>
          </cell>
          <cell r="N24">
            <v>1.1126048458122186</v>
          </cell>
          <cell r="O24">
            <v>0.18025837507254483</v>
          </cell>
          <cell r="P24">
            <v>0.16201473124175855</v>
          </cell>
          <cell r="Q24">
            <v>1.1149998909946912</v>
          </cell>
          <cell r="R24">
            <v>1.0378150432972606</v>
          </cell>
          <cell r="S24">
            <v>1.1126048458122186</v>
          </cell>
        </row>
        <row r="26">
          <cell r="D26" t="str">
            <v>REIMBURSABLE EXPENSES</v>
          </cell>
        </row>
        <row r="27">
          <cell r="A27" t="str">
            <v>6223072710</v>
          </cell>
          <cell r="B27">
            <v>72710</v>
          </cell>
          <cell r="D27" t="str">
            <v>Utilities - Electricity</v>
          </cell>
          <cell r="F27">
            <v>7506.4</v>
          </cell>
          <cell r="G27">
            <v>8128.52</v>
          </cell>
          <cell r="H27">
            <v>622.1200000000008</v>
          </cell>
          <cell r="I27">
            <v>7.6535457869329318E-2</v>
          </cell>
          <cell r="J27" t="str">
            <v>Budget is low. Expenses are significantly higher this year. Monthly budget numbers are distributed based on last year's history.</v>
          </cell>
          <cell r="K27">
            <v>9915.33</v>
          </cell>
          <cell r="L27">
            <v>2408.9300000000003</v>
          </cell>
          <cell r="M27">
            <v>0.24295005814229081</v>
          </cell>
          <cell r="N27">
            <v>4903.8100000000004</v>
          </cell>
          <cell r="O27">
            <v>-2602.5899999999992</v>
          </cell>
          <cell r="P27">
            <v>-0.53072814811340552</v>
          </cell>
          <cell r="Q27">
            <v>8128.52</v>
          </cell>
          <cell r="R27">
            <v>9915.33</v>
          </cell>
          <cell r="S27">
            <v>4903.8100000000004</v>
          </cell>
        </row>
        <row r="28">
          <cell r="A28" t="str">
            <v>6223072770</v>
          </cell>
          <cell r="B28">
            <v>72770</v>
          </cell>
          <cell r="D28" t="str">
            <v>Utilities - Water</v>
          </cell>
          <cell r="F28">
            <v>38724.5</v>
          </cell>
          <cell r="G28">
            <v>39877.550000000003</v>
          </cell>
          <cell r="H28">
            <v>1153.0500000000029</v>
          </cell>
          <cell r="I28">
            <v>2.8914765325352306E-2</v>
          </cell>
          <cell r="K28">
            <v>42553.87</v>
          </cell>
          <cell r="L28">
            <v>3829.3700000000026</v>
          </cell>
          <cell r="M28">
            <v>8.9988760129219802E-2</v>
          </cell>
          <cell r="N28">
            <v>41812.81</v>
          </cell>
          <cell r="O28">
            <v>3088.3099999999977</v>
          </cell>
          <cell r="P28">
            <v>7.3860379151747937E-2</v>
          </cell>
          <cell r="Q28">
            <v>39877.550000000003</v>
          </cell>
          <cell r="R28">
            <v>42553.87</v>
          </cell>
          <cell r="S28">
            <v>41812.81</v>
          </cell>
        </row>
        <row r="29">
          <cell r="A29" t="str">
            <v>6223076000</v>
          </cell>
          <cell r="B29">
            <v>76000</v>
          </cell>
          <cell r="D29" t="str">
            <v>Bldg Maintenance &amp; Repair</v>
          </cell>
          <cell r="F29">
            <v>34189.120000000003</v>
          </cell>
          <cell r="G29">
            <v>54134.04</v>
          </cell>
          <cell r="H29">
            <v>19944.919999999998</v>
          </cell>
          <cell r="I29">
            <v>0.36843583076378555</v>
          </cell>
          <cell r="J29" t="str">
            <v>Window/Awning cleaning of $3K to be expensed in 03/05. Unexpected fire sprinkler repair ($1,300), Sewer/Drain account overbudgeted by $5800 based on last yr history. Roof Inspection ($2,300) not budgeted for.</v>
          </cell>
          <cell r="K29">
            <v>40478.050000000003</v>
          </cell>
          <cell r="L29">
            <v>6288.93</v>
          </cell>
          <cell r="M29">
            <v>0.15536642698944242</v>
          </cell>
          <cell r="N29">
            <v>100508.03</v>
          </cell>
          <cell r="O29">
            <v>66318.91</v>
          </cell>
          <cell r="P29">
            <v>0.65983693044227421</v>
          </cell>
          <cell r="Q29">
            <v>54134.04</v>
          </cell>
          <cell r="R29">
            <v>40478.050000000003</v>
          </cell>
          <cell r="S29">
            <v>100508.03</v>
          </cell>
        </row>
        <row r="30">
          <cell r="A30" t="str">
            <v>6223076050</v>
          </cell>
          <cell r="B30">
            <v>76050</v>
          </cell>
          <cell r="D30" t="str">
            <v>Cleaning Expense</v>
          </cell>
          <cell r="F30">
            <v>25073.26</v>
          </cell>
          <cell r="G30">
            <v>26313.119999999999</v>
          </cell>
          <cell r="H30">
            <v>1239.8600000000006</v>
          </cell>
          <cell r="I30">
            <v>4.7119459798001931E-2</v>
          </cell>
          <cell r="K30">
            <v>26523.64</v>
          </cell>
          <cell r="L30">
            <v>1450.380000000001</v>
          </cell>
          <cell r="M30">
            <v>5.4682539802229299E-2</v>
          </cell>
          <cell r="N30">
            <v>24524.12</v>
          </cell>
          <cell r="O30">
            <v>-549.13999999999942</v>
          </cell>
          <cell r="P30">
            <v>-2.2391833019900387E-2</v>
          </cell>
          <cell r="Q30">
            <v>26313.119999999999</v>
          </cell>
          <cell r="R30">
            <v>26523.64</v>
          </cell>
          <cell r="S30">
            <v>24524.12</v>
          </cell>
        </row>
        <row r="31">
          <cell r="A31" t="str">
            <v>6223076091</v>
          </cell>
          <cell r="B31">
            <v>76091</v>
          </cell>
          <cell r="D31" t="str">
            <v>Parking Maintenance</v>
          </cell>
          <cell r="F31">
            <v>28879.38</v>
          </cell>
          <cell r="G31">
            <v>41314.99</v>
          </cell>
          <cell r="H31">
            <v>12435.609999999997</v>
          </cell>
          <cell r="I31">
            <v>0.30099511097545945</v>
          </cell>
          <cell r="J31" t="str">
            <v>Timing variance. Pkg Lot Strip Seal ($2k) /Curb painting scheduled for 03/05.</v>
          </cell>
          <cell r="K31">
            <v>40791.58</v>
          </cell>
          <cell r="L31">
            <v>11912.2</v>
          </cell>
          <cell r="M31">
            <v>0.29202595241468948</v>
          </cell>
          <cell r="N31">
            <v>28156.02</v>
          </cell>
          <cell r="O31">
            <v>-723.36000000000058</v>
          </cell>
          <cell r="P31">
            <v>-2.569113106184754E-2</v>
          </cell>
          <cell r="Q31">
            <v>41314.99</v>
          </cell>
          <cell r="R31">
            <v>40791.58</v>
          </cell>
          <cell r="S31">
            <v>28156.02</v>
          </cell>
        </row>
        <row r="32">
          <cell r="A32" t="str">
            <v>6223077000</v>
          </cell>
          <cell r="B32">
            <v>77000</v>
          </cell>
          <cell r="D32" t="str">
            <v>Grounds Maintenance</v>
          </cell>
          <cell r="F32">
            <v>32496.74</v>
          </cell>
          <cell r="G32">
            <v>35406.46</v>
          </cell>
          <cell r="H32">
            <v>2909.7199999999975</v>
          </cell>
          <cell r="I32">
            <v>8.2180483448500569E-2</v>
          </cell>
          <cell r="J32" t="str">
            <v>$2500 over budget for Misc Rprs due to allocation costs.</v>
          </cell>
          <cell r="K32">
            <v>32583.58</v>
          </cell>
          <cell r="L32">
            <v>86.840000000000146</v>
          </cell>
          <cell r="M32">
            <v>2.6651460643673944E-3</v>
          </cell>
          <cell r="N32">
            <v>24408.77</v>
          </cell>
          <cell r="O32">
            <v>-8087.9700000000012</v>
          </cell>
          <cell r="P32">
            <v>-0.33135508261989444</v>
          </cell>
          <cell r="Q32">
            <v>35406.46</v>
          </cell>
          <cell r="R32">
            <v>32583.58</v>
          </cell>
          <cell r="S32">
            <v>24408.77</v>
          </cell>
        </row>
        <row r="33">
          <cell r="A33" t="str">
            <v>6223077053</v>
          </cell>
          <cell r="B33">
            <v>77053</v>
          </cell>
          <cell r="D33" t="str">
            <v>Landscaping</v>
          </cell>
          <cell r="F33">
            <v>42811</v>
          </cell>
          <cell r="G33">
            <v>40007.22</v>
          </cell>
          <cell r="H33">
            <v>-2803.7799999999988</v>
          </cell>
          <cell r="I33">
            <v>-7.0081850226034165E-2</v>
          </cell>
          <cell r="K33">
            <v>40205.1</v>
          </cell>
          <cell r="L33">
            <v>-2605.9000000000015</v>
          </cell>
          <cell r="M33">
            <v>-6.481516026573747E-2</v>
          </cell>
          <cell r="N33">
            <v>35073.910000000003</v>
          </cell>
          <cell r="O33">
            <v>-7737.0899999999965</v>
          </cell>
          <cell r="P33">
            <v>-0.22059388303157521</v>
          </cell>
          <cell r="Q33">
            <v>40007.22</v>
          </cell>
          <cell r="R33">
            <v>40205.1</v>
          </cell>
          <cell r="S33">
            <v>35073.910000000003</v>
          </cell>
        </row>
        <row r="34">
          <cell r="A34" t="str">
            <v>6223078020</v>
          </cell>
          <cell r="B34">
            <v>78020</v>
          </cell>
          <cell r="D34" t="str">
            <v>Amortized CAM Exp</v>
          </cell>
          <cell r="F34">
            <v>12841.9</v>
          </cell>
          <cell r="G34">
            <v>24000</v>
          </cell>
          <cell r="H34">
            <v>11158.1</v>
          </cell>
          <cell r="I34">
            <v>0.46492083333333334</v>
          </cell>
          <cell r="K34">
            <v>23400</v>
          </cell>
          <cell r="L34">
            <v>10558.1</v>
          </cell>
          <cell r="M34">
            <v>0.45120085470085469</v>
          </cell>
          <cell r="N34">
            <v>26871.599999999999</v>
          </cell>
          <cell r="O34">
            <v>14029.699999999999</v>
          </cell>
          <cell r="P34">
            <v>0.52210140073534883</v>
          </cell>
          <cell r="Q34">
            <v>24000</v>
          </cell>
          <cell r="R34">
            <v>23400</v>
          </cell>
          <cell r="S34">
            <v>26871.599999999999</v>
          </cell>
        </row>
        <row r="35">
          <cell r="A35" t="str">
            <v>6223085584</v>
          </cell>
          <cell r="B35">
            <v>85584</v>
          </cell>
          <cell r="D35" t="str">
            <v>Bldg Admin-Office Costs</v>
          </cell>
          <cell r="F35">
            <v>3631.75</v>
          </cell>
          <cell r="G35">
            <v>5408</v>
          </cell>
          <cell r="H35">
            <v>1776.25</v>
          </cell>
          <cell r="I35">
            <v>0.32844859467455623</v>
          </cell>
          <cell r="J35" t="str">
            <v>Actual expenses are lower than anticipated in budget.</v>
          </cell>
          <cell r="K35">
            <v>3453.56</v>
          </cell>
          <cell r="L35">
            <v>-178.19000000000005</v>
          </cell>
          <cell r="M35">
            <v>-5.1596034237135033E-2</v>
          </cell>
          <cell r="N35">
            <v>7133.15</v>
          </cell>
          <cell r="O35">
            <v>3501.3999999999996</v>
          </cell>
          <cell r="P35">
            <v>0.49086308292970143</v>
          </cell>
          <cell r="Q35">
            <v>5408</v>
          </cell>
          <cell r="R35">
            <v>3453.56</v>
          </cell>
          <cell r="S35">
            <v>7133.15</v>
          </cell>
        </row>
        <row r="36">
          <cell r="A36" t="str">
            <v>6223085582</v>
          </cell>
          <cell r="B36">
            <v>85582</v>
          </cell>
          <cell r="D36" t="str">
            <v>Bldg Admin-Salaries</v>
          </cell>
          <cell r="F36">
            <v>20582.599999999999</v>
          </cell>
          <cell r="G36">
            <v>32449.3</v>
          </cell>
          <cell r="H36">
            <v>11866.7</v>
          </cell>
          <cell r="I36">
            <v>0.36569972233607506</v>
          </cell>
          <cell r="J36" t="str">
            <v>Actual expenses are lower than anticipated in budget.</v>
          </cell>
          <cell r="K36">
            <v>22383.01</v>
          </cell>
          <cell r="L36">
            <v>1800.4099999999999</v>
          </cell>
          <cell r="M36">
            <v>8.0436456044115603E-2</v>
          </cell>
          <cell r="N36">
            <v>29042.799999999999</v>
          </cell>
          <cell r="O36">
            <v>8460.2000000000007</v>
          </cell>
          <cell r="P36">
            <v>0.29130111421763744</v>
          </cell>
          <cell r="Q36">
            <v>32449.3</v>
          </cell>
          <cell r="R36">
            <v>22383.01</v>
          </cell>
          <cell r="S36">
            <v>29042.799999999999</v>
          </cell>
        </row>
        <row r="37">
          <cell r="A37" t="str">
            <v>6223086564</v>
          </cell>
          <cell r="B37">
            <v>86564</v>
          </cell>
          <cell r="D37" t="str">
            <v>Insurance</v>
          </cell>
          <cell r="F37">
            <v>19389</v>
          </cell>
          <cell r="G37">
            <v>19658</v>
          </cell>
          <cell r="H37">
            <v>269</v>
          </cell>
          <cell r="I37">
            <v>1.368399633736901E-2</v>
          </cell>
          <cell r="K37">
            <v>20028</v>
          </cell>
          <cell r="L37">
            <v>639</v>
          </cell>
          <cell r="M37">
            <v>3.1905332534451769E-2</v>
          </cell>
          <cell r="N37">
            <v>19658</v>
          </cell>
          <cell r="O37">
            <v>269</v>
          </cell>
          <cell r="P37">
            <v>1.368399633736901E-2</v>
          </cell>
          <cell r="Q37">
            <v>19658</v>
          </cell>
          <cell r="R37">
            <v>20028</v>
          </cell>
          <cell r="S37">
            <v>19658</v>
          </cell>
        </row>
        <row r="38">
          <cell r="A38" t="str">
            <v>6223088890</v>
          </cell>
          <cell r="B38">
            <v>88890</v>
          </cell>
          <cell r="D38" t="str">
            <v>Security/Safety</v>
          </cell>
          <cell r="F38">
            <v>12073.08</v>
          </cell>
          <cell r="G38">
            <v>6394</v>
          </cell>
          <cell r="H38">
            <v>-5679.08</v>
          </cell>
          <cell r="I38">
            <v>-0.88818892711917419</v>
          </cell>
          <cell r="J38" t="str">
            <v>Increased security due to construction. Expenses tripled budget starting in 10/04.</v>
          </cell>
          <cell r="K38">
            <v>11586.45</v>
          </cell>
          <cell r="L38">
            <v>-486.6299999999992</v>
          </cell>
          <cell r="M38">
            <v>-4.1999922323058325E-2</v>
          </cell>
          <cell r="N38">
            <v>15851.34</v>
          </cell>
          <cell r="O38">
            <v>3778.26</v>
          </cell>
          <cell r="P38">
            <v>0.23835587401443664</v>
          </cell>
          <cell r="Q38">
            <v>6394</v>
          </cell>
          <cell r="R38">
            <v>11586.45</v>
          </cell>
          <cell r="S38">
            <v>15851.34</v>
          </cell>
        </row>
        <row r="39">
          <cell r="A39" t="str">
            <v>6223089786</v>
          </cell>
          <cell r="B39">
            <v>89786</v>
          </cell>
          <cell r="D39" t="str">
            <v>Property Tax Exp</v>
          </cell>
          <cell r="F39">
            <v>62560.31</v>
          </cell>
          <cell r="G39">
            <v>61385</v>
          </cell>
          <cell r="H39">
            <v>-1175.3099999999977</v>
          </cell>
          <cell r="I39">
            <v>-1.9146534169585366E-2</v>
          </cell>
          <cell r="K39">
            <v>62330.64</v>
          </cell>
          <cell r="L39">
            <v>-229.66999999999825</v>
          </cell>
          <cell r="M39">
            <v>-3.6847046653138531E-3</v>
          </cell>
          <cell r="N39">
            <v>60329.38</v>
          </cell>
          <cell r="O39">
            <v>-2230.9300000000003</v>
          </cell>
          <cell r="P39">
            <v>-3.6979163386064974E-2</v>
          </cell>
          <cell r="Q39">
            <v>61385</v>
          </cell>
          <cell r="R39">
            <v>62330.64</v>
          </cell>
          <cell r="S39">
            <v>60329.38</v>
          </cell>
        </row>
        <row r="40">
          <cell r="D40" t="str">
            <v>Total Reimbursable</v>
          </cell>
          <cell r="F40">
            <v>340759.04000000004</v>
          </cell>
          <cell r="G40">
            <v>394476.2</v>
          </cell>
          <cell r="H40">
            <v>53717.16</v>
          </cell>
          <cell r="I40">
            <v>0.13617338637920362</v>
          </cell>
          <cell r="K40">
            <v>376232.81</v>
          </cell>
          <cell r="L40">
            <v>35473.770000000011</v>
          </cell>
          <cell r="M40">
            <v>9.4286752928326514E-2</v>
          </cell>
          <cell r="N40">
            <v>418273.74</v>
          </cell>
          <cell r="O40">
            <v>77514.699999999983</v>
          </cell>
          <cell r="P40">
            <v>0.1853205032665928</v>
          </cell>
          <cell r="Q40">
            <v>394476.2</v>
          </cell>
          <cell r="R40">
            <v>376232.81</v>
          </cell>
          <cell r="S40">
            <v>418273.74</v>
          </cell>
        </row>
        <row r="42">
          <cell r="D42" t="str">
            <v>NON-REIMBURSABLE EXPENSES</v>
          </cell>
        </row>
        <row r="43">
          <cell r="A43" t="str">
            <v>6223072701</v>
          </cell>
          <cell r="B43">
            <v>72701</v>
          </cell>
          <cell r="D43" t="str">
            <v>Utilities</v>
          </cell>
          <cell r="F43">
            <v>0.51</v>
          </cell>
          <cell r="G43">
            <v>51.5</v>
          </cell>
          <cell r="H43">
            <v>50.99</v>
          </cell>
          <cell r="I43">
            <v>0.99009708737864077</v>
          </cell>
          <cell r="K43">
            <v>51.5</v>
          </cell>
          <cell r="L43">
            <v>50.99</v>
          </cell>
          <cell r="M43">
            <v>0.99009708737864077</v>
          </cell>
          <cell r="N43">
            <v>10.96</v>
          </cell>
          <cell r="O43">
            <v>10.450000000000001</v>
          </cell>
          <cell r="P43">
            <v>0.95346715328467158</v>
          </cell>
          <cell r="Q43">
            <v>51.5</v>
          </cell>
          <cell r="R43">
            <v>51.5</v>
          </cell>
          <cell r="S43">
            <v>10.96</v>
          </cell>
        </row>
        <row r="44">
          <cell r="A44" t="str">
            <v>6223076010</v>
          </cell>
          <cell r="B44">
            <v>76010</v>
          </cell>
          <cell r="D44" t="str">
            <v>Tenant Alterations</v>
          </cell>
          <cell r="F44">
            <v>1.85</v>
          </cell>
          <cell r="G44">
            <v>0</v>
          </cell>
          <cell r="H44">
            <v>-1.85</v>
          </cell>
          <cell r="I44" t="str">
            <v>N/A</v>
          </cell>
          <cell r="K44">
            <v>1.85</v>
          </cell>
          <cell r="L44">
            <v>0</v>
          </cell>
          <cell r="M44">
            <v>0</v>
          </cell>
          <cell r="N44">
            <v>0</v>
          </cell>
          <cell r="O44">
            <v>-1.85</v>
          </cell>
          <cell r="P44" t="str">
            <v>N/A</v>
          </cell>
          <cell r="Q44">
            <v>0</v>
          </cell>
          <cell r="R44">
            <v>1.85</v>
          </cell>
          <cell r="S44">
            <v>0</v>
          </cell>
        </row>
        <row r="45">
          <cell r="A45" t="str">
            <v>6223076051</v>
          </cell>
          <cell r="B45">
            <v>76051</v>
          </cell>
          <cell r="D45" t="str">
            <v>Cleaning-Nonreimbursable</v>
          </cell>
          <cell r="F45">
            <v>95</v>
          </cell>
          <cell r="G45">
            <v>0</v>
          </cell>
          <cell r="H45">
            <v>-95</v>
          </cell>
          <cell r="I45" t="str">
            <v>N/A</v>
          </cell>
          <cell r="K45">
            <v>95</v>
          </cell>
          <cell r="L45">
            <v>0</v>
          </cell>
          <cell r="M45">
            <v>0</v>
          </cell>
          <cell r="N45">
            <v>0</v>
          </cell>
          <cell r="O45">
            <v>-95</v>
          </cell>
          <cell r="P45" t="str">
            <v>N/A</v>
          </cell>
          <cell r="Q45">
            <v>0</v>
          </cell>
          <cell r="R45">
            <v>95</v>
          </cell>
          <cell r="S45">
            <v>0</v>
          </cell>
        </row>
        <row r="46">
          <cell r="A46" t="str">
            <v>6223076054</v>
          </cell>
          <cell r="B46">
            <v>76054</v>
          </cell>
          <cell r="D46" t="str">
            <v>Bldg Maintenance &amp; Repair</v>
          </cell>
          <cell r="F46">
            <v>1272.73</v>
          </cell>
          <cell r="G46">
            <v>1376.05</v>
          </cell>
          <cell r="H46">
            <v>103.31999999999994</v>
          </cell>
          <cell r="I46">
            <v>7.5084480941826195E-2</v>
          </cell>
          <cell r="J46" t="str">
            <v>Budget in 11/04 based on PY history. Non-recurring expense from '03.</v>
          </cell>
          <cell r="K46">
            <v>1263.5999999999999</v>
          </cell>
          <cell r="L46">
            <v>-9.1300000000001091</v>
          </cell>
          <cell r="M46">
            <v>-7.2253877809434234E-3</v>
          </cell>
          <cell r="N46">
            <v>168334.72</v>
          </cell>
          <cell r="O46">
            <v>167061.99</v>
          </cell>
          <cell r="P46">
            <v>0.99243929000505648</v>
          </cell>
          <cell r="Q46">
            <v>1376.05</v>
          </cell>
          <cell r="R46">
            <v>1263.5999999999999</v>
          </cell>
          <cell r="S46">
            <v>168334.72</v>
          </cell>
        </row>
        <row r="47">
          <cell r="A47" t="str">
            <v>6223084240</v>
          </cell>
          <cell r="B47">
            <v>84240</v>
          </cell>
          <cell r="D47" t="str">
            <v>Marketing Leasing</v>
          </cell>
          <cell r="F47">
            <v>578.09</v>
          </cell>
          <cell r="G47">
            <v>1290</v>
          </cell>
          <cell r="H47">
            <v>711.91</v>
          </cell>
          <cell r="I47">
            <v>0.55186821705426359</v>
          </cell>
          <cell r="K47">
            <v>728.74</v>
          </cell>
          <cell r="L47">
            <v>150.64999999999998</v>
          </cell>
          <cell r="M47">
            <v>0.20672667892526825</v>
          </cell>
          <cell r="N47">
            <v>423.72</v>
          </cell>
          <cell r="O47">
            <v>-154.37</v>
          </cell>
          <cell r="P47">
            <v>-0.3643207778721797</v>
          </cell>
          <cell r="Q47">
            <v>1290</v>
          </cell>
          <cell r="R47">
            <v>728.74</v>
          </cell>
          <cell r="S47">
            <v>423.72</v>
          </cell>
        </row>
        <row r="48">
          <cell r="A48" t="str">
            <v>6223085016</v>
          </cell>
          <cell r="B48">
            <v>85016</v>
          </cell>
          <cell r="D48" t="str">
            <v>Prof Svc-Attorney Outside</v>
          </cell>
          <cell r="F48">
            <v>1133.31</v>
          </cell>
          <cell r="G48">
            <v>566.5</v>
          </cell>
          <cell r="H48">
            <v>-566.80999999999995</v>
          </cell>
          <cell r="I48">
            <v>-1.0005472197705207</v>
          </cell>
          <cell r="K48">
            <v>565</v>
          </cell>
          <cell r="L48">
            <v>-568.30999999999995</v>
          </cell>
          <cell r="M48">
            <v>-1.0058584070796459</v>
          </cell>
          <cell r="N48">
            <v>100</v>
          </cell>
          <cell r="O48">
            <v>-1033.31</v>
          </cell>
          <cell r="P48">
            <v>-10.3331</v>
          </cell>
          <cell r="Q48">
            <v>566.5</v>
          </cell>
          <cell r="R48">
            <v>565</v>
          </cell>
          <cell r="S48">
            <v>100</v>
          </cell>
        </row>
        <row r="49">
          <cell r="A49" t="str">
            <v>6223085022</v>
          </cell>
          <cell r="B49">
            <v>85022</v>
          </cell>
          <cell r="D49" t="str">
            <v>Prof Svc-Audit/Acctng</v>
          </cell>
          <cell r="F49">
            <v>1425</v>
          </cell>
          <cell r="G49">
            <v>1930.58</v>
          </cell>
          <cell r="H49">
            <v>505.57999999999993</v>
          </cell>
          <cell r="I49">
            <v>0.26187984957888299</v>
          </cell>
          <cell r="K49">
            <v>1725.25</v>
          </cell>
          <cell r="L49">
            <v>300.25</v>
          </cell>
          <cell r="M49">
            <v>0.17403274887697434</v>
          </cell>
          <cell r="N49">
            <v>3846.93</v>
          </cell>
          <cell r="O49">
            <v>2421.9299999999998</v>
          </cell>
          <cell r="P49">
            <v>0.62957475181508371</v>
          </cell>
          <cell r="Q49">
            <v>1930.58</v>
          </cell>
          <cell r="R49">
            <v>1725.25</v>
          </cell>
          <cell r="S49">
            <v>3846.93</v>
          </cell>
        </row>
        <row r="50">
          <cell r="A50" t="str">
            <v>6223085500</v>
          </cell>
          <cell r="B50">
            <v>85500</v>
          </cell>
          <cell r="D50" t="str">
            <v>Consulting Services</v>
          </cell>
          <cell r="F50">
            <v>50</v>
          </cell>
          <cell r="G50">
            <v>139.05000000000001</v>
          </cell>
          <cell r="H50">
            <v>89.050000000000011</v>
          </cell>
          <cell r="I50">
            <v>0.64041711614527153</v>
          </cell>
          <cell r="J50" t="str">
            <v>Budget based on last year's history.</v>
          </cell>
          <cell r="K50">
            <v>0</v>
          </cell>
          <cell r="L50">
            <v>-50</v>
          </cell>
          <cell r="M50" t="str">
            <v>N/A</v>
          </cell>
          <cell r="N50">
            <v>158.30000000000001</v>
          </cell>
          <cell r="O50">
            <v>108.30000000000001</v>
          </cell>
          <cell r="P50">
            <v>0.68414403032217308</v>
          </cell>
          <cell r="Q50">
            <v>139.05000000000001</v>
          </cell>
          <cell r="R50">
            <v>0</v>
          </cell>
          <cell r="S50">
            <v>158.30000000000001</v>
          </cell>
        </row>
        <row r="51">
          <cell r="A51" t="str">
            <v>6223085566</v>
          </cell>
          <cell r="B51">
            <v>85566</v>
          </cell>
          <cell r="D51" t="str">
            <v>Management Fee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  <cell r="K51">
            <v>0</v>
          </cell>
          <cell r="L51">
            <v>0</v>
          </cell>
          <cell r="M51" t="str">
            <v>N/A</v>
          </cell>
          <cell r="N51">
            <v>39823.47</v>
          </cell>
          <cell r="O51">
            <v>39823.47</v>
          </cell>
          <cell r="P51">
            <v>1</v>
          </cell>
          <cell r="Q51">
            <v>0</v>
          </cell>
          <cell r="R51">
            <v>0</v>
          </cell>
          <cell r="S51">
            <v>39823.47</v>
          </cell>
        </row>
        <row r="52">
          <cell r="A52" t="str">
            <v>6223085581</v>
          </cell>
          <cell r="B52">
            <v>85581</v>
          </cell>
          <cell r="D52" t="str">
            <v>Bldg Admin- Salaries</v>
          </cell>
          <cell r="F52">
            <v>14792.26</v>
          </cell>
          <cell r="G52">
            <v>34478.5</v>
          </cell>
          <cell r="H52">
            <v>19686.239999999998</v>
          </cell>
          <cell r="I52">
            <v>0.57097147497715961</v>
          </cell>
          <cell r="J52" t="str">
            <v>Allocation costs are higher than expected.</v>
          </cell>
          <cell r="K52">
            <v>15554.21</v>
          </cell>
          <cell r="L52">
            <v>761.94999999999891</v>
          </cell>
          <cell r="M52">
            <v>4.8986737352780946E-2</v>
          </cell>
          <cell r="N52">
            <v>3778.81</v>
          </cell>
          <cell r="O52">
            <v>-11013.45</v>
          </cell>
          <cell r="P52">
            <v>-2.9145286479076749</v>
          </cell>
          <cell r="Q52">
            <v>34478.5</v>
          </cell>
          <cell r="R52">
            <v>15554.21</v>
          </cell>
          <cell r="S52">
            <v>3778.81</v>
          </cell>
        </row>
        <row r="53">
          <cell r="A53" t="str">
            <v>6223085583</v>
          </cell>
          <cell r="B53">
            <v>85583</v>
          </cell>
          <cell r="D53" t="str">
            <v>Bldg Admin - Office Exp</v>
          </cell>
          <cell r="F53">
            <v>2676.71</v>
          </cell>
          <cell r="G53">
            <v>0</v>
          </cell>
          <cell r="H53">
            <v>-2676.71</v>
          </cell>
          <cell r="I53" t="str">
            <v>N/A</v>
          </cell>
          <cell r="K53">
            <v>4192.3599999999997</v>
          </cell>
          <cell r="L53">
            <v>1515.6499999999996</v>
          </cell>
          <cell r="M53">
            <v>0.36152668186892339</v>
          </cell>
          <cell r="N53">
            <v>0</v>
          </cell>
          <cell r="O53">
            <v>-2676.71</v>
          </cell>
          <cell r="P53" t="str">
            <v>N/A</v>
          </cell>
          <cell r="Q53">
            <v>0</v>
          </cell>
          <cell r="R53">
            <v>4192.3599999999997</v>
          </cell>
          <cell r="S53">
            <v>0</v>
          </cell>
        </row>
        <row r="54">
          <cell r="A54" t="str">
            <v>6223088710</v>
          </cell>
          <cell r="B54">
            <v>88710</v>
          </cell>
          <cell r="D54" t="str">
            <v>Losses-Bad Debts</v>
          </cell>
          <cell r="F54">
            <v>-5439.62</v>
          </cell>
          <cell r="G54">
            <v>22984.639999999999</v>
          </cell>
          <cell r="H54">
            <v>28424.26</v>
          </cell>
          <cell r="I54">
            <v>1.2366632672950284</v>
          </cell>
          <cell r="K54">
            <v>3499.81</v>
          </cell>
          <cell r="L54">
            <v>8939.43</v>
          </cell>
          <cell r="M54">
            <v>2.5542615170537832</v>
          </cell>
          <cell r="N54">
            <v>22149.62</v>
          </cell>
          <cell r="O54">
            <v>27589.239999999998</v>
          </cell>
          <cell r="P54">
            <v>1.245585251575422</v>
          </cell>
          <cell r="Q54">
            <v>22984.639999999999</v>
          </cell>
          <cell r="R54">
            <v>3499.81</v>
          </cell>
          <cell r="S54">
            <v>22149.62</v>
          </cell>
        </row>
        <row r="55">
          <cell r="D55" t="str">
            <v>Total Non-Reimbursable</v>
          </cell>
          <cell r="F55">
            <v>16585.84</v>
          </cell>
          <cell r="G55">
            <v>62816.82</v>
          </cell>
          <cell r="H55">
            <v>46230.979999999996</v>
          </cell>
          <cell r="I55">
            <v>0.73596498517435294</v>
          </cell>
          <cell r="K55">
            <v>27677.32</v>
          </cell>
          <cell r="L55">
            <v>11091.48</v>
          </cell>
          <cell r="M55">
            <v>0.40074255744414561</v>
          </cell>
          <cell r="N55">
            <v>238626.52999999997</v>
          </cell>
          <cell r="O55">
            <v>222040.68999999997</v>
          </cell>
          <cell r="P55">
            <v>0.93049456822759813</v>
          </cell>
          <cell r="Q55">
            <v>62816.82</v>
          </cell>
          <cell r="R55">
            <v>27677.32</v>
          </cell>
          <cell r="S55">
            <v>238626.52999999997</v>
          </cell>
        </row>
        <row r="57">
          <cell r="D57" t="str">
            <v>TOTAL OPERATING EXPENSES</v>
          </cell>
          <cell r="F57">
            <v>357344.88000000006</v>
          </cell>
          <cell r="G57">
            <v>457293.02</v>
          </cell>
          <cell r="H57">
            <v>99948.14</v>
          </cell>
          <cell r="I57">
            <v>0.21856476182383014</v>
          </cell>
          <cell r="K57">
            <v>403910.13</v>
          </cell>
          <cell r="L57">
            <v>46565.250000000015</v>
          </cell>
          <cell r="M57">
            <v>0.11528616526651612</v>
          </cell>
          <cell r="N57">
            <v>656900.27</v>
          </cell>
          <cell r="O57">
            <v>299555.38999999996</v>
          </cell>
          <cell r="P57">
            <v>0.45601349806112873</v>
          </cell>
          <cell r="Q57">
            <v>457293.02</v>
          </cell>
          <cell r="R57">
            <v>403910.13</v>
          </cell>
          <cell r="S57">
            <v>656900.27</v>
          </cell>
        </row>
        <row r="59">
          <cell r="D59" t="str">
            <v>NET INCOME (Excluding NRO)</v>
          </cell>
          <cell r="F59">
            <v>1895910.3</v>
          </cell>
          <cell r="G59">
            <v>1818235.35</v>
          </cell>
          <cell r="H59">
            <v>77674.950000000055</v>
          </cell>
          <cell r="I59">
            <v>4.2719964717438837E-2</v>
          </cell>
          <cell r="K59">
            <v>1827374.3000000003</v>
          </cell>
          <cell r="L59">
            <v>68535.999999999985</v>
          </cell>
          <cell r="M59">
            <v>3.750517887878798E-2</v>
          </cell>
          <cell r="N59">
            <v>1696815.2399999998</v>
          </cell>
          <cell r="O59">
            <v>199095.05999999997</v>
          </cell>
          <cell r="P59">
            <v>0.1173345543501837</v>
          </cell>
          <cell r="Q59">
            <v>1818235.35</v>
          </cell>
          <cell r="R59">
            <v>1827374.3000000003</v>
          </cell>
          <cell r="S59">
            <v>1696815.2399999998</v>
          </cell>
        </row>
        <row r="60">
          <cell r="A60" t="str">
            <v>6223076071</v>
          </cell>
          <cell r="B60">
            <v>76071</v>
          </cell>
          <cell r="D60" t="str">
            <v>Reimaging Maintenance</v>
          </cell>
          <cell r="F60">
            <v>58969.95</v>
          </cell>
          <cell r="G60">
            <v>136216</v>
          </cell>
          <cell r="H60">
            <v>77246.05</v>
          </cell>
          <cell r="I60">
            <v>0.56708499735713869</v>
          </cell>
          <cell r="K60">
            <v>58969</v>
          </cell>
          <cell r="L60">
            <v>-0.94999999999708962</v>
          </cell>
          <cell r="M60">
            <v>-1.6110159575320754E-5</v>
          </cell>
          <cell r="N60">
            <v>0</v>
          </cell>
          <cell r="O60">
            <v>-58969.95</v>
          </cell>
          <cell r="P60" t="str">
            <v>N/A</v>
          </cell>
          <cell r="Q60">
            <v>136216</v>
          </cell>
          <cell r="R60">
            <v>58969</v>
          </cell>
          <cell r="S60">
            <v>0</v>
          </cell>
        </row>
        <row r="61">
          <cell r="D61" t="str">
            <v xml:space="preserve">NET INCOME </v>
          </cell>
          <cell r="F61">
            <v>1836940.35</v>
          </cell>
          <cell r="G61">
            <v>1682019.35</v>
          </cell>
          <cell r="H61">
            <v>154921.00000000006</v>
          </cell>
          <cell r="I61">
            <v>9.2104172285532887E-2</v>
          </cell>
          <cell r="K61">
            <v>1768405.3000000003</v>
          </cell>
          <cell r="L61">
            <v>68535.049999999988</v>
          </cell>
          <cell r="M61">
            <v>3.8755284210016776E-2</v>
          </cell>
          <cell r="N61">
            <v>1696815.2399999998</v>
          </cell>
          <cell r="O61">
            <v>140125.10999999999</v>
          </cell>
          <cell r="P61">
            <v>8.2581242021376469E-2</v>
          </cell>
          <cell r="Q61">
            <v>1682019.35</v>
          </cell>
          <cell r="R61">
            <v>1768405.3000000003</v>
          </cell>
          <cell r="S61">
            <v>1696815.2399999998</v>
          </cell>
        </row>
        <row r="64">
          <cell r="C64" t="str">
            <v>Forecasted Variances:</v>
          </cell>
        </row>
        <row r="65">
          <cell r="C65" t="str">
            <v xml:space="preserve">l  </v>
          </cell>
          <cell r="D65" t="str">
            <v>Rental Income - Fixed:  Please see Minimum Rent Schedule.</v>
          </cell>
        </row>
        <row r="66">
          <cell r="C66" t="str">
            <v xml:space="preserve">l  </v>
          </cell>
          <cell r="D66" t="str">
            <v>Rental Income - Operating Exp Recoveries:  Revenue reflects a budgeted recovery ratio of 111.5%. Variance reflects timing of expenses.</v>
          </cell>
        </row>
        <row r="67">
          <cell r="C67" t="str">
            <v xml:space="preserve">l  </v>
          </cell>
          <cell r="D67" t="str">
            <v xml:space="preserve">Utilities - Water:  Water usage is low at the end of last year (winter months). However forecast is evenly distributed. </v>
          </cell>
        </row>
        <row r="68">
          <cell r="C68" t="str">
            <v xml:space="preserve">l  </v>
          </cell>
          <cell r="D68" t="str">
            <v>Bldg Maintenance &amp; Repair:  Due to incidental repairs in building 4.</v>
          </cell>
        </row>
        <row r="69">
          <cell r="C69" t="str">
            <v xml:space="preserve">l  </v>
          </cell>
          <cell r="D69" t="str">
            <v>Bldg Admin - Office Costs:  To be updated.</v>
          </cell>
        </row>
        <row r="70">
          <cell r="C70" t="str">
            <v xml:space="preserve">l  </v>
          </cell>
          <cell r="D70" t="str">
            <v>Bldg Admin - Salaries:  To be updated.</v>
          </cell>
        </row>
        <row r="71">
          <cell r="C71" t="str">
            <v xml:space="preserve">l  </v>
          </cell>
          <cell r="D71" t="str">
            <v>Security/Safety:  Increased security due to construction. Expenses tripled budget starting in 10/04. Overlooked during forecast.</v>
          </cell>
        </row>
        <row r="72">
          <cell r="C72" t="str">
            <v xml:space="preserve">l  </v>
          </cell>
          <cell r="D72" t="str">
            <v>Consulting Services:  Budget based on last year's history.</v>
          </cell>
        </row>
        <row r="73">
          <cell r="C73" t="str">
            <v xml:space="preserve">l  </v>
          </cell>
          <cell r="D73" t="str">
            <v>Bldg Admin - Salaries:  Allocation costs are higher than anticipated.</v>
          </cell>
        </row>
        <row r="74">
          <cell r="C74" t="str">
            <v xml:space="preserve">l  </v>
          </cell>
          <cell r="D74" t="str">
            <v>Bldg Admin - Office Exp:  Expenses are lower than anticipated.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Operating Exp Recoveries:  Revenue reflects a budgeted recovery ratio of 111.5%. Variance reflects timing of expenses.</v>
          </cell>
        </row>
        <row r="79">
          <cell r="C79" t="str">
            <v xml:space="preserve">l  </v>
          </cell>
          <cell r="D79" t="str">
            <v>Bldg Maintenance &amp; Repair:  Due to a $58K Sewer replacement in PY.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on Square"/>
      <sheetName val="Campus Plaza"/>
      <sheetName val="Executive Park"/>
      <sheetName val="Lakeside"/>
      <sheetName val="Oakcreek"/>
      <sheetName val="Parkview"/>
      <sheetName val="University Center"/>
      <sheetName val="University Park"/>
      <sheetName val="Woodbridge"/>
      <sheetName val="data"/>
      <sheetName val="Var Notes (Master)"/>
      <sheetName val="variance"/>
      <sheetName val="#REF"/>
      <sheetName val="budget"/>
      <sheetName val="forecast"/>
      <sheetName val="prior year"/>
      <sheetName val="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6211641010</v>
          </cell>
          <cell r="B2">
            <v>62116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6211641040</v>
          </cell>
          <cell r="B3">
            <v>62116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6211641050</v>
          </cell>
          <cell r="B4">
            <v>62116</v>
          </cell>
          <cell r="C4">
            <v>41050</v>
          </cell>
          <cell r="D4" t="str">
            <v>Rental Income - Fixed</v>
          </cell>
          <cell r="E4">
            <v>-46139.17</v>
          </cell>
          <cell r="F4">
            <v>-32100</v>
          </cell>
          <cell r="G4">
            <v>-14039.17</v>
          </cell>
          <cell r="H4">
            <v>0.43740000000000001</v>
          </cell>
          <cell r="I4">
            <v>-32100</v>
          </cell>
          <cell r="J4">
            <v>-14039.17</v>
          </cell>
        </row>
        <row r="5">
          <cell r="A5" t="str">
            <v>6211641074</v>
          </cell>
          <cell r="B5">
            <v>62116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6211641082</v>
          </cell>
          <cell r="B6">
            <v>62116</v>
          </cell>
          <cell r="C6">
            <v>41082</v>
          </cell>
          <cell r="D6" t="str">
            <v>Rental Income - Operating Exp</v>
          </cell>
          <cell r="E6">
            <v>-13200.56</v>
          </cell>
          <cell r="F6">
            <v>-14676.57</v>
          </cell>
          <cell r="G6">
            <v>1476.01</v>
          </cell>
          <cell r="H6">
            <v>-0.10059999999999999</v>
          </cell>
          <cell r="I6">
            <v>-14676.57</v>
          </cell>
          <cell r="J6">
            <v>1476.01</v>
          </cell>
        </row>
        <row r="7">
          <cell r="A7" t="str">
            <v>6211644610</v>
          </cell>
          <cell r="B7">
            <v>62116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6211645071</v>
          </cell>
          <cell r="B8">
            <v>62116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6211645010</v>
          </cell>
          <cell r="B9">
            <v>62116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6211645046</v>
          </cell>
          <cell r="B10">
            <v>62116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6211645070</v>
          </cell>
          <cell r="B11">
            <v>62116</v>
          </cell>
          <cell r="C11">
            <v>45070</v>
          </cell>
          <cell r="D11" t="str">
            <v>Other Income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6211641060</v>
          </cell>
          <cell r="B12">
            <v>62116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6211644870</v>
          </cell>
          <cell r="B13">
            <v>62116</v>
          </cell>
          <cell r="C13">
            <v>44870</v>
          </cell>
          <cell r="D13" t="str">
            <v>Late Fees</v>
          </cell>
          <cell r="E13">
            <v>0</v>
          </cell>
          <cell r="F13">
            <v>-416.67</v>
          </cell>
          <cell r="G13">
            <v>416.67</v>
          </cell>
          <cell r="H13">
            <v>0</v>
          </cell>
          <cell r="I13">
            <v>-416.67</v>
          </cell>
          <cell r="J13">
            <v>416.67</v>
          </cell>
        </row>
        <row r="14">
          <cell r="A14" t="str">
            <v>6211652542</v>
          </cell>
          <cell r="B14">
            <v>62116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6211672710</v>
          </cell>
          <cell r="B15">
            <v>62116</v>
          </cell>
          <cell r="C15">
            <v>72710</v>
          </cell>
          <cell r="D15" t="str">
            <v>Utilities - Electricity</v>
          </cell>
          <cell r="E15">
            <v>598.97</v>
          </cell>
          <cell r="F15">
            <v>500</v>
          </cell>
          <cell r="G15">
            <v>98.97</v>
          </cell>
          <cell r="H15">
            <v>0.19789999999999999</v>
          </cell>
          <cell r="I15">
            <v>500</v>
          </cell>
          <cell r="J15">
            <v>98.97</v>
          </cell>
        </row>
        <row r="16">
          <cell r="A16" t="str">
            <v>6211672740</v>
          </cell>
          <cell r="B16">
            <v>62116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6211672770</v>
          </cell>
          <cell r="B17">
            <v>62116</v>
          </cell>
          <cell r="C17">
            <v>72770</v>
          </cell>
          <cell r="D17" t="str">
            <v>Utilities - Water</v>
          </cell>
          <cell r="E17">
            <v>211.21</v>
          </cell>
          <cell r="F17">
            <v>233</v>
          </cell>
          <cell r="G17">
            <v>-21.79</v>
          </cell>
          <cell r="H17">
            <v>-9.35E-2</v>
          </cell>
          <cell r="I17">
            <v>233</v>
          </cell>
          <cell r="J17">
            <v>-21.79</v>
          </cell>
        </row>
        <row r="18">
          <cell r="A18" t="str">
            <v>6211676000</v>
          </cell>
          <cell r="B18">
            <v>62116</v>
          </cell>
          <cell r="C18">
            <v>76000</v>
          </cell>
          <cell r="D18" t="str">
            <v>Bldg Maintenance &amp; Repair</v>
          </cell>
          <cell r="E18">
            <v>0</v>
          </cell>
          <cell r="F18">
            <v>275</v>
          </cell>
          <cell r="G18">
            <v>-275</v>
          </cell>
          <cell r="H18">
            <v>0</v>
          </cell>
          <cell r="I18">
            <v>275</v>
          </cell>
          <cell r="J18">
            <v>-275</v>
          </cell>
        </row>
        <row r="19">
          <cell r="A19" t="str">
            <v>6211676020</v>
          </cell>
          <cell r="B19">
            <v>62116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6211676034</v>
          </cell>
          <cell r="B20">
            <v>62116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6211676050</v>
          </cell>
          <cell r="B21">
            <v>62116</v>
          </cell>
          <cell r="C21">
            <v>76050</v>
          </cell>
          <cell r="D21" t="str">
            <v>Cleaning Expense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6211676056</v>
          </cell>
          <cell r="B22">
            <v>62116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A23" t="str">
            <v>6211676070</v>
          </cell>
          <cell r="B23">
            <v>62116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6211676091</v>
          </cell>
          <cell r="B24">
            <v>62116</v>
          </cell>
          <cell r="C24">
            <v>76091</v>
          </cell>
          <cell r="D24" t="str">
            <v>Parking Maintenance</v>
          </cell>
          <cell r="E24">
            <v>941.5</v>
          </cell>
          <cell r="F24">
            <v>700</v>
          </cell>
          <cell r="G24">
            <v>241.5</v>
          </cell>
          <cell r="H24">
            <v>0.34499999999999997</v>
          </cell>
          <cell r="I24">
            <v>700</v>
          </cell>
          <cell r="J24">
            <v>241.5</v>
          </cell>
        </row>
        <row r="25">
          <cell r="A25" t="str">
            <v>6211677000</v>
          </cell>
          <cell r="B25">
            <v>62116</v>
          </cell>
          <cell r="C25">
            <v>77000</v>
          </cell>
          <cell r="D25" t="str">
            <v>Grounds Maintenance</v>
          </cell>
          <cell r="E25">
            <v>598</v>
          </cell>
          <cell r="F25">
            <v>1485</v>
          </cell>
          <cell r="G25">
            <v>-887</v>
          </cell>
          <cell r="H25">
            <v>-0.59730000000000005</v>
          </cell>
          <cell r="I25">
            <v>1485</v>
          </cell>
          <cell r="J25">
            <v>-887</v>
          </cell>
        </row>
        <row r="26">
          <cell r="A26" t="str">
            <v>6211677053</v>
          </cell>
          <cell r="B26">
            <v>62116</v>
          </cell>
          <cell r="C26">
            <v>77053</v>
          </cell>
          <cell r="D26" t="str">
            <v>Landscaping</v>
          </cell>
          <cell r="E26">
            <v>670</v>
          </cell>
          <cell r="F26">
            <v>870</v>
          </cell>
          <cell r="G26">
            <v>-200</v>
          </cell>
          <cell r="H26">
            <v>-0.22989999999999999</v>
          </cell>
          <cell r="I26">
            <v>870</v>
          </cell>
          <cell r="J26">
            <v>-200</v>
          </cell>
        </row>
        <row r="27">
          <cell r="A27" t="str">
            <v>6211678020</v>
          </cell>
          <cell r="B27">
            <v>62116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6211684264</v>
          </cell>
          <cell r="B28">
            <v>62116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6211685555</v>
          </cell>
          <cell r="B29">
            <v>62116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6211685584</v>
          </cell>
          <cell r="B30">
            <v>62116</v>
          </cell>
          <cell r="C30">
            <v>85584</v>
          </cell>
          <cell r="D30" t="str">
            <v>Bldg Admin-Office Costs</v>
          </cell>
          <cell r="E30">
            <v>174.94</v>
          </cell>
          <cell r="F30">
            <v>126</v>
          </cell>
          <cell r="G30">
            <v>48.94</v>
          </cell>
          <cell r="H30">
            <v>0.38840000000000002</v>
          </cell>
          <cell r="I30">
            <v>126</v>
          </cell>
          <cell r="J30">
            <v>48.94</v>
          </cell>
        </row>
        <row r="31">
          <cell r="A31" t="str">
            <v>6211685582</v>
          </cell>
          <cell r="B31">
            <v>62116</v>
          </cell>
          <cell r="C31">
            <v>85582</v>
          </cell>
          <cell r="D31" t="str">
            <v>Bldg Admin-Salaries</v>
          </cell>
          <cell r="E31">
            <v>873.27</v>
          </cell>
          <cell r="F31">
            <v>851.08</v>
          </cell>
          <cell r="G31">
            <v>22.189999999999898</v>
          </cell>
          <cell r="H31">
            <v>2.6100000000000002E-2</v>
          </cell>
          <cell r="I31">
            <v>851.08</v>
          </cell>
          <cell r="J31">
            <v>22.189999999999898</v>
          </cell>
        </row>
        <row r="32">
          <cell r="A32" t="str">
            <v>6211686564</v>
          </cell>
          <cell r="B32">
            <v>62116</v>
          </cell>
          <cell r="C32">
            <v>86564</v>
          </cell>
          <cell r="D32" t="str">
            <v>Insurance</v>
          </cell>
          <cell r="E32">
            <v>677</v>
          </cell>
          <cell r="F32">
            <v>677.76</v>
          </cell>
          <cell r="G32">
            <v>-0.75999999999999102</v>
          </cell>
          <cell r="H32">
            <v>-1.1000000000000001E-3</v>
          </cell>
          <cell r="I32">
            <v>677.76</v>
          </cell>
          <cell r="J32">
            <v>-0.75999999999999102</v>
          </cell>
        </row>
        <row r="33">
          <cell r="A33" t="str">
            <v>6211688846</v>
          </cell>
          <cell r="B33">
            <v>62116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6211688890</v>
          </cell>
          <cell r="B34">
            <v>62116</v>
          </cell>
          <cell r="C34">
            <v>88890</v>
          </cell>
          <cell r="D34" t="str">
            <v>Security/Safety</v>
          </cell>
          <cell r="E34">
            <v>391.82</v>
          </cell>
          <cell r="F34">
            <v>350</v>
          </cell>
          <cell r="G34">
            <v>41.82</v>
          </cell>
          <cell r="H34">
            <v>0.1195</v>
          </cell>
          <cell r="I34">
            <v>350</v>
          </cell>
          <cell r="J34">
            <v>41.82</v>
          </cell>
        </row>
        <row r="35">
          <cell r="A35" t="str">
            <v>6211689775</v>
          </cell>
          <cell r="B35">
            <v>62116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6211689729</v>
          </cell>
          <cell r="B36">
            <v>62116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6211689786</v>
          </cell>
          <cell r="B37">
            <v>62116</v>
          </cell>
          <cell r="C37">
            <v>89786</v>
          </cell>
          <cell r="D37" t="str">
            <v>Property Tax Exp</v>
          </cell>
          <cell r="E37">
            <v>7086</v>
          </cell>
          <cell r="F37">
            <v>7086.33</v>
          </cell>
          <cell r="G37">
            <v>-0.32999999999992702</v>
          </cell>
          <cell r="H37">
            <v>0</v>
          </cell>
          <cell r="I37">
            <v>7086.33</v>
          </cell>
          <cell r="J37">
            <v>-0.32999999999992702</v>
          </cell>
        </row>
        <row r="38">
          <cell r="A38" t="str">
            <v>6211671040</v>
          </cell>
          <cell r="B38">
            <v>62116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6211672701</v>
          </cell>
          <cell r="B39">
            <v>62116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6211672855</v>
          </cell>
          <cell r="B40">
            <v>62116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6211672870</v>
          </cell>
          <cell r="B41">
            <v>62116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6211676010</v>
          </cell>
          <cell r="B42">
            <v>62116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6211676040</v>
          </cell>
          <cell r="B43">
            <v>62116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6211676051</v>
          </cell>
          <cell r="B44">
            <v>62116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6211676054</v>
          </cell>
          <cell r="B45">
            <v>62116</v>
          </cell>
          <cell r="C45">
            <v>76054</v>
          </cell>
          <cell r="D45" t="str">
            <v>Bldg Maintenance &amp; Repair</v>
          </cell>
          <cell r="E45">
            <v>0</v>
          </cell>
          <cell r="F45">
            <v>175</v>
          </cell>
          <cell r="G45">
            <v>-175</v>
          </cell>
          <cell r="H45">
            <v>0</v>
          </cell>
          <cell r="I45">
            <v>175</v>
          </cell>
          <cell r="J45">
            <v>-175</v>
          </cell>
        </row>
        <row r="46">
          <cell r="A46" t="str">
            <v>6211676060</v>
          </cell>
          <cell r="B46">
            <v>62116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6211676071</v>
          </cell>
          <cell r="B47">
            <v>62116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6211676090</v>
          </cell>
          <cell r="B48">
            <v>62116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6211677001</v>
          </cell>
          <cell r="B49">
            <v>62116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6211677022</v>
          </cell>
          <cell r="B50">
            <v>62116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6211684200</v>
          </cell>
          <cell r="B51">
            <v>62116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6211684240</v>
          </cell>
          <cell r="B52">
            <v>62116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 t="str">
            <v>6211684242</v>
          </cell>
          <cell r="B53">
            <v>62116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6211684243</v>
          </cell>
          <cell r="B54">
            <v>62116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6211684244</v>
          </cell>
          <cell r="B55">
            <v>62116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6211684265</v>
          </cell>
          <cell r="B56">
            <v>62116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6211688037</v>
          </cell>
          <cell r="B57">
            <v>62116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6211685016</v>
          </cell>
          <cell r="B58">
            <v>62116</v>
          </cell>
          <cell r="C58">
            <v>85016</v>
          </cell>
          <cell r="D58" t="str">
            <v>Prof Svc-Attorney Outside</v>
          </cell>
          <cell r="E58">
            <v>723.5</v>
          </cell>
          <cell r="F58">
            <v>166.67</v>
          </cell>
          <cell r="G58">
            <v>556.83000000000004</v>
          </cell>
          <cell r="H58">
            <v>3.3409</v>
          </cell>
          <cell r="I58">
            <v>166.67</v>
          </cell>
          <cell r="J58">
            <v>556.83000000000004</v>
          </cell>
        </row>
        <row r="59">
          <cell r="A59" t="str">
            <v>6211685022</v>
          </cell>
          <cell r="B59">
            <v>62116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1023</v>
          </cell>
          <cell r="G59">
            <v>-1023</v>
          </cell>
          <cell r="H59">
            <v>0</v>
          </cell>
          <cell r="I59">
            <v>1023</v>
          </cell>
          <cell r="J59">
            <v>-1023</v>
          </cell>
        </row>
        <row r="60">
          <cell r="A60" t="str">
            <v>6211685065</v>
          </cell>
          <cell r="B60">
            <v>62116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6211685500</v>
          </cell>
          <cell r="B61">
            <v>62116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6211685566</v>
          </cell>
          <cell r="B62">
            <v>62116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6211685581</v>
          </cell>
          <cell r="B63">
            <v>62116</v>
          </cell>
          <cell r="C63">
            <v>85581</v>
          </cell>
          <cell r="D63" t="str">
            <v>Bldg Admin- Salaries</v>
          </cell>
          <cell r="E63">
            <v>475.17</v>
          </cell>
          <cell r="F63">
            <v>509</v>
          </cell>
          <cell r="G63">
            <v>-33.83</v>
          </cell>
          <cell r="H63">
            <v>-6.6500000000000004E-2</v>
          </cell>
          <cell r="I63">
            <v>509</v>
          </cell>
          <cell r="J63">
            <v>-33.83</v>
          </cell>
        </row>
        <row r="64">
          <cell r="A64" t="str">
            <v>6211685583</v>
          </cell>
          <cell r="B64">
            <v>62116</v>
          </cell>
          <cell r="C64">
            <v>85583</v>
          </cell>
          <cell r="D64" t="str">
            <v>Bldg Admin-Office Exp.</v>
          </cell>
          <cell r="E64">
            <v>108.39</v>
          </cell>
          <cell r="F64">
            <v>73.75</v>
          </cell>
          <cell r="G64">
            <v>34.64</v>
          </cell>
          <cell r="H64">
            <v>0.46970000000000001</v>
          </cell>
          <cell r="I64">
            <v>73.75</v>
          </cell>
          <cell r="J64">
            <v>34.64</v>
          </cell>
        </row>
        <row r="65">
          <cell r="A65" t="str">
            <v>6211685530</v>
          </cell>
          <cell r="B65">
            <v>62116</v>
          </cell>
          <cell r="C65">
            <v>85530</v>
          </cell>
          <cell r="D65" t="str">
            <v>Bldg Admin - Office Exp</v>
          </cell>
          <cell r="E65">
            <v>108.39</v>
          </cell>
          <cell r="F65">
            <v>73.75</v>
          </cell>
          <cell r="G65">
            <v>34.64</v>
          </cell>
          <cell r="H65">
            <v>0.46970000000000001</v>
          </cell>
          <cell r="I65">
            <v>73.75</v>
          </cell>
          <cell r="J65">
            <v>34.64</v>
          </cell>
        </row>
        <row r="66">
          <cell r="A66" t="str">
            <v>6211686012</v>
          </cell>
          <cell r="B66">
            <v>62116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6211686037</v>
          </cell>
          <cell r="B67">
            <v>62116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6211683050</v>
          </cell>
          <cell r="B68">
            <v>62116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6211686510</v>
          </cell>
          <cell r="B69">
            <v>62116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6211686537</v>
          </cell>
          <cell r="B70">
            <v>62116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6211686566</v>
          </cell>
          <cell r="B71">
            <v>62116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6211686955</v>
          </cell>
          <cell r="B72">
            <v>62116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6211686985</v>
          </cell>
          <cell r="B73">
            <v>62116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6211686880</v>
          </cell>
          <cell r="B74">
            <v>62116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6211688710</v>
          </cell>
          <cell r="B75">
            <v>62116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A76" t="str">
            <v>6211688711</v>
          </cell>
          <cell r="B76">
            <v>62116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6211688785</v>
          </cell>
          <cell r="B77">
            <v>62116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6211688847</v>
          </cell>
          <cell r="B78">
            <v>62116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6211688866</v>
          </cell>
          <cell r="B79">
            <v>62116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6211688870</v>
          </cell>
          <cell r="B80">
            <v>62116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6211688889</v>
          </cell>
          <cell r="B81">
            <v>62116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6211689776</v>
          </cell>
          <cell r="B82">
            <v>62116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6211689787</v>
          </cell>
          <cell r="B83">
            <v>62116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6211689510</v>
          </cell>
          <cell r="B84">
            <v>62116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6211689511</v>
          </cell>
          <cell r="B85">
            <v>62116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6211689512</v>
          </cell>
          <cell r="B86">
            <v>62116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6211689528</v>
          </cell>
          <cell r="B87">
            <v>62116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6211689529</v>
          </cell>
          <cell r="B88">
            <v>62116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6211689567</v>
          </cell>
          <cell r="B89">
            <v>62116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6211685058</v>
          </cell>
          <cell r="B90">
            <v>62116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6211686513</v>
          </cell>
          <cell r="B91">
            <v>62116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6211686519</v>
          </cell>
          <cell r="B92">
            <v>62116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6211688770</v>
          </cell>
          <cell r="B93">
            <v>62116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6211688862</v>
          </cell>
          <cell r="B94">
            <v>62116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6211688874</v>
          </cell>
          <cell r="B95">
            <v>62116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6211689910</v>
          </cell>
          <cell r="B96">
            <v>62116</v>
          </cell>
          <cell r="C96">
            <v>89910</v>
          </cell>
          <cell r="D96" t="str">
            <v>Depreciation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</row>
        <row r="97">
          <cell r="A97" t="str">
            <v>6211689548</v>
          </cell>
          <cell r="B97">
            <v>62116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6213141010</v>
          </cell>
          <cell r="B98">
            <v>62131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6213141040</v>
          </cell>
          <cell r="B99">
            <v>62131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6213141050</v>
          </cell>
          <cell r="B100">
            <v>62131</v>
          </cell>
          <cell r="C100">
            <v>41050</v>
          </cell>
          <cell r="D100" t="str">
            <v>Rental Income - Fixed</v>
          </cell>
          <cell r="E100">
            <v>-216324.15</v>
          </cell>
          <cell r="F100">
            <v>-192086.64</v>
          </cell>
          <cell r="G100">
            <v>-24237.51</v>
          </cell>
          <cell r="H100">
            <v>0.12620000000000001</v>
          </cell>
          <cell r="I100">
            <v>-192086.64</v>
          </cell>
          <cell r="J100">
            <v>-24237.51</v>
          </cell>
        </row>
        <row r="101">
          <cell r="A101" t="str">
            <v>6213141074</v>
          </cell>
          <cell r="B101">
            <v>62131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 t="str">
            <v>6213141082</v>
          </cell>
          <cell r="B102">
            <v>62131</v>
          </cell>
          <cell r="C102">
            <v>41082</v>
          </cell>
          <cell r="D102" t="str">
            <v>Rental Income - Operating Exp</v>
          </cell>
          <cell r="E102">
            <v>-50468.47</v>
          </cell>
          <cell r="F102">
            <v>-59452.65</v>
          </cell>
          <cell r="G102">
            <v>8984.18</v>
          </cell>
          <cell r="H102">
            <v>-0.15110000000000001</v>
          </cell>
          <cell r="I102">
            <v>-59452.65</v>
          </cell>
          <cell r="J102">
            <v>8984.18</v>
          </cell>
        </row>
        <row r="103">
          <cell r="A103" t="str">
            <v>6213144610</v>
          </cell>
          <cell r="B103">
            <v>62131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6213145071</v>
          </cell>
          <cell r="B104">
            <v>62131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6213145010</v>
          </cell>
          <cell r="B105">
            <v>62131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6213145046</v>
          </cell>
          <cell r="B106">
            <v>62131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6213145070</v>
          </cell>
          <cell r="B107">
            <v>62131</v>
          </cell>
          <cell r="C107">
            <v>45070</v>
          </cell>
          <cell r="D107" t="str">
            <v>Other Income</v>
          </cell>
          <cell r="E107">
            <v>-2750.89</v>
          </cell>
          <cell r="F107">
            <v>-24</v>
          </cell>
          <cell r="G107">
            <v>-2726.89</v>
          </cell>
          <cell r="H107">
            <v>113.6204</v>
          </cell>
          <cell r="I107">
            <v>-24</v>
          </cell>
          <cell r="J107">
            <v>-2726.89</v>
          </cell>
        </row>
        <row r="108">
          <cell r="A108" t="str">
            <v>6213141060</v>
          </cell>
          <cell r="B108">
            <v>62131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5898</v>
          </cell>
          <cell r="G108">
            <v>-5898</v>
          </cell>
          <cell r="H108">
            <v>0</v>
          </cell>
          <cell r="I108">
            <v>5898</v>
          </cell>
          <cell r="J108">
            <v>-5898</v>
          </cell>
        </row>
        <row r="109">
          <cell r="A109" t="str">
            <v>6213144870</v>
          </cell>
          <cell r="B109">
            <v>62131</v>
          </cell>
          <cell r="C109">
            <v>44870</v>
          </cell>
          <cell r="D109" t="str">
            <v>Late Fees</v>
          </cell>
          <cell r="E109">
            <v>-1293.06</v>
          </cell>
          <cell r="F109">
            <v>-166.67</v>
          </cell>
          <cell r="G109">
            <v>-1126.3900000000001</v>
          </cell>
          <cell r="H109">
            <v>6.7582000000000004</v>
          </cell>
          <cell r="I109">
            <v>-166.67</v>
          </cell>
          <cell r="J109">
            <v>-1126.3900000000001</v>
          </cell>
        </row>
        <row r="110">
          <cell r="A110" t="str">
            <v>6213152542</v>
          </cell>
          <cell r="B110">
            <v>62131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6213172710</v>
          </cell>
          <cell r="B111">
            <v>62131</v>
          </cell>
          <cell r="C111">
            <v>72710</v>
          </cell>
          <cell r="D111" t="str">
            <v>Utilities - Electricity</v>
          </cell>
          <cell r="E111">
            <v>4062.92</v>
          </cell>
          <cell r="F111">
            <v>6750</v>
          </cell>
          <cell r="G111">
            <v>-2687.08</v>
          </cell>
          <cell r="H111">
            <v>-0.39810000000000001</v>
          </cell>
          <cell r="I111">
            <v>6750</v>
          </cell>
          <cell r="J111">
            <v>-2687.08</v>
          </cell>
        </row>
        <row r="112">
          <cell r="A112" t="str">
            <v>6213172740</v>
          </cell>
          <cell r="B112">
            <v>62131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6213172770</v>
          </cell>
          <cell r="B113">
            <v>62131</v>
          </cell>
          <cell r="C113">
            <v>72770</v>
          </cell>
          <cell r="D113" t="str">
            <v>Utilities - Water</v>
          </cell>
          <cell r="E113">
            <v>914.27</v>
          </cell>
          <cell r="F113">
            <v>1350</v>
          </cell>
          <cell r="G113">
            <v>-435.73</v>
          </cell>
          <cell r="H113">
            <v>-0.32279999999999998</v>
          </cell>
          <cell r="I113">
            <v>1350</v>
          </cell>
          <cell r="J113">
            <v>-435.73</v>
          </cell>
        </row>
        <row r="114">
          <cell r="A114" t="str">
            <v>6213176000</v>
          </cell>
          <cell r="B114">
            <v>62131</v>
          </cell>
          <cell r="C114">
            <v>76000</v>
          </cell>
          <cell r="D114" t="str">
            <v>Bldg Maintenance &amp; Repair</v>
          </cell>
          <cell r="E114">
            <v>7511.34</v>
          </cell>
          <cell r="F114">
            <v>6024</v>
          </cell>
          <cell r="G114">
            <v>1487.34</v>
          </cell>
          <cell r="H114">
            <v>0.24690000000000001</v>
          </cell>
          <cell r="I114">
            <v>6024</v>
          </cell>
          <cell r="J114">
            <v>1487.34</v>
          </cell>
        </row>
        <row r="115">
          <cell r="A115" t="str">
            <v>6213176020</v>
          </cell>
          <cell r="B115">
            <v>62131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6213176034</v>
          </cell>
          <cell r="B116">
            <v>62131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6213176050</v>
          </cell>
          <cell r="B117">
            <v>62131</v>
          </cell>
          <cell r="C117">
            <v>76050</v>
          </cell>
          <cell r="D117" t="str">
            <v>Cleaning Expense</v>
          </cell>
          <cell r="E117">
            <v>6387</v>
          </cell>
          <cell r="F117">
            <v>6583.67</v>
          </cell>
          <cell r="G117">
            <v>-196.67</v>
          </cell>
          <cell r="H117">
            <v>-2.9899999999999999E-2</v>
          </cell>
          <cell r="I117">
            <v>6583.67</v>
          </cell>
          <cell r="J117">
            <v>-196.67</v>
          </cell>
        </row>
        <row r="118">
          <cell r="A118" t="str">
            <v>6213176056</v>
          </cell>
          <cell r="B118">
            <v>62131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6213176070</v>
          </cell>
          <cell r="B119">
            <v>62131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6213176091</v>
          </cell>
          <cell r="B120">
            <v>62131</v>
          </cell>
          <cell r="C120">
            <v>76091</v>
          </cell>
          <cell r="D120" t="str">
            <v>Parking Maintenance</v>
          </cell>
          <cell r="E120">
            <v>3776.33</v>
          </cell>
          <cell r="F120">
            <v>2645.83</v>
          </cell>
          <cell r="G120">
            <v>1130.5</v>
          </cell>
          <cell r="H120">
            <v>0.42730000000000001</v>
          </cell>
          <cell r="I120">
            <v>2645.83</v>
          </cell>
          <cell r="J120">
            <v>1130.5</v>
          </cell>
        </row>
        <row r="121">
          <cell r="A121" t="str">
            <v>6213177000</v>
          </cell>
          <cell r="B121">
            <v>62131</v>
          </cell>
          <cell r="C121">
            <v>77000</v>
          </cell>
          <cell r="D121" t="str">
            <v>Grounds Maintenance</v>
          </cell>
          <cell r="E121">
            <v>511.35</v>
          </cell>
          <cell r="F121">
            <v>6569.92</v>
          </cell>
          <cell r="G121">
            <v>-6058.57</v>
          </cell>
          <cell r="H121">
            <v>-0.92220000000000002</v>
          </cell>
          <cell r="I121">
            <v>6569.92</v>
          </cell>
          <cell r="J121">
            <v>-6058.57</v>
          </cell>
        </row>
        <row r="122">
          <cell r="A122" t="str">
            <v>6213177053</v>
          </cell>
          <cell r="B122">
            <v>62131</v>
          </cell>
          <cell r="C122">
            <v>77053</v>
          </cell>
          <cell r="D122" t="str">
            <v>Landscaping</v>
          </cell>
          <cell r="E122">
            <v>2844.77</v>
          </cell>
          <cell r="F122">
            <v>3775</v>
          </cell>
          <cell r="G122">
            <v>-930.23</v>
          </cell>
          <cell r="H122">
            <v>-0.24640000000000001</v>
          </cell>
          <cell r="I122">
            <v>3775</v>
          </cell>
          <cell r="J122">
            <v>-930.23</v>
          </cell>
        </row>
        <row r="123">
          <cell r="A123" t="str">
            <v>6213178020</v>
          </cell>
          <cell r="B123">
            <v>62131</v>
          </cell>
          <cell r="C123">
            <v>78020</v>
          </cell>
          <cell r="D123" t="str">
            <v>Amortized CAM Exp</v>
          </cell>
          <cell r="E123">
            <v>0</v>
          </cell>
          <cell r="F123">
            <v>5000</v>
          </cell>
          <cell r="G123">
            <v>-5000</v>
          </cell>
          <cell r="H123">
            <v>0</v>
          </cell>
          <cell r="I123">
            <v>5000</v>
          </cell>
          <cell r="J123">
            <v>-5000</v>
          </cell>
        </row>
        <row r="124">
          <cell r="A124" t="str">
            <v>6213184264</v>
          </cell>
          <cell r="B124">
            <v>62131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6213185555</v>
          </cell>
          <cell r="B125">
            <v>62131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6213185584</v>
          </cell>
          <cell r="B126">
            <v>62131</v>
          </cell>
          <cell r="C126">
            <v>85584</v>
          </cell>
          <cell r="D126" t="str">
            <v>Bldg Admin-Office Costs</v>
          </cell>
          <cell r="E126">
            <v>1463.77</v>
          </cell>
          <cell r="F126">
            <v>981</v>
          </cell>
          <cell r="G126">
            <v>482.77</v>
          </cell>
          <cell r="H126">
            <v>0.49209999999999998</v>
          </cell>
          <cell r="I126">
            <v>981</v>
          </cell>
          <cell r="J126">
            <v>482.77</v>
          </cell>
        </row>
        <row r="127">
          <cell r="A127" t="str">
            <v>6213185582</v>
          </cell>
          <cell r="B127">
            <v>62131</v>
          </cell>
          <cell r="C127">
            <v>85582</v>
          </cell>
          <cell r="D127" t="str">
            <v>Bldg Admin-Salaries</v>
          </cell>
          <cell r="E127">
            <v>6938.85</v>
          </cell>
          <cell r="F127">
            <v>6611.33</v>
          </cell>
          <cell r="G127">
            <v>327.52</v>
          </cell>
          <cell r="H127">
            <v>4.9500000000000002E-2</v>
          </cell>
          <cell r="I127">
            <v>6611.33</v>
          </cell>
          <cell r="J127">
            <v>327.52</v>
          </cell>
        </row>
        <row r="128">
          <cell r="A128" t="str">
            <v>6213186564</v>
          </cell>
          <cell r="B128">
            <v>62131</v>
          </cell>
          <cell r="C128">
            <v>86564</v>
          </cell>
          <cell r="D128" t="str">
            <v>Insurance</v>
          </cell>
          <cell r="E128">
            <v>5438</v>
          </cell>
          <cell r="F128">
            <v>5438.51</v>
          </cell>
          <cell r="G128">
            <v>-0.51000000000021795</v>
          </cell>
          <cell r="H128">
            <v>-1E-4</v>
          </cell>
          <cell r="I128">
            <v>5438.51</v>
          </cell>
          <cell r="J128">
            <v>-0.51000000000021795</v>
          </cell>
        </row>
        <row r="129">
          <cell r="A129" t="str">
            <v>6213188846</v>
          </cell>
          <cell r="B129">
            <v>62131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6213188890</v>
          </cell>
          <cell r="B130">
            <v>62131</v>
          </cell>
          <cell r="C130">
            <v>88890</v>
          </cell>
          <cell r="D130" t="str">
            <v>Security/Safety</v>
          </cell>
          <cell r="E130">
            <v>7286.52</v>
          </cell>
          <cell r="F130">
            <v>5275</v>
          </cell>
          <cell r="G130">
            <v>2011.52</v>
          </cell>
          <cell r="H130">
            <v>0.38129999999999997</v>
          </cell>
          <cell r="I130">
            <v>5275</v>
          </cell>
          <cell r="J130">
            <v>2011.52</v>
          </cell>
        </row>
        <row r="131">
          <cell r="A131" t="str">
            <v>6213189775</v>
          </cell>
          <cell r="B131">
            <v>62131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6213189729</v>
          </cell>
          <cell r="B132">
            <v>62131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6213189786</v>
          </cell>
          <cell r="B133">
            <v>62131</v>
          </cell>
          <cell r="C133">
            <v>89786</v>
          </cell>
          <cell r="D133" t="str">
            <v>Property Tax Exp</v>
          </cell>
          <cell r="E133">
            <v>19271</v>
          </cell>
          <cell r="F133">
            <v>19271</v>
          </cell>
          <cell r="G133">
            <v>0</v>
          </cell>
          <cell r="H133">
            <v>0</v>
          </cell>
          <cell r="I133">
            <v>19271</v>
          </cell>
          <cell r="J133">
            <v>0</v>
          </cell>
        </row>
        <row r="134">
          <cell r="A134" t="str">
            <v>6213171040</v>
          </cell>
          <cell r="B134">
            <v>62131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6213172701</v>
          </cell>
          <cell r="B135">
            <v>62131</v>
          </cell>
          <cell r="C135">
            <v>72701</v>
          </cell>
          <cell r="D135" t="str">
            <v>Utilities</v>
          </cell>
          <cell r="E135">
            <v>1935.57</v>
          </cell>
          <cell r="F135">
            <v>1618.42</v>
          </cell>
          <cell r="G135">
            <v>317.14999999999998</v>
          </cell>
          <cell r="H135">
            <v>0.19600000000000001</v>
          </cell>
          <cell r="I135">
            <v>1618.42</v>
          </cell>
          <cell r="J135">
            <v>317.14999999999998</v>
          </cell>
        </row>
        <row r="136">
          <cell r="A136" t="str">
            <v>6213172855</v>
          </cell>
          <cell r="B136">
            <v>62131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6213172870</v>
          </cell>
          <cell r="B137">
            <v>62131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6213176010</v>
          </cell>
          <cell r="B138">
            <v>62131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6213176040</v>
          </cell>
          <cell r="B139">
            <v>62131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6213176051</v>
          </cell>
          <cell r="B140">
            <v>62131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6213176054</v>
          </cell>
          <cell r="B141">
            <v>62131</v>
          </cell>
          <cell r="C141">
            <v>76054</v>
          </cell>
          <cell r="D141" t="str">
            <v>Bldg Maintenance &amp; Repair</v>
          </cell>
          <cell r="E141">
            <v>494.53</v>
          </cell>
          <cell r="F141">
            <v>833.33</v>
          </cell>
          <cell r="G141">
            <v>-338.8</v>
          </cell>
          <cell r="H141">
            <v>-0.40660000000000002</v>
          </cell>
          <cell r="I141">
            <v>833.33</v>
          </cell>
          <cell r="J141">
            <v>-338.8</v>
          </cell>
        </row>
        <row r="142">
          <cell r="A142" t="str">
            <v>6213176060</v>
          </cell>
          <cell r="B142">
            <v>62131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6213176071</v>
          </cell>
          <cell r="B143">
            <v>62131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6213176090</v>
          </cell>
          <cell r="B144">
            <v>62131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6213177001</v>
          </cell>
          <cell r="B145">
            <v>62131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6213177022</v>
          </cell>
          <cell r="B146">
            <v>62131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6213184200</v>
          </cell>
          <cell r="B147">
            <v>62131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6213184240</v>
          </cell>
          <cell r="B148">
            <v>62131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6213184242</v>
          </cell>
          <cell r="B149">
            <v>62131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6213184243</v>
          </cell>
          <cell r="B150">
            <v>62131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6213184244</v>
          </cell>
          <cell r="B151">
            <v>62131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6213184265</v>
          </cell>
          <cell r="B152">
            <v>62131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6213188037</v>
          </cell>
          <cell r="B153">
            <v>62131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6213185016</v>
          </cell>
          <cell r="B154">
            <v>62131</v>
          </cell>
          <cell r="C154">
            <v>85016</v>
          </cell>
          <cell r="D154" t="str">
            <v>Prof Svc-Attorney Outside</v>
          </cell>
          <cell r="E154">
            <v>275</v>
          </cell>
          <cell r="F154">
            <v>0</v>
          </cell>
          <cell r="G154">
            <v>275</v>
          </cell>
          <cell r="H154">
            <v>0</v>
          </cell>
          <cell r="I154">
            <v>0</v>
          </cell>
          <cell r="J154">
            <v>275</v>
          </cell>
        </row>
        <row r="155">
          <cell r="A155" t="str">
            <v>6213185022</v>
          </cell>
          <cell r="B155">
            <v>62131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 t="str">
            <v>6213185065</v>
          </cell>
          <cell r="B156">
            <v>62131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6213185500</v>
          </cell>
          <cell r="B157">
            <v>62131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6213185566</v>
          </cell>
          <cell r="B158">
            <v>62131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6213185581</v>
          </cell>
          <cell r="B159">
            <v>62131</v>
          </cell>
          <cell r="C159">
            <v>85581</v>
          </cell>
          <cell r="D159" t="str">
            <v>Bldg Admin- Salaries</v>
          </cell>
          <cell r="E159">
            <v>3775.68</v>
          </cell>
          <cell r="F159">
            <v>3951</v>
          </cell>
          <cell r="G159">
            <v>-175.32</v>
          </cell>
          <cell r="H159">
            <v>-4.4400000000000002E-2</v>
          </cell>
          <cell r="I159">
            <v>3951</v>
          </cell>
          <cell r="J159">
            <v>-175.32</v>
          </cell>
        </row>
        <row r="160">
          <cell r="A160" t="str">
            <v>6213185583</v>
          </cell>
          <cell r="B160">
            <v>62131</v>
          </cell>
          <cell r="C160">
            <v>85583</v>
          </cell>
          <cell r="D160" t="str">
            <v>Bldg Admin-Office Exp.</v>
          </cell>
          <cell r="E160">
            <v>903.22</v>
          </cell>
          <cell r="F160">
            <v>573.08000000000004</v>
          </cell>
          <cell r="G160">
            <v>330.14</v>
          </cell>
          <cell r="H160">
            <v>0.57609999999999995</v>
          </cell>
          <cell r="I160">
            <v>573.08000000000004</v>
          </cell>
          <cell r="J160">
            <v>330.14</v>
          </cell>
        </row>
        <row r="161">
          <cell r="A161" t="str">
            <v>6213185530</v>
          </cell>
          <cell r="B161">
            <v>62131</v>
          </cell>
          <cell r="C161">
            <v>85530</v>
          </cell>
          <cell r="D161" t="str">
            <v>Bldg Admin - Office Exp</v>
          </cell>
          <cell r="E161">
            <v>903.22</v>
          </cell>
          <cell r="F161">
            <v>573.08000000000004</v>
          </cell>
          <cell r="G161">
            <v>330.14</v>
          </cell>
          <cell r="H161">
            <v>0.57609999999999995</v>
          </cell>
          <cell r="I161">
            <v>573.08000000000004</v>
          </cell>
          <cell r="J161">
            <v>330.14</v>
          </cell>
        </row>
        <row r="162">
          <cell r="A162" t="str">
            <v>6213186012</v>
          </cell>
          <cell r="B162">
            <v>62131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6213186037</v>
          </cell>
          <cell r="B163">
            <v>62131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6213183050</v>
          </cell>
          <cell r="B164">
            <v>62131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6213186510</v>
          </cell>
          <cell r="B165">
            <v>62131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6213186537</v>
          </cell>
          <cell r="B166">
            <v>62131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6213186566</v>
          </cell>
          <cell r="B167">
            <v>62131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6213186955</v>
          </cell>
          <cell r="B168">
            <v>62131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6213186985</v>
          </cell>
          <cell r="B169">
            <v>62131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6213186880</v>
          </cell>
          <cell r="B170">
            <v>62131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6213188710</v>
          </cell>
          <cell r="B171">
            <v>62131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6213188711</v>
          </cell>
          <cell r="B172">
            <v>62131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6213188785</v>
          </cell>
          <cell r="B173">
            <v>62131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6213188847</v>
          </cell>
          <cell r="B174">
            <v>62131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6213188866</v>
          </cell>
          <cell r="B175">
            <v>62131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6213188870</v>
          </cell>
          <cell r="B176">
            <v>62131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6213188889</v>
          </cell>
          <cell r="B177">
            <v>62131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6213189776</v>
          </cell>
          <cell r="B178">
            <v>62131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6213189787</v>
          </cell>
          <cell r="B179">
            <v>62131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6213189510</v>
          </cell>
          <cell r="B180">
            <v>62131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6213189511</v>
          </cell>
          <cell r="B181">
            <v>62131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6213189512</v>
          </cell>
          <cell r="B182">
            <v>62131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6213189528</v>
          </cell>
          <cell r="B183">
            <v>62131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6213189529</v>
          </cell>
          <cell r="B184">
            <v>62131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6213189567</v>
          </cell>
          <cell r="B185">
            <v>62131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6213185058</v>
          </cell>
          <cell r="B186">
            <v>62131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6213186513</v>
          </cell>
          <cell r="B187">
            <v>62131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6213186519</v>
          </cell>
          <cell r="B188">
            <v>62131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6213188770</v>
          </cell>
          <cell r="B189">
            <v>62131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849233</v>
          </cell>
          <cell r="G189">
            <v>-849233</v>
          </cell>
          <cell r="H189">
            <v>0</v>
          </cell>
          <cell r="I189">
            <v>849233</v>
          </cell>
          <cell r="J189">
            <v>-849233</v>
          </cell>
        </row>
        <row r="190">
          <cell r="A190" t="str">
            <v>6213188862</v>
          </cell>
          <cell r="B190">
            <v>62131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6213188874</v>
          </cell>
          <cell r="B191">
            <v>62131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6213189910</v>
          </cell>
          <cell r="B192">
            <v>62131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0.08</v>
          </cell>
          <cell r="G192">
            <v>-0.08</v>
          </cell>
          <cell r="H192">
            <v>0</v>
          </cell>
          <cell r="I192">
            <v>0.08</v>
          </cell>
          <cell r="J192">
            <v>-0.08</v>
          </cell>
        </row>
        <row r="193">
          <cell r="A193" t="str">
            <v>6213189548</v>
          </cell>
          <cell r="B193">
            <v>62131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6215041010</v>
          </cell>
          <cell r="B194">
            <v>62150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6215041040</v>
          </cell>
          <cell r="B195">
            <v>62150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6215041050</v>
          </cell>
          <cell r="B196">
            <v>62150</v>
          </cell>
          <cell r="C196">
            <v>41050</v>
          </cell>
          <cell r="D196" t="str">
            <v>Rental Income - Fixed</v>
          </cell>
          <cell r="E196">
            <v>-167471.82</v>
          </cell>
          <cell r="F196">
            <v>-163920.38</v>
          </cell>
          <cell r="G196">
            <v>-3551.44</v>
          </cell>
          <cell r="H196">
            <v>2.1700000000000001E-2</v>
          </cell>
          <cell r="I196">
            <v>-163920.38</v>
          </cell>
          <cell r="J196">
            <v>-3551.44</v>
          </cell>
        </row>
        <row r="197">
          <cell r="A197" t="str">
            <v>6215041074</v>
          </cell>
          <cell r="B197">
            <v>62150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6215041082</v>
          </cell>
          <cell r="B198">
            <v>62150</v>
          </cell>
          <cell r="C198">
            <v>41082</v>
          </cell>
          <cell r="D198" t="str">
            <v>Rental Income - Operating Exp</v>
          </cell>
          <cell r="E198">
            <v>-35179.21</v>
          </cell>
          <cell r="F198">
            <v>-49423.41</v>
          </cell>
          <cell r="G198">
            <v>14244.2</v>
          </cell>
          <cell r="H198">
            <v>-0.28820000000000001</v>
          </cell>
          <cell r="I198">
            <v>-49423.41</v>
          </cell>
          <cell r="J198">
            <v>14244.2</v>
          </cell>
        </row>
        <row r="199">
          <cell r="A199" t="str">
            <v>6215044610</v>
          </cell>
          <cell r="B199">
            <v>62150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6215045071</v>
          </cell>
          <cell r="B200">
            <v>62150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6215045010</v>
          </cell>
          <cell r="B201">
            <v>62150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6215045046</v>
          </cell>
          <cell r="B202">
            <v>62150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6215045070</v>
          </cell>
          <cell r="B203">
            <v>62150</v>
          </cell>
          <cell r="C203">
            <v>45070</v>
          </cell>
          <cell r="D203" t="str">
            <v>Other Income</v>
          </cell>
          <cell r="E203">
            <v>0</v>
          </cell>
          <cell r="F203">
            <v>-104.83</v>
          </cell>
          <cell r="G203">
            <v>104.83</v>
          </cell>
          <cell r="H203">
            <v>0</v>
          </cell>
          <cell r="I203">
            <v>-104.83</v>
          </cell>
          <cell r="J203">
            <v>104.83</v>
          </cell>
        </row>
        <row r="204">
          <cell r="A204" t="str">
            <v>6215041060</v>
          </cell>
          <cell r="B204">
            <v>62150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1608</v>
          </cell>
          <cell r="G204">
            <v>-1608</v>
          </cell>
          <cell r="H204">
            <v>0</v>
          </cell>
          <cell r="I204">
            <v>1608</v>
          </cell>
          <cell r="J204">
            <v>-1608</v>
          </cell>
        </row>
        <row r="205">
          <cell r="A205" t="str">
            <v>6215044870</v>
          </cell>
          <cell r="B205">
            <v>62150</v>
          </cell>
          <cell r="C205">
            <v>44870</v>
          </cell>
          <cell r="D205" t="str">
            <v>Late Fees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6215052542</v>
          </cell>
          <cell r="B206">
            <v>62150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6215072710</v>
          </cell>
          <cell r="B207">
            <v>62150</v>
          </cell>
          <cell r="C207">
            <v>72710</v>
          </cell>
          <cell r="D207" t="str">
            <v>Utilities - Electricity</v>
          </cell>
          <cell r="E207">
            <v>814.82</v>
          </cell>
          <cell r="F207">
            <v>1900</v>
          </cell>
          <cell r="G207">
            <v>-1085.18</v>
          </cell>
          <cell r="H207">
            <v>-0.57110000000000005</v>
          </cell>
          <cell r="I207">
            <v>1900</v>
          </cell>
          <cell r="J207">
            <v>-1085.18</v>
          </cell>
        </row>
        <row r="208">
          <cell r="A208" t="str">
            <v>6215072740</v>
          </cell>
          <cell r="B208">
            <v>62150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6215072770</v>
          </cell>
          <cell r="B209">
            <v>62150</v>
          </cell>
          <cell r="C209">
            <v>72770</v>
          </cell>
          <cell r="D209" t="str">
            <v>Utilities - Water</v>
          </cell>
          <cell r="E209">
            <v>182.13</v>
          </cell>
          <cell r="F209">
            <v>150</v>
          </cell>
          <cell r="G209">
            <v>32.130000000000003</v>
          </cell>
          <cell r="H209">
            <v>0.2142</v>
          </cell>
          <cell r="I209">
            <v>150</v>
          </cell>
          <cell r="J209">
            <v>32.130000000000003</v>
          </cell>
        </row>
        <row r="210">
          <cell r="A210" t="str">
            <v>6215076000</v>
          </cell>
          <cell r="B210">
            <v>62150</v>
          </cell>
          <cell r="C210">
            <v>76000</v>
          </cell>
          <cell r="D210" t="str">
            <v>Bldg Maintenance &amp; Repair</v>
          </cell>
          <cell r="E210">
            <v>604.19000000000005</v>
          </cell>
          <cell r="F210">
            <v>5007</v>
          </cell>
          <cell r="G210">
            <v>-4402.8100000000004</v>
          </cell>
          <cell r="H210">
            <v>-0.87929999999999997</v>
          </cell>
          <cell r="I210">
            <v>5007</v>
          </cell>
          <cell r="J210">
            <v>-4402.8100000000004</v>
          </cell>
        </row>
        <row r="211">
          <cell r="A211" t="str">
            <v>6215076020</v>
          </cell>
          <cell r="B211">
            <v>62150</v>
          </cell>
          <cell r="C211">
            <v>76020</v>
          </cell>
          <cell r="D211" t="str">
            <v>Food Court Expense</v>
          </cell>
          <cell r="E211">
            <v>60</v>
          </cell>
          <cell r="F211">
            <v>0</v>
          </cell>
          <cell r="G211">
            <v>60</v>
          </cell>
          <cell r="H211">
            <v>0</v>
          </cell>
          <cell r="I211">
            <v>0</v>
          </cell>
          <cell r="J211">
            <v>60</v>
          </cell>
        </row>
        <row r="212">
          <cell r="A212" t="str">
            <v>6215076034</v>
          </cell>
          <cell r="B212">
            <v>62150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6215076050</v>
          </cell>
          <cell r="B213">
            <v>62150</v>
          </cell>
          <cell r="C213">
            <v>76050</v>
          </cell>
          <cell r="D213" t="str">
            <v>Cleaning Expense</v>
          </cell>
          <cell r="E213">
            <v>6120.22</v>
          </cell>
          <cell r="F213">
            <v>5898</v>
          </cell>
          <cell r="G213">
            <v>222.22</v>
          </cell>
          <cell r="H213">
            <v>3.7699999999999997E-2</v>
          </cell>
          <cell r="I213">
            <v>5898</v>
          </cell>
          <cell r="J213">
            <v>222.22</v>
          </cell>
        </row>
        <row r="214">
          <cell r="A214" t="str">
            <v>6215076056</v>
          </cell>
          <cell r="B214">
            <v>62150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6215076070</v>
          </cell>
          <cell r="B215">
            <v>62150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6215076091</v>
          </cell>
          <cell r="B216">
            <v>62150</v>
          </cell>
          <cell r="C216">
            <v>76091</v>
          </cell>
          <cell r="D216" t="str">
            <v>Parking Maintenance</v>
          </cell>
          <cell r="E216">
            <v>2346</v>
          </cell>
          <cell r="F216">
            <v>3368</v>
          </cell>
          <cell r="G216">
            <v>-1022</v>
          </cell>
          <cell r="H216">
            <v>-0.3034</v>
          </cell>
          <cell r="I216">
            <v>3368</v>
          </cell>
          <cell r="J216">
            <v>-1022</v>
          </cell>
        </row>
        <row r="217">
          <cell r="A217" t="str">
            <v>6215077000</v>
          </cell>
          <cell r="B217">
            <v>62150</v>
          </cell>
          <cell r="C217">
            <v>77000</v>
          </cell>
          <cell r="D217" t="str">
            <v>Grounds Maintenance</v>
          </cell>
          <cell r="E217">
            <v>568.13</v>
          </cell>
          <cell r="F217">
            <v>6456</v>
          </cell>
          <cell r="G217">
            <v>-5887.87</v>
          </cell>
          <cell r="H217">
            <v>-0.91200000000000003</v>
          </cell>
          <cell r="I217">
            <v>6456</v>
          </cell>
          <cell r="J217">
            <v>-5887.87</v>
          </cell>
        </row>
        <row r="218">
          <cell r="A218" t="str">
            <v>6215077053</v>
          </cell>
          <cell r="B218">
            <v>62150</v>
          </cell>
          <cell r="C218">
            <v>77053</v>
          </cell>
          <cell r="D218" t="str">
            <v>Landscaping</v>
          </cell>
          <cell r="E218">
            <v>1500</v>
          </cell>
          <cell r="F218">
            <v>2100</v>
          </cell>
          <cell r="G218">
            <v>-600</v>
          </cell>
          <cell r="H218">
            <v>-0.28570000000000001</v>
          </cell>
          <cell r="I218">
            <v>2100</v>
          </cell>
          <cell r="J218">
            <v>-600</v>
          </cell>
        </row>
        <row r="219">
          <cell r="A219" t="str">
            <v>6215078020</v>
          </cell>
          <cell r="B219">
            <v>62150</v>
          </cell>
          <cell r="C219">
            <v>78020</v>
          </cell>
          <cell r="D219" t="str">
            <v>Amortized CAM Exp</v>
          </cell>
          <cell r="E219">
            <v>1451.32</v>
          </cell>
          <cell r="F219">
            <v>1451.33</v>
          </cell>
          <cell r="G219">
            <v>-9.9999999999909103E-3</v>
          </cell>
          <cell r="H219">
            <v>0</v>
          </cell>
          <cell r="I219">
            <v>1451.33</v>
          </cell>
          <cell r="J219">
            <v>-9.9999999999909103E-3</v>
          </cell>
        </row>
        <row r="220">
          <cell r="A220" t="str">
            <v>6215084264</v>
          </cell>
          <cell r="B220">
            <v>62150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6215085555</v>
          </cell>
          <cell r="B221">
            <v>62150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6215085584</v>
          </cell>
          <cell r="B222">
            <v>62150</v>
          </cell>
          <cell r="C222">
            <v>85584</v>
          </cell>
          <cell r="D222" t="str">
            <v>Bldg Admin-Office Costs</v>
          </cell>
          <cell r="E222">
            <v>660.13</v>
          </cell>
          <cell r="F222">
            <v>477</v>
          </cell>
          <cell r="G222">
            <v>183.13</v>
          </cell>
          <cell r="H222">
            <v>0.38390000000000002</v>
          </cell>
          <cell r="I222">
            <v>477</v>
          </cell>
          <cell r="J222">
            <v>183.13</v>
          </cell>
        </row>
        <row r="223">
          <cell r="A223" t="str">
            <v>6215085582</v>
          </cell>
          <cell r="B223">
            <v>62150</v>
          </cell>
          <cell r="C223">
            <v>85582</v>
          </cell>
          <cell r="D223" t="str">
            <v>Bldg Admin-Salaries</v>
          </cell>
          <cell r="E223">
            <v>3295.53</v>
          </cell>
          <cell r="F223">
            <v>3211.75</v>
          </cell>
          <cell r="G223">
            <v>83.7800000000002</v>
          </cell>
          <cell r="H223">
            <v>2.6100000000000002E-2</v>
          </cell>
          <cell r="I223">
            <v>3211.75</v>
          </cell>
          <cell r="J223">
            <v>83.7800000000002</v>
          </cell>
        </row>
        <row r="224">
          <cell r="A224" t="str">
            <v>6215086564</v>
          </cell>
          <cell r="B224">
            <v>62150</v>
          </cell>
          <cell r="C224">
            <v>86564</v>
          </cell>
          <cell r="D224" t="str">
            <v>Insurance</v>
          </cell>
          <cell r="E224">
            <v>2880</v>
          </cell>
          <cell r="F224">
            <v>2879.67</v>
          </cell>
          <cell r="G224">
            <v>0.32999999999992702</v>
          </cell>
          <cell r="H224">
            <v>1E-4</v>
          </cell>
          <cell r="I224">
            <v>2879.67</v>
          </cell>
          <cell r="J224">
            <v>0.32999999999992702</v>
          </cell>
        </row>
        <row r="225">
          <cell r="A225" t="str">
            <v>6215088846</v>
          </cell>
          <cell r="B225">
            <v>62150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6215088890</v>
          </cell>
          <cell r="B226">
            <v>62150</v>
          </cell>
          <cell r="C226">
            <v>88890</v>
          </cell>
          <cell r="D226" t="str">
            <v>Security/Safety</v>
          </cell>
          <cell r="E226">
            <v>2627.91</v>
          </cell>
          <cell r="F226">
            <v>2900</v>
          </cell>
          <cell r="G226">
            <v>-272.08999999999997</v>
          </cell>
          <cell r="H226">
            <v>-9.3799999999999994E-2</v>
          </cell>
          <cell r="I226">
            <v>2900</v>
          </cell>
          <cell r="J226">
            <v>-272.08999999999997</v>
          </cell>
        </row>
        <row r="227">
          <cell r="A227" t="str">
            <v>6215089775</v>
          </cell>
          <cell r="B227">
            <v>62150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6215089729</v>
          </cell>
          <cell r="B228">
            <v>62150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6215089786</v>
          </cell>
          <cell r="B229">
            <v>62150</v>
          </cell>
          <cell r="C229">
            <v>89786</v>
          </cell>
          <cell r="D229" t="str">
            <v>Property Tax Exp</v>
          </cell>
          <cell r="E229">
            <v>8805</v>
          </cell>
          <cell r="F229">
            <v>8804.67</v>
          </cell>
          <cell r="G229">
            <v>0.32999999999992702</v>
          </cell>
          <cell r="H229">
            <v>0</v>
          </cell>
          <cell r="I229">
            <v>8804.67</v>
          </cell>
          <cell r="J229">
            <v>0.32999999999992702</v>
          </cell>
        </row>
        <row r="230">
          <cell r="A230" t="str">
            <v>6215071040</v>
          </cell>
          <cell r="B230">
            <v>62150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6215072701</v>
          </cell>
          <cell r="B231">
            <v>62150</v>
          </cell>
          <cell r="C231">
            <v>72701</v>
          </cell>
          <cell r="D231" t="str">
            <v>Utilities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>6215072855</v>
          </cell>
          <cell r="B232">
            <v>62150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6215072870</v>
          </cell>
          <cell r="B233">
            <v>62150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6215076010</v>
          </cell>
          <cell r="B234">
            <v>62150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6215076040</v>
          </cell>
          <cell r="B235">
            <v>62150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6215076051</v>
          </cell>
          <cell r="B236">
            <v>62150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6215076054</v>
          </cell>
          <cell r="B237">
            <v>62150</v>
          </cell>
          <cell r="C237">
            <v>76054</v>
          </cell>
          <cell r="D237" t="str">
            <v>Bldg Maintenance &amp; Repair</v>
          </cell>
          <cell r="E237">
            <v>0</v>
          </cell>
          <cell r="F237">
            <v>1333.33</v>
          </cell>
          <cell r="G237">
            <v>-1333.33</v>
          </cell>
          <cell r="H237">
            <v>0</v>
          </cell>
          <cell r="I237">
            <v>1333.33</v>
          </cell>
          <cell r="J237">
            <v>-1333.33</v>
          </cell>
        </row>
        <row r="238">
          <cell r="A238" t="str">
            <v>6215076060</v>
          </cell>
          <cell r="B238">
            <v>62150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6215076071</v>
          </cell>
          <cell r="B239">
            <v>62150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6215076090</v>
          </cell>
          <cell r="B240">
            <v>62150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6215077001</v>
          </cell>
          <cell r="B241">
            <v>62150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6215077022</v>
          </cell>
          <cell r="B242">
            <v>62150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6215084200</v>
          </cell>
          <cell r="B243">
            <v>62150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6215084240</v>
          </cell>
          <cell r="B244">
            <v>62150</v>
          </cell>
          <cell r="C244">
            <v>84240</v>
          </cell>
          <cell r="D244" t="str">
            <v>Marketing Leasing</v>
          </cell>
          <cell r="E244">
            <v>0</v>
          </cell>
          <cell r="F244">
            <v>50</v>
          </cell>
          <cell r="G244">
            <v>-50</v>
          </cell>
          <cell r="H244">
            <v>0</v>
          </cell>
          <cell r="I244">
            <v>50</v>
          </cell>
          <cell r="J244">
            <v>-50</v>
          </cell>
        </row>
        <row r="245">
          <cell r="A245" t="str">
            <v>6215084242</v>
          </cell>
          <cell r="B245">
            <v>62150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6215084243</v>
          </cell>
          <cell r="B246">
            <v>62150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6215084244</v>
          </cell>
          <cell r="B247">
            <v>62150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6215084265</v>
          </cell>
          <cell r="B248">
            <v>62150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6215088037</v>
          </cell>
          <cell r="B249">
            <v>62150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6215085016</v>
          </cell>
          <cell r="B250">
            <v>62150</v>
          </cell>
          <cell r="C250">
            <v>85016</v>
          </cell>
          <cell r="D250" t="str">
            <v>Prof Svc-Attorney Outside</v>
          </cell>
          <cell r="E250">
            <v>-1500</v>
          </cell>
          <cell r="F250">
            <v>833</v>
          </cell>
          <cell r="G250">
            <v>-2333</v>
          </cell>
          <cell r="H250">
            <v>-2.8007</v>
          </cell>
          <cell r="I250">
            <v>833</v>
          </cell>
          <cell r="J250">
            <v>-2333</v>
          </cell>
        </row>
        <row r="251">
          <cell r="A251" t="str">
            <v>6215085022</v>
          </cell>
          <cell r="B251">
            <v>62150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</row>
        <row r="252">
          <cell r="A252" t="str">
            <v>6215085065</v>
          </cell>
          <cell r="B252">
            <v>62150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6215085500</v>
          </cell>
          <cell r="B253">
            <v>62150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 t="str">
            <v>6215085566</v>
          </cell>
          <cell r="B254">
            <v>62150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6215085581</v>
          </cell>
          <cell r="B255">
            <v>62150</v>
          </cell>
          <cell r="C255">
            <v>85581</v>
          </cell>
          <cell r="D255" t="str">
            <v>Bldg Admin- Salaries</v>
          </cell>
          <cell r="E255">
            <v>1793.21</v>
          </cell>
          <cell r="F255">
            <v>1919</v>
          </cell>
          <cell r="G255">
            <v>-125.79</v>
          </cell>
          <cell r="H255">
            <v>-6.5500000000000003E-2</v>
          </cell>
          <cell r="I255">
            <v>1919</v>
          </cell>
          <cell r="J255">
            <v>-125.79</v>
          </cell>
        </row>
        <row r="256">
          <cell r="A256" t="str">
            <v>6215085583</v>
          </cell>
          <cell r="B256">
            <v>62150</v>
          </cell>
          <cell r="C256">
            <v>85583</v>
          </cell>
          <cell r="D256" t="str">
            <v>Bldg Admin-Office Exp.</v>
          </cell>
          <cell r="E256">
            <v>409.03</v>
          </cell>
          <cell r="F256">
            <v>278.42</v>
          </cell>
          <cell r="G256">
            <v>130.61000000000001</v>
          </cell>
          <cell r="H256">
            <v>0.46910000000000002</v>
          </cell>
          <cell r="I256">
            <v>278.42</v>
          </cell>
          <cell r="J256">
            <v>130.61000000000001</v>
          </cell>
        </row>
        <row r="257">
          <cell r="A257" t="str">
            <v>6215085530</v>
          </cell>
          <cell r="B257">
            <v>62150</v>
          </cell>
          <cell r="C257">
            <v>85530</v>
          </cell>
          <cell r="D257" t="str">
            <v>Bldg Admin - Office Exp</v>
          </cell>
          <cell r="E257">
            <v>409.03</v>
          </cell>
          <cell r="F257">
            <v>278.42</v>
          </cell>
          <cell r="G257">
            <v>130.61000000000001</v>
          </cell>
          <cell r="H257">
            <v>0.46910000000000002</v>
          </cell>
          <cell r="I257">
            <v>278.42</v>
          </cell>
          <cell r="J257">
            <v>130.61000000000001</v>
          </cell>
        </row>
        <row r="258">
          <cell r="A258" t="str">
            <v>6215086012</v>
          </cell>
          <cell r="B258">
            <v>62150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6215086037</v>
          </cell>
          <cell r="B259">
            <v>62150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6215083050</v>
          </cell>
          <cell r="B260">
            <v>62150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6215086510</v>
          </cell>
          <cell r="B261">
            <v>62150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6215086537</v>
          </cell>
          <cell r="B262">
            <v>62150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6215086566</v>
          </cell>
          <cell r="B263">
            <v>62150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6215086955</v>
          </cell>
          <cell r="B264">
            <v>62150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6215086985</v>
          </cell>
          <cell r="B265">
            <v>62150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6215086880</v>
          </cell>
          <cell r="B266">
            <v>62150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6215088710</v>
          </cell>
          <cell r="B267">
            <v>62150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6215088711</v>
          </cell>
          <cell r="B268">
            <v>62150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6215088785</v>
          </cell>
          <cell r="B269">
            <v>62150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6215088847</v>
          </cell>
          <cell r="B270">
            <v>62150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6215088866</v>
          </cell>
          <cell r="B271">
            <v>62150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6215088870</v>
          </cell>
          <cell r="B272">
            <v>62150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6215088889</v>
          </cell>
          <cell r="B273">
            <v>62150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6215089776</v>
          </cell>
          <cell r="B274">
            <v>62150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6215089787</v>
          </cell>
          <cell r="B275">
            <v>62150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6215089510</v>
          </cell>
          <cell r="B276">
            <v>62150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6215089511</v>
          </cell>
          <cell r="B277">
            <v>62150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6215089512</v>
          </cell>
          <cell r="B278">
            <v>62150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6215089528</v>
          </cell>
          <cell r="B279">
            <v>62150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6215089529</v>
          </cell>
          <cell r="B280">
            <v>62150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>6215089567</v>
          </cell>
          <cell r="B281">
            <v>62150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6215085058</v>
          </cell>
          <cell r="B282">
            <v>62150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6215086513</v>
          </cell>
          <cell r="B283">
            <v>62150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</row>
        <row r="284">
          <cell r="A284" t="str">
            <v>6215086519</v>
          </cell>
          <cell r="B284">
            <v>62150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6215088770</v>
          </cell>
          <cell r="B285">
            <v>62150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6215088862</v>
          </cell>
          <cell r="B286">
            <v>62150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6215088874</v>
          </cell>
          <cell r="B287">
            <v>62150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6215089910</v>
          </cell>
          <cell r="B288">
            <v>62150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</row>
        <row r="289">
          <cell r="A289" t="str">
            <v>6215089548</v>
          </cell>
          <cell r="B289">
            <v>62150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6218041010</v>
          </cell>
          <cell r="B290">
            <v>62180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6218041040</v>
          </cell>
          <cell r="B291">
            <v>62180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6218041050</v>
          </cell>
          <cell r="B292">
            <v>62180</v>
          </cell>
          <cell r="C292">
            <v>41050</v>
          </cell>
          <cell r="D292" t="str">
            <v>Rental Income - Fixed</v>
          </cell>
          <cell r="E292">
            <v>-134461.25</v>
          </cell>
          <cell r="F292">
            <v>-133697.07999999999</v>
          </cell>
          <cell r="G292">
            <v>-764.17000000001303</v>
          </cell>
          <cell r="H292">
            <v>5.7000000000000002E-3</v>
          </cell>
          <cell r="I292">
            <v>-133697.07999999999</v>
          </cell>
          <cell r="J292">
            <v>-764.17000000001303</v>
          </cell>
        </row>
        <row r="293">
          <cell r="A293" t="str">
            <v>6218041074</v>
          </cell>
          <cell r="B293">
            <v>62180</v>
          </cell>
          <cell r="C293">
            <v>41074</v>
          </cell>
          <cell r="D293" t="str">
            <v>Rental Income - Percentage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A294" t="str">
            <v>6218041082</v>
          </cell>
          <cell r="B294">
            <v>62180</v>
          </cell>
          <cell r="C294">
            <v>41082</v>
          </cell>
          <cell r="D294" t="str">
            <v>Rental Income - Operating Exp</v>
          </cell>
          <cell r="E294">
            <v>-20084.78</v>
          </cell>
          <cell r="F294">
            <v>-43267.88</v>
          </cell>
          <cell r="G294">
            <v>23183.1</v>
          </cell>
          <cell r="H294">
            <v>-0.53580000000000005</v>
          </cell>
          <cell r="I294">
            <v>-43267.88</v>
          </cell>
          <cell r="J294">
            <v>23183.1</v>
          </cell>
        </row>
        <row r="295">
          <cell r="A295" t="str">
            <v>6218044610</v>
          </cell>
          <cell r="B295">
            <v>62180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6218045071</v>
          </cell>
          <cell r="B296">
            <v>62180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6218045010</v>
          </cell>
          <cell r="B297">
            <v>62180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6218045046</v>
          </cell>
          <cell r="B298">
            <v>62180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6218045070</v>
          </cell>
          <cell r="B299">
            <v>62180</v>
          </cell>
          <cell r="C299">
            <v>45070</v>
          </cell>
          <cell r="D299" t="str">
            <v>Other Income</v>
          </cell>
          <cell r="E299">
            <v>-0.01</v>
          </cell>
          <cell r="F299">
            <v>0</v>
          </cell>
          <cell r="G299">
            <v>-0.01</v>
          </cell>
          <cell r="H299">
            <v>0</v>
          </cell>
          <cell r="I299">
            <v>0</v>
          </cell>
          <cell r="J299">
            <v>-0.01</v>
          </cell>
        </row>
        <row r="300">
          <cell r="A300" t="str">
            <v>6218041060</v>
          </cell>
          <cell r="B300">
            <v>62180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6218044870</v>
          </cell>
          <cell r="B301">
            <v>62180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6218052542</v>
          </cell>
          <cell r="B302">
            <v>62180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6218072710</v>
          </cell>
          <cell r="B303">
            <v>62180</v>
          </cell>
          <cell r="C303">
            <v>72710</v>
          </cell>
          <cell r="D303" t="str">
            <v>Utilities - Electricity</v>
          </cell>
          <cell r="E303">
            <v>672.51</v>
          </cell>
          <cell r="F303">
            <v>1500</v>
          </cell>
          <cell r="G303">
            <v>-827.49</v>
          </cell>
          <cell r="H303">
            <v>-0.55169999999999997</v>
          </cell>
          <cell r="I303">
            <v>1500</v>
          </cell>
          <cell r="J303">
            <v>-827.49</v>
          </cell>
        </row>
        <row r="304">
          <cell r="A304" t="str">
            <v>6218072740</v>
          </cell>
          <cell r="B304">
            <v>62180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6218072770</v>
          </cell>
          <cell r="B305">
            <v>62180</v>
          </cell>
          <cell r="C305">
            <v>72770</v>
          </cell>
          <cell r="D305" t="str">
            <v>Utilities - Water</v>
          </cell>
          <cell r="E305">
            <v>606.85</v>
          </cell>
          <cell r="F305">
            <v>350</v>
          </cell>
          <cell r="G305">
            <v>256.85000000000002</v>
          </cell>
          <cell r="H305">
            <v>0.7339</v>
          </cell>
          <cell r="I305">
            <v>350</v>
          </cell>
          <cell r="J305">
            <v>256.85000000000002</v>
          </cell>
        </row>
        <row r="306">
          <cell r="A306" t="str">
            <v>6218076000</v>
          </cell>
          <cell r="B306">
            <v>62180</v>
          </cell>
          <cell r="C306">
            <v>76000</v>
          </cell>
          <cell r="D306" t="str">
            <v>Bldg Maintenance &amp; Repair</v>
          </cell>
          <cell r="E306">
            <v>599.41</v>
          </cell>
          <cell r="F306">
            <v>6013.16</v>
          </cell>
          <cell r="G306">
            <v>-5413.75</v>
          </cell>
          <cell r="H306">
            <v>-0.90029999999999999</v>
          </cell>
          <cell r="I306">
            <v>6013.16</v>
          </cell>
          <cell r="J306">
            <v>-5413.75</v>
          </cell>
        </row>
        <row r="307">
          <cell r="A307" t="str">
            <v>6218076020</v>
          </cell>
          <cell r="B307">
            <v>62180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6218076034</v>
          </cell>
          <cell r="B308">
            <v>62180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6218076050</v>
          </cell>
          <cell r="B309">
            <v>62180</v>
          </cell>
          <cell r="C309">
            <v>76050</v>
          </cell>
          <cell r="D309" t="str">
            <v>Cleaning Expense</v>
          </cell>
          <cell r="E309">
            <v>2966</v>
          </cell>
          <cell r="F309">
            <v>3008.33</v>
          </cell>
          <cell r="G309">
            <v>-42.329999999999899</v>
          </cell>
          <cell r="H309">
            <v>-1.41E-2</v>
          </cell>
          <cell r="I309">
            <v>3008.33</v>
          </cell>
          <cell r="J309">
            <v>-42.329999999999899</v>
          </cell>
        </row>
        <row r="310">
          <cell r="A310" t="str">
            <v>6218076056</v>
          </cell>
          <cell r="B310">
            <v>62180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6218076070</v>
          </cell>
          <cell r="B311">
            <v>62180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6218076091</v>
          </cell>
          <cell r="B312">
            <v>62180</v>
          </cell>
          <cell r="C312">
            <v>76091</v>
          </cell>
          <cell r="D312" t="str">
            <v>Parking Maintenance</v>
          </cell>
          <cell r="E312">
            <v>1441.75</v>
          </cell>
          <cell r="F312">
            <v>2290</v>
          </cell>
          <cell r="G312">
            <v>-848.25</v>
          </cell>
          <cell r="H312">
            <v>-0.37040000000000001</v>
          </cell>
          <cell r="I312">
            <v>2290</v>
          </cell>
          <cell r="J312">
            <v>-848.25</v>
          </cell>
        </row>
        <row r="313">
          <cell r="A313" t="str">
            <v>6218077000</v>
          </cell>
          <cell r="B313">
            <v>62180</v>
          </cell>
          <cell r="C313">
            <v>77000</v>
          </cell>
          <cell r="D313" t="str">
            <v>Grounds Maintenance</v>
          </cell>
          <cell r="E313">
            <v>239</v>
          </cell>
          <cell r="F313">
            <v>5477.5</v>
          </cell>
          <cell r="G313">
            <v>-5238.5</v>
          </cell>
          <cell r="H313">
            <v>-0.95640000000000003</v>
          </cell>
          <cell r="I313">
            <v>5477.5</v>
          </cell>
          <cell r="J313">
            <v>-5238.5</v>
          </cell>
        </row>
        <row r="314">
          <cell r="A314" t="str">
            <v>6218077053</v>
          </cell>
          <cell r="B314">
            <v>62180</v>
          </cell>
          <cell r="C314">
            <v>77053</v>
          </cell>
          <cell r="D314" t="str">
            <v>Landscaping</v>
          </cell>
          <cell r="E314">
            <v>1540</v>
          </cell>
          <cell r="F314">
            <v>3821</v>
          </cell>
          <cell r="G314">
            <v>-2281</v>
          </cell>
          <cell r="H314">
            <v>-0.59699999999999998</v>
          </cell>
          <cell r="I314">
            <v>3821</v>
          </cell>
          <cell r="J314">
            <v>-2281</v>
          </cell>
        </row>
        <row r="315">
          <cell r="A315" t="str">
            <v>6218078020</v>
          </cell>
          <cell r="B315">
            <v>62180</v>
          </cell>
          <cell r="C315">
            <v>78020</v>
          </cell>
          <cell r="D315" t="str">
            <v>Amortized CAM Exp</v>
          </cell>
          <cell r="E315">
            <v>2147.14</v>
          </cell>
          <cell r="F315">
            <v>3103.33</v>
          </cell>
          <cell r="G315">
            <v>-956.19</v>
          </cell>
          <cell r="H315">
            <v>-0.30809999999999998</v>
          </cell>
          <cell r="I315">
            <v>3103.33</v>
          </cell>
          <cell r="J315">
            <v>-956.19</v>
          </cell>
        </row>
        <row r="316">
          <cell r="A316" t="str">
            <v>6218084264</v>
          </cell>
          <cell r="B316">
            <v>62180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6218085555</v>
          </cell>
          <cell r="B317">
            <v>62180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6218085584</v>
          </cell>
          <cell r="B318">
            <v>62180</v>
          </cell>
          <cell r="C318">
            <v>85584</v>
          </cell>
          <cell r="D318" t="str">
            <v>Bldg Admin-Office Costs</v>
          </cell>
          <cell r="E318">
            <v>625.69000000000005</v>
          </cell>
          <cell r="F318">
            <v>452</v>
          </cell>
          <cell r="G318">
            <v>173.69</v>
          </cell>
          <cell r="H318">
            <v>0.38429999999999997</v>
          </cell>
          <cell r="I318">
            <v>452</v>
          </cell>
          <cell r="J318">
            <v>173.69</v>
          </cell>
        </row>
        <row r="319">
          <cell r="A319" t="str">
            <v>6218085582</v>
          </cell>
          <cell r="B319">
            <v>62180</v>
          </cell>
          <cell r="C319">
            <v>85582</v>
          </cell>
          <cell r="D319" t="str">
            <v>Bldg Admin-Salaries</v>
          </cell>
          <cell r="E319">
            <v>3123.58</v>
          </cell>
          <cell r="F319">
            <v>3044.17</v>
          </cell>
          <cell r="G319">
            <v>79.409999999999897</v>
          </cell>
          <cell r="H319">
            <v>2.6100000000000002E-2</v>
          </cell>
          <cell r="I319">
            <v>3044.17</v>
          </cell>
          <cell r="J319">
            <v>79.409999999999897</v>
          </cell>
        </row>
        <row r="320">
          <cell r="A320" t="str">
            <v>6218086564</v>
          </cell>
          <cell r="B320">
            <v>62180</v>
          </cell>
          <cell r="C320">
            <v>86564</v>
          </cell>
          <cell r="D320" t="str">
            <v>Insurance</v>
          </cell>
          <cell r="E320">
            <v>2514</v>
          </cell>
          <cell r="F320">
            <v>2513.17</v>
          </cell>
          <cell r="G320">
            <v>0.82999999999992702</v>
          </cell>
          <cell r="H320">
            <v>2.9999999999999997E-4</v>
          </cell>
          <cell r="I320">
            <v>2513.17</v>
          </cell>
          <cell r="J320">
            <v>0.82999999999992702</v>
          </cell>
        </row>
        <row r="321">
          <cell r="A321" t="str">
            <v>6218088846</v>
          </cell>
          <cell r="B321">
            <v>62180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6218088890</v>
          </cell>
          <cell r="B322">
            <v>62180</v>
          </cell>
          <cell r="C322">
            <v>88890</v>
          </cell>
          <cell r="D322" t="str">
            <v>Security/Safety</v>
          </cell>
          <cell r="E322">
            <v>3865.23</v>
          </cell>
          <cell r="F322">
            <v>2213.17</v>
          </cell>
          <cell r="G322">
            <v>1652.06</v>
          </cell>
          <cell r="H322">
            <v>0.74650000000000005</v>
          </cell>
          <cell r="I322">
            <v>2213.17</v>
          </cell>
          <cell r="J322">
            <v>1652.06</v>
          </cell>
        </row>
        <row r="323">
          <cell r="A323" t="str">
            <v>6218089775</v>
          </cell>
          <cell r="B323">
            <v>62180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6218089729</v>
          </cell>
          <cell r="B324">
            <v>62180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6218089786</v>
          </cell>
          <cell r="B325">
            <v>62180</v>
          </cell>
          <cell r="C325">
            <v>89786</v>
          </cell>
          <cell r="D325" t="str">
            <v>Property Tax Exp</v>
          </cell>
          <cell r="E325">
            <v>8947</v>
          </cell>
          <cell r="F325">
            <v>8946.58</v>
          </cell>
          <cell r="G325">
            <v>0.42000000000007298</v>
          </cell>
          <cell r="H325">
            <v>0</v>
          </cell>
          <cell r="I325">
            <v>8946.58</v>
          </cell>
          <cell r="J325">
            <v>0.42000000000007298</v>
          </cell>
        </row>
        <row r="326">
          <cell r="A326" t="str">
            <v>6218071040</v>
          </cell>
          <cell r="B326">
            <v>62180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6218072701</v>
          </cell>
          <cell r="B327">
            <v>62180</v>
          </cell>
          <cell r="C327">
            <v>72701</v>
          </cell>
          <cell r="D327" t="str">
            <v>Utilities</v>
          </cell>
          <cell r="E327">
            <v>17.61</v>
          </cell>
          <cell r="F327">
            <v>0</v>
          </cell>
          <cell r="G327">
            <v>17.61</v>
          </cell>
          <cell r="H327">
            <v>0</v>
          </cell>
          <cell r="I327">
            <v>0</v>
          </cell>
          <cell r="J327">
            <v>17.61</v>
          </cell>
        </row>
        <row r="328">
          <cell r="A328" t="str">
            <v>6218072855</v>
          </cell>
          <cell r="B328">
            <v>62180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6218072870</v>
          </cell>
          <cell r="B329">
            <v>62180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6218076010</v>
          </cell>
          <cell r="B330">
            <v>62180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8.33</v>
          </cell>
          <cell r="G330">
            <v>-8.33</v>
          </cell>
          <cell r="H330">
            <v>0</v>
          </cell>
          <cell r="I330">
            <v>8.33</v>
          </cell>
          <cell r="J330">
            <v>-8.33</v>
          </cell>
        </row>
        <row r="331">
          <cell r="A331" t="str">
            <v>6218076040</v>
          </cell>
          <cell r="B331">
            <v>62180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6218076051</v>
          </cell>
          <cell r="B332">
            <v>62180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6218076054</v>
          </cell>
          <cell r="B333">
            <v>62180</v>
          </cell>
          <cell r="C333">
            <v>76054</v>
          </cell>
          <cell r="D333" t="str">
            <v>Bldg Maintenance &amp; Repair</v>
          </cell>
          <cell r="E333">
            <v>48.75</v>
          </cell>
          <cell r="F333">
            <v>1333.33</v>
          </cell>
          <cell r="G333">
            <v>-1284.58</v>
          </cell>
          <cell r="H333">
            <v>-0.96340000000000003</v>
          </cell>
          <cell r="I333">
            <v>1333.33</v>
          </cell>
          <cell r="J333">
            <v>-1284.58</v>
          </cell>
        </row>
        <row r="334">
          <cell r="A334" t="str">
            <v>6218076060</v>
          </cell>
          <cell r="B334">
            <v>62180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6218076071</v>
          </cell>
          <cell r="B335">
            <v>62180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6218076090</v>
          </cell>
          <cell r="B336">
            <v>62180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6218077001</v>
          </cell>
          <cell r="B337">
            <v>62180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6218077022</v>
          </cell>
          <cell r="B338">
            <v>62180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6218084200</v>
          </cell>
          <cell r="B339">
            <v>62180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6218084240</v>
          </cell>
          <cell r="B340">
            <v>62180</v>
          </cell>
          <cell r="C340">
            <v>84240</v>
          </cell>
          <cell r="D340" t="str">
            <v>Marketing Leasing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</row>
        <row r="341">
          <cell r="A341" t="str">
            <v>6218084242</v>
          </cell>
          <cell r="B341">
            <v>62180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6218084243</v>
          </cell>
          <cell r="B342">
            <v>62180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6218084244</v>
          </cell>
          <cell r="B343">
            <v>62180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6218084265</v>
          </cell>
          <cell r="B344">
            <v>62180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6218088037</v>
          </cell>
          <cell r="B345">
            <v>62180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6218085016</v>
          </cell>
          <cell r="B346">
            <v>62180</v>
          </cell>
          <cell r="C346">
            <v>85016</v>
          </cell>
          <cell r="D346" t="str">
            <v>Prof Svc-Attorney Outside</v>
          </cell>
          <cell r="E346">
            <v>0</v>
          </cell>
          <cell r="F346">
            <v>417</v>
          </cell>
          <cell r="G346">
            <v>-417</v>
          </cell>
          <cell r="H346">
            <v>0</v>
          </cell>
          <cell r="I346">
            <v>417</v>
          </cell>
          <cell r="J346">
            <v>-417</v>
          </cell>
        </row>
        <row r="347">
          <cell r="A347" t="str">
            <v>6218085022</v>
          </cell>
          <cell r="B347">
            <v>62180</v>
          </cell>
          <cell r="C347">
            <v>85022</v>
          </cell>
          <cell r="D347" t="str">
            <v>Prof Svc-Audit/Acctng</v>
          </cell>
          <cell r="E347">
            <v>-675</v>
          </cell>
          <cell r="F347">
            <v>0</v>
          </cell>
          <cell r="G347">
            <v>-675</v>
          </cell>
          <cell r="H347">
            <v>0</v>
          </cell>
          <cell r="I347">
            <v>0</v>
          </cell>
          <cell r="J347">
            <v>-675</v>
          </cell>
        </row>
        <row r="348">
          <cell r="A348" t="str">
            <v>6218085065</v>
          </cell>
          <cell r="B348">
            <v>62180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6218085500</v>
          </cell>
          <cell r="B349">
            <v>62180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</row>
        <row r="350">
          <cell r="A350" t="str">
            <v>6218085566</v>
          </cell>
          <cell r="B350">
            <v>62180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6218085581</v>
          </cell>
          <cell r="B351">
            <v>62180</v>
          </cell>
          <cell r="C351">
            <v>85581</v>
          </cell>
          <cell r="D351" t="str">
            <v>Bldg Admin- Salaries</v>
          </cell>
          <cell r="E351">
            <v>1699.64</v>
          </cell>
          <cell r="F351">
            <v>1819</v>
          </cell>
          <cell r="G351">
            <v>-119.36</v>
          </cell>
          <cell r="H351">
            <v>-6.5600000000000006E-2</v>
          </cell>
          <cell r="I351">
            <v>1819</v>
          </cell>
          <cell r="J351">
            <v>-119.36</v>
          </cell>
        </row>
        <row r="352">
          <cell r="A352" t="str">
            <v>6218085583</v>
          </cell>
          <cell r="B352">
            <v>62180</v>
          </cell>
          <cell r="C352">
            <v>85583</v>
          </cell>
          <cell r="D352" t="str">
            <v>Bldg Admin-Office Exp.</v>
          </cell>
          <cell r="E352">
            <v>387.7</v>
          </cell>
          <cell r="F352">
            <v>263.83</v>
          </cell>
          <cell r="G352">
            <v>123.87</v>
          </cell>
          <cell r="H352">
            <v>0.46949999999999997</v>
          </cell>
          <cell r="I352">
            <v>263.83</v>
          </cell>
          <cell r="J352">
            <v>123.87</v>
          </cell>
        </row>
        <row r="353">
          <cell r="A353" t="str">
            <v>6218085530</v>
          </cell>
          <cell r="B353">
            <v>62180</v>
          </cell>
          <cell r="C353">
            <v>85530</v>
          </cell>
          <cell r="D353" t="str">
            <v>Bldg Admin - Office Exp</v>
          </cell>
          <cell r="E353">
            <v>387.7</v>
          </cell>
          <cell r="F353">
            <v>263.83</v>
          </cell>
          <cell r="G353">
            <v>123.87</v>
          </cell>
          <cell r="H353">
            <v>0.46949999999999997</v>
          </cell>
          <cell r="I353">
            <v>263.83</v>
          </cell>
          <cell r="J353">
            <v>123.87</v>
          </cell>
        </row>
        <row r="354">
          <cell r="A354" t="str">
            <v>6218086012</v>
          </cell>
          <cell r="B354">
            <v>62180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6218086037</v>
          </cell>
          <cell r="B355">
            <v>62180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6218083050</v>
          </cell>
          <cell r="B356">
            <v>62180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6218086510</v>
          </cell>
          <cell r="B357">
            <v>62180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6218086537</v>
          </cell>
          <cell r="B358">
            <v>62180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6218086566</v>
          </cell>
          <cell r="B359">
            <v>62180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6218086955</v>
          </cell>
          <cell r="B360">
            <v>62180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6218086985</v>
          </cell>
          <cell r="B361">
            <v>62180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6218086880</v>
          </cell>
          <cell r="B362">
            <v>62180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6218088710</v>
          </cell>
          <cell r="B363">
            <v>62180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A364" t="str">
            <v>6218088711</v>
          </cell>
          <cell r="B364">
            <v>62180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6218088785</v>
          </cell>
          <cell r="B365">
            <v>62180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6218088847</v>
          </cell>
          <cell r="B366">
            <v>62180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6218088866</v>
          </cell>
          <cell r="B367">
            <v>62180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6218088870</v>
          </cell>
          <cell r="B368">
            <v>62180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6218088889</v>
          </cell>
          <cell r="B369">
            <v>62180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6218089776</v>
          </cell>
          <cell r="B370">
            <v>62180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6218089787</v>
          </cell>
          <cell r="B371">
            <v>62180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6218089510</v>
          </cell>
          <cell r="B372">
            <v>62180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6218089511</v>
          </cell>
          <cell r="B373">
            <v>62180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6218089512</v>
          </cell>
          <cell r="B374">
            <v>62180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6218089528</v>
          </cell>
          <cell r="B375">
            <v>62180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6218089529</v>
          </cell>
          <cell r="B376">
            <v>62180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6218089567</v>
          </cell>
          <cell r="B377">
            <v>62180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6218085058</v>
          </cell>
          <cell r="B378">
            <v>62180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6218086513</v>
          </cell>
          <cell r="B379">
            <v>62180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</row>
        <row r="380">
          <cell r="A380" t="str">
            <v>6218086519</v>
          </cell>
          <cell r="B380">
            <v>62180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6218088770</v>
          </cell>
          <cell r="B381">
            <v>62180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6218088862</v>
          </cell>
          <cell r="B382">
            <v>62180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6218088874</v>
          </cell>
          <cell r="B383">
            <v>62180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6218089910</v>
          </cell>
          <cell r="B384">
            <v>62180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</row>
        <row r="385">
          <cell r="A385" t="str">
            <v>6218089548</v>
          </cell>
          <cell r="B385">
            <v>62180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6219041010</v>
          </cell>
          <cell r="B386">
            <v>62190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6219041040</v>
          </cell>
          <cell r="B387">
            <v>62190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6219041050</v>
          </cell>
          <cell r="B388">
            <v>62190</v>
          </cell>
          <cell r="C388">
            <v>41050</v>
          </cell>
          <cell r="D388" t="str">
            <v>Rental Income - Fixed</v>
          </cell>
          <cell r="E388">
            <v>-165517.94</v>
          </cell>
          <cell r="F388">
            <v>-165719.66</v>
          </cell>
          <cell r="G388">
            <v>201.72000000000099</v>
          </cell>
          <cell r="H388">
            <v>-1.1999999999999999E-3</v>
          </cell>
          <cell r="I388">
            <v>-165719.66</v>
          </cell>
          <cell r="J388">
            <v>201.72000000000099</v>
          </cell>
        </row>
        <row r="389">
          <cell r="A389" t="str">
            <v>6219041074</v>
          </cell>
          <cell r="B389">
            <v>62190</v>
          </cell>
          <cell r="C389">
            <v>41074</v>
          </cell>
          <cell r="D389" t="str">
            <v>Rental Income - Percentage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</row>
        <row r="390">
          <cell r="A390" t="str">
            <v>6219041082</v>
          </cell>
          <cell r="B390">
            <v>62190</v>
          </cell>
          <cell r="C390">
            <v>41082</v>
          </cell>
          <cell r="D390" t="str">
            <v>Rental Income - Operating Exp</v>
          </cell>
          <cell r="E390">
            <v>-55275.92</v>
          </cell>
          <cell r="F390">
            <v>-42414.239999999998</v>
          </cell>
          <cell r="G390">
            <v>-12861.68</v>
          </cell>
          <cell r="H390">
            <v>0.30320000000000003</v>
          </cell>
          <cell r="I390">
            <v>-42414.239999999998</v>
          </cell>
          <cell r="J390">
            <v>-12861.68</v>
          </cell>
        </row>
        <row r="391">
          <cell r="A391" t="str">
            <v>6219044610</v>
          </cell>
          <cell r="B391">
            <v>62190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6219045071</v>
          </cell>
          <cell r="B392">
            <v>62190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6219045010</v>
          </cell>
          <cell r="B393">
            <v>62190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6219045046</v>
          </cell>
          <cell r="B394">
            <v>62190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6219045070</v>
          </cell>
          <cell r="B395">
            <v>62190</v>
          </cell>
          <cell r="C395">
            <v>45070</v>
          </cell>
          <cell r="D395" t="str">
            <v>Other Income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6219041060</v>
          </cell>
          <cell r="B396">
            <v>62190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6219044870</v>
          </cell>
          <cell r="B397">
            <v>62190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6219052542</v>
          </cell>
          <cell r="B398">
            <v>62190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6219072710</v>
          </cell>
          <cell r="B399">
            <v>62190</v>
          </cell>
          <cell r="C399">
            <v>72710</v>
          </cell>
          <cell r="D399" t="str">
            <v>Utilities - Electricity</v>
          </cell>
          <cell r="E399">
            <v>1117.56</v>
          </cell>
          <cell r="F399">
            <v>1822</v>
          </cell>
          <cell r="G399">
            <v>-704.44</v>
          </cell>
          <cell r="H399">
            <v>-0.3866</v>
          </cell>
          <cell r="I399">
            <v>1822</v>
          </cell>
          <cell r="J399">
            <v>-704.44</v>
          </cell>
        </row>
        <row r="400">
          <cell r="A400" t="str">
            <v>6219072740</v>
          </cell>
          <cell r="B400">
            <v>62190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6219072770</v>
          </cell>
          <cell r="B401">
            <v>62190</v>
          </cell>
          <cell r="C401">
            <v>72770</v>
          </cell>
          <cell r="D401" t="str">
            <v>Utilities - Water</v>
          </cell>
          <cell r="E401">
            <v>230.79</v>
          </cell>
          <cell r="F401">
            <v>260</v>
          </cell>
          <cell r="G401">
            <v>-29.21</v>
          </cell>
          <cell r="H401">
            <v>-0.1123</v>
          </cell>
          <cell r="I401">
            <v>260</v>
          </cell>
          <cell r="J401">
            <v>-29.21</v>
          </cell>
        </row>
        <row r="402">
          <cell r="A402" t="str">
            <v>6219076000</v>
          </cell>
          <cell r="B402">
            <v>62190</v>
          </cell>
          <cell r="C402">
            <v>76000</v>
          </cell>
          <cell r="D402" t="str">
            <v>Bldg Maintenance &amp; Repair</v>
          </cell>
          <cell r="E402">
            <v>95.89</v>
          </cell>
          <cell r="F402">
            <v>4863</v>
          </cell>
          <cell r="G402">
            <v>-4767.1099999999997</v>
          </cell>
          <cell r="H402">
            <v>-0.98029999999999995</v>
          </cell>
          <cell r="I402">
            <v>4863</v>
          </cell>
          <cell r="J402">
            <v>-4767.1099999999997</v>
          </cell>
        </row>
        <row r="403">
          <cell r="A403" t="str">
            <v>6219076020</v>
          </cell>
          <cell r="B403">
            <v>62190</v>
          </cell>
          <cell r="C403">
            <v>76020</v>
          </cell>
          <cell r="D403" t="str">
            <v>Food Court Expense</v>
          </cell>
          <cell r="E403">
            <v>90</v>
          </cell>
          <cell r="F403">
            <v>0</v>
          </cell>
          <cell r="G403">
            <v>90</v>
          </cell>
          <cell r="H403">
            <v>0</v>
          </cell>
          <cell r="I403">
            <v>0</v>
          </cell>
          <cell r="J403">
            <v>90</v>
          </cell>
        </row>
        <row r="404">
          <cell r="A404" t="str">
            <v>6219076034</v>
          </cell>
          <cell r="B404">
            <v>62190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6219076050</v>
          </cell>
          <cell r="B405">
            <v>62190</v>
          </cell>
          <cell r="C405">
            <v>76050</v>
          </cell>
          <cell r="D405" t="str">
            <v>Cleaning Expense</v>
          </cell>
          <cell r="E405">
            <v>3327.47</v>
          </cell>
          <cell r="F405">
            <v>3265.67</v>
          </cell>
          <cell r="G405">
            <v>61.799999999999699</v>
          </cell>
          <cell r="H405">
            <v>1.89E-2</v>
          </cell>
          <cell r="I405">
            <v>3265.67</v>
          </cell>
          <cell r="J405">
            <v>61.799999999999699</v>
          </cell>
        </row>
        <row r="406">
          <cell r="A406" t="str">
            <v>6219076056</v>
          </cell>
          <cell r="B406">
            <v>62190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6219076070</v>
          </cell>
          <cell r="B407">
            <v>62190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6219076091</v>
          </cell>
          <cell r="B408">
            <v>62190</v>
          </cell>
          <cell r="C408">
            <v>76091</v>
          </cell>
          <cell r="D408" t="str">
            <v>Parking Maintenance</v>
          </cell>
          <cell r="E408">
            <v>2555.65</v>
          </cell>
          <cell r="F408">
            <v>2375</v>
          </cell>
          <cell r="G408">
            <v>180.65</v>
          </cell>
          <cell r="H408">
            <v>7.6100000000000001E-2</v>
          </cell>
          <cell r="I408">
            <v>2375</v>
          </cell>
          <cell r="J408">
            <v>180.65</v>
          </cell>
        </row>
        <row r="409">
          <cell r="A409" t="str">
            <v>6219077000</v>
          </cell>
          <cell r="B409">
            <v>62190</v>
          </cell>
          <cell r="C409">
            <v>77000</v>
          </cell>
          <cell r="D409" t="str">
            <v>Grounds Maintenance</v>
          </cell>
          <cell r="E409">
            <v>166</v>
          </cell>
          <cell r="F409">
            <v>848.33</v>
          </cell>
          <cell r="G409">
            <v>-682.33</v>
          </cell>
          <cell r="H409">
            <v>-0.80430000000000001</v>
          </cell>
          <cell r="I409">
            <v>848.33</v>
          </cell>
          <cell r="J409">
            <v>-682.33</v>
          </cell>
        </row>
        <row r="410">
          <cell r="A410" t="str">
            <v>6219077053</v>
          </cell>
          <cell r="B410">
            <v>62190</v>
          </cell>
          <cell r="C410">
            <v>77053</v>
          </cell>
          <cell r="D410" t="str">
            <v>Landscaping</v>
          </cell>
          <cell r="E410">
            <v>7125</v>
          </cell>
          <cell r="F410">
            <v>2480</v>
          </cell>
          <cell r="G410">
            <v>4645</v>
          </cell>
          <cell r="H410">
            <v>1.873</v>
          </cell>
          <cell r="I410">
            <v>2480</v>
          </cell>
          <cell r="J410">
            <v>4645</v>
          </cell>
        </row>
        <row r="411">
          <cell r="A411" t="str">
            <v>6219078020</v>
          </cell>
          <cell r="B411">
            <v>62190</v>
          </cell>
          <cell r="C411">
            <v>78020</v>
          </cell>
          <cell r="D411" t="str">
            <v>Amortized CAM Exp</v>
          </cell>
          <cell r="E411">
            <v>2014.89</v>
          </cell>
          <cell r="F411">
            <v>2500</v>
          </cell>
          <cell r="G411">
            <v>-485.11</v>
          </cell>
          <cell r="H411">
            <v>-0.19400000000000001</v>
          </cell>
          <cell r="I411">
            <v>2500</v>
          </cell>
          <cell r="J411">
            <v>-485.11</v>
          </cell>
        </row>
        <row r="412">
          <cell r="A412" t="str">
            <v>6219084264</v>
          </cell>
          <cell r="B412">
            <v>62190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6219085555</v>
          </cell>
          <cell r="B413">
            <v>62190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6219085584</v>
          </cell>
          <cell r="B414">
            <v>62190</v>
          </cell>
          <cell r="C414">
            <v>85584</v>
          </cell>
          <cell r="D414" t="str">
            <v>Bldg Admin-Office Costs</v>
          </cell>
          <cell r="E414">
            <v>690.59</v>
          </cell>
          <cell r="F414">
            <v>499</v>
          </cell>
          <cell r="G414">
            <v>191.59</v>
          </cell>
          <cell r="H414">
            <v>0.38390000000000002</v>
          </cell>
          <cell r="I414">
            <v>499</v>
          </cell>
          <cell r="J414">
            <v>191.59</v>
          </cell>
        </row>
        <row r="415">
          <cell r="A415" t="str">
            <v>6219085582</v>
          </cell>
          <cell r="B415">
            <v>62190</v>
          </cell>
          <cell r="C415">
            <v>85582</v>
          </cell>
          <cell r="D415" t="str">
            <v>Bldg Admin-Salaries</v>
          </cell>
          <cell r="E415">
            <v>3447.55</v>
          </cell>
          <cell r="F415">
            <v>3359.83</v>
          </cell>
          <cell r="G415">
            <v>87.720000000000297</v>
          </cell>
          <cell r="H415">
            <v>2.6100000000000002E-2</v>
          </cell>
          <cell r="I415">
            <v>3359.83</v>
          </cell>
          <cell r="J415">
            <v>87.720000000000297</v>
          </cell>
        </row>
        <row r="416">
          <cell r="A416" t="str">
            <v>6219086564</v>
          </cell>
          <cell r="B416">
            <v>62190</v>
          </cell>
          <cell r="C416">
            <v>86564</v>
          </cell>
          <cell r="D416" t="str">
            <v>Insurance</v>
          </cell>
          <cell r="E416">
            <v>2964</v>
          </cell>
          <cell r="F416">
            <v>2964.25</v>
          </cell>
          <cell r="G416">
            <v>-0.25</v>
          </cell>
          <cell r="H416">
            <v>-1E-4</v>
          </cell>
          <cell r="I416">
            <v>2964.25</v>
          </cell>
          <cell r="J416">
            <v>-0.25</v>
          </cell>
        </row>
        <row r="417">
          <cell r="A417" t="str">
            <v>6219088846</v>
          </cell>
          <cell r="B417">
            <v>62190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6219088890</v>
          </cell>
          <cell r="B418">
            <v>62190</v>
          </cell>
          <cell r="C418">
            <v>88890</v>
          </cell>
          <cell r="D418" t="str">
            <v>Security/Safety</v>
          </cell>
          <cell r="E418">
            <v>3641.65</v>
          </cell>
          <cell r="F418">
            <v>3890</v>
          </cell>
          <cell r="G418">
            <v>-248.35</v>
          </cell>
          <cell r="H418">
            <v>-6.3799999999999996E-2</v>
          </cell>
          <cell r="I418">
            <v>3890</v>
          </cell>
          <cell r="J418">
            <v>-248.35</v>
          </cell>
        </row>
        <row r="419">
          <cell r="A419" t="str">
            <v>6219089775</v>
          </cell>
          <cell r="B419">
            <v>62190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6219089729</v>
          </cell>
          <cell r="B420">
            <v>62190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6219089786</v>
          </cell>
          <cell r="B421">
            <v>62190</v>
          </cell>
          <cell r="C421">
            <v>89786</v>
          </cell>
          <cell r="D421" t="str">
            <v>Property Tax Exp</v>
          </cell>
          <cell r="E421">
            <v>7502</v>
          </cell>
          <cell r="F421">
            <v>7501.75</v>
          </cell>
          <cell r="G421">
            <v>0.25</v>
          </cell>
          <cell r="H421">
            <v>0</v>
          </cell>
          <cell r="I421">
            <v>7501.75</v>
          </cell>
          <cell r="J421">
            <v>0.25</v>
          </cell>
        </row>
        <row r="422">
          <cell r="A422" t="str">
            <v>6219071040</v>
          </cell>
          <cell r="B422">
            <v>62190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6219072701</v>
          </cell>
          <cell r="B423">
            <v>62190</v>
          </cell>
          <cell r="C423">
            <v>72701</v>
          </cell>
          <cell r="D423" t="str">
            <v>Utilities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</row>
        <row r="424">
          <cell r="A424" t="str">
            <v>6219072855</v>
          </cell>
          <cell r="B424">
            <v>62190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6219072870</v>
          </cell>
          <cell r="B425">
            <v>62190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6219076010</v>
          </cell>
          <cell r="B426">
            <v>62190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8.33</v>
          </cell>
          <cell r="G426">
            <v>-8.33</v>
          </cell>
          <cell r="H426">
            <v>0</v>
          </cell>
          <cell r="I426">
            <v>8.33</v>
          </cell>
          <cell r="J426">
            <v>-8.33</v>
          </cell>
        </row>
        <row r="427">
          <cell r="A427" t="str">
            <v>6219076040</v>
          </cell>
          <cell r="B427">
            <v>62190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6219076051</v>
          </cell>
          <cell r="B428">
            <v>62190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6219076054</v>
          </cell>
          <cell r="B429">
            <v>62190</v>
          </cell>
          <cell r="C429">
            <v>76054</v>
          </cell>
          <cell r="D429" t="str">
            <v>Bldg Maintenance &amp; Repair</v>
          </cell>
          <cell r="E429">
            <v>19.5</v>
          </cell>
          <cell r="F429">
            <v>4050</v>
          </cell>
          <cell r="G429">
            <v>-4030.5</v>
          </cell>
          <cell r="H429">
            <v>-0.99519999999999997</v>
          </cell>
          <cell r="I429">
            <v>4050</v>
          </cell>
          <cell r="J429">
            <v>-4030.5</v>
          </cell>
        </row>
        <row r="430">
          <cell r="A430" t="str">
            <v>6219076060</v>
          </cell>
          <cell r="B430">
            <v>62190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6219076071</v>
          </cell>
          <cell r="B431">
            <v>62190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6219076090</v>
          </cell>
          <cell r="B432">
            <v>62190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6219077001</v>
          </cell>
          <cell r="B433">
            <v>62190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6219077022</v>
          </cell>
          <cell r="B434">
            <v>62190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6219084200</v>
          </cell>
          <cell r="B435">
            <v>62190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6219084240</v>
          </cell>
          <cell r="B436">
            <v>62190</v>
          </cell>
          <cell r="C436">
            <v>84240</v>
          </cell>
          <cell r="D436" t="str">
            <v>Marketing Leasing</v>
          </cell>
          <cell r="E436">
            <v>0</v>
          </cell>
          <cell r="F436">
            <v>183.33</v>
          </cell>
          <cell r="G436">
            <v>-183.33</v>
          </cell>
          <cell r="H436">
            <v>0</v>
          </cell>
          <cell r="I436">
            <v>183.33</v>
          </cell>
          <cell r="J436">
            <v>-183.33</v>
          </cell>
        </row>
        <row r="437">
          <cell r="A437" t="str">
            <v>6219084242</v>
          </cell>
          <cell r="B437">
            <v>62190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6219084243</v>
          </cell>
          <cell r="B438">
            <v>62190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6219084244</v>
          </cell>
          <cell r="B439">
            <v>62190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6219084265</v>
          </cell>
          <cell r="B440">
            <v>62190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6219088037</v>
          </cell>
          <cell r="B441">
            <v>62190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6219085016</v>
          </cell>
          <cell r="B442">
            <v>62190</v>
          </cell>
          <cell r="C442">
            <v>85016</v>
          </cell>
          <cell r="D442" t="str">
            <v>Prof Svc-Attorney Outside</v>
          </cell>
          <cell r="E442">
            <v>1321</v>
          </cell>
          <cell r="F442">
            <v>667</v>
          </cell>
          <cell r="G442">
            <v>654</v>
          </cell>
          <cell r="H442">
            <v>0.98050000000000004</v>
          </cell>
          <cell r="I442">
            <v>667</v>
          </cell>
          <cell r="J442">
            <v>654</v>
          </cell>
        </row>
        <row r="443">
          <cell r="A443" t="str">
            <v>6219085022</v>
          </cell>
          <cell r="B443">
            <v>62190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</row>
        <row r="444">
          <cell r="A444" t="str">
            <v>6219085065</v>
          </cell>
          <cell r="B444">
            <v>62190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6219085500</v>
          </cell>
          <cell r="B445">
            <v>62190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6219085566</v>
          </cell>
          <cell r="B446">
            <v>62190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6219085581</v>
          </cell>
          <cell r="B447">
            <v>62190</v>
          </cell>
          <cell r="C447">
            <v>85581</v>
          </cell>
          <cell r="D447" t="str">
            <v>Bldg Admin- Salaries</v>
          </cell>
          <cell r="E447">
            <v>1875.93</v>
          </cell>
          <cell r="F447">
            <v>2008</v>
          </cell>
          <cell r="G447">
            <v>-132.07</v>
          </cell>
          <cell r="H447">
            <v>-6.5799999999999997E-2</v>
          </cell>
          <cell r="I447">
            <v>2008</v>
          </cell>
          <cell r="J447">
            <v>-132.07</v>
          </cell>
        </row>
        <row r="448">
          <cell r="A448" t="str">
            <v>6219085583</v>
          </cell>
          <cell r="B448">
            <v>62190</v>
          </cell>
          <cell r="C448">
            <v>85583</v>
          </cell>
          <cell r="D448" t="str">
            <v>Bldg Admin-Office Exp.</v>
          </cell>
          <cell r="E448">
            <v>427.91</v>
          </cell>
          <cell r="F448">
            <v>341.25</v>
          </cell>
          <cell r="G448">
            <v>86.66</v>
          </cell>
          <cell r="H448">
            <v>0.25390000000000001</v>
          </cell>
          <cell r="I448">
            <v>341.25</v>
          </cell>
          <cell r="J448">
            <v>86.66</v>
          </cell>
        </row>
        <row r="449">
          <cell r="A449" t="str">
            <v>6219085530</v>
          </cell>
          <cell r="B449">
            <v>62190</v>
          </cell>
          <cell r="C449">
            <v>85530</v>
          </cell>
          <cell r="D449" t="str">
            <v>Bldg Admin - Office Exp</v>
          </cell>
          <cell r="E449">
            <v>427.91</v>
          </cell>
          <cell r="F449">
            <v>341.25</v>
          </cell>
          <cell r="G449">
            <v>86.66</v>
          </cell>
          <cell r="H449">
            <v>0.25390000000000001</v>
          </cell>
          <cell r="I449">
            <v>341.25</v>
          </cell>
          <cell r="J449">
            <v>86.66</v>
          </cell>
        </row>
        <row r="450">
          <cell r="A450" t="str">
            <v>6219086012</v>
          </cell>
          <cell r="B450">
            <v>62190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6219086037</v>
          </cell>
          <cell r="B451">
            <v>62190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6219083050</v>
          </cell>
          <cell r="B452">
            <v>62190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6219086510</v>
          </cell>
          <cell r="B453">
            <v>62190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6219086537</v>
          </cell>
          <cell r="B454">
            <v>62190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6219086566</v>
          </cell>
          <cell r="B455">
            <v>62190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6219086955</v>
          </cell>
          <cell r="B456">
            <v>62190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6219086985</v>
          </cell>
          <cell r="B457">
            <v>62190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6219086880</v>
          </cell>
          <cell r="B458">
            <v>62190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6219088710</v>
          </cell>
          <cell r="B459">
            <v>62190</v>
          </cell>
          <cell r="C459">
            <v>88710</v>
          </cell>
          <cell r="D459" t="str">
            <v>Losses-Bad Debts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</row>
        <row r="460">
          <cell r="A460" t="str">
            <v>6219088711</v>
          </cell>
          <cell r="B460">
            <v>62190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6219088785</v>
          </cell>
          <cell r="B461">
            <v>62190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6219088847</v>
          </cell>
          <cell r="B462">
            <v>62190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6219088866</v>
          </cell>
          <cell r="B463">
            <v>62190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6219088870</v>
          </cell>
          <cell r="B464">
            <v>62190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6219088889</v>
          </cell>
          <cell r="B465">
            <v>62190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6219089776</v>
          </cell>
          <cell r="B466">
            <v>62190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6219089787</v>
          </cell>
          <cell r="B467">
            <v>62190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6219089510</v>
          </cell>
          <cell r="B468">
            <v>62190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6219089511</v>
          </cell>
          <cell r="B469">
            <v>62190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6219089512</v>
          </cell>
          <cell r="B470">
            <v>62190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6219089528</v>
          </cell>
          <cell r="B471">
            <v>62190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6219089529</v>
          </cell>
          <cell r="B472">
            <v>62190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6219089567</v>
          </cell>
          <cell r="B473">
            <v>62190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6219085058</v>
          </cell>
          <cell r="B474">
            <v>62190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6219086513</v>
          </cell>
          <cell r="B475">
            <v>62190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6219086519</v>
          </cell>
          <cell r="B476">
            <v>62190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6219088770</v>
          </cell>
          <cell r="B477">
            <v>62190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6219088862</v>
          </cell>
          <cell r="B478">
            <v>62190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6219088874</v>
          </cell>
          <cell r="B479">
            <v>62190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6219089910</v>
          </cell>
          <cell r="B480">
            <v>62190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</row>
        <row r="481">
          <cell r="A481" t="str">
            <v>6219089548</v>
          </cell>
          <cell r="B481">
            <v>62190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6219641010</v>
          </cell>
          <cell r="B482">
            <v>62196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6219641040</v>
          </cell>
          <cell r="B483">
            <v>62196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6219641050</v>
          </cell>
          <cell r="B484">
            <v>62196</v>
          </cell>
          <cell r="C484">
            <v>41050</v>
          </cell>
          <cell r="D484" t="str">
            <v>Rental Income - Fixed</v>
          </cell>
          <cell r="E484">
            <v>-338080.97</v>
          </cell>
          <cell r="F484">
            <v>-330835.02</v>
          </cell>
          <cell r="G484">
            <v>-7245.9499999999498</v>
          </cell>
          <cell r="H484">
            <v>2.1899999999999999E-2</v>
          </cell>
          <cell r="I484">
            <v>-330835.02</v>
          </cell>
          <cell r="J484">
            <v>-7245.9499999999498</v>
          </cell>
        </row>
        <row r="485">
          <cell r="A485" t="str">
            <v>6219641074</v>
          </cell>
          <cell r="B485">
            <v>62196</v>
          </cell>
          <cell r="C485">
            <v>41074</v>
          </cell>
          <cell r="D485" t="str">
            <v>Rental Income - Percentage</v>
          </cell>
          <cell r="E485">
            <v>11204.47</v>
          </cell>
          <cell r="F485">
            <v>0</v>
          </cell>
          <cell r="G485">
            <v>11204.47</v>
          </cell>
          <cell r="H485">
            <v>0</v>
          </cell>
          <cell r="I485">
            <v>0</v>
          </cell>
          <cell r="J485">
            <v>11204.47</v>
          </cell>
        </row>
        <row r="486">
          <cell r="A486" t="str">
            <v>6219641082</v>
          </cell>
          <cell r="B486">
            <v>62196</v>
          </cell>
          <cell r="C486">
            <v>41082</v>
          </cell>
          <cell r="D486" t="str">
            <v>Rental Income - Operating Exp</v>
          </cell>
          <cell r="E486">
            <v>-106151.64</v>
          </cell>
          <cell r="F486">
            <v>-136460.76</v>
          </cell>
          <cell r="G486">
            <v>30309.119999999999</v>
          </cell>
          <cell r="H486">
            <v>-0.22209999999999999</v>
          </cell>
          <cell r="I486">
            <v>-136460.76</v>
          </cell>
          <cell r="J486">
            <v>30309.119999999999</v>
          </cell>
        </row>
        <row r="487">
          <cell r="A487" t="str">
            <v>6219644610</v>
          </cell>
          <cell r="B487">
            <v>62196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6219645071</v>
          </cell>
          <cell r="B488">
            <v>62196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6219645010</v>
          </cell>
          <cell r="B489">
            <v>62196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6219645046</v>
          </cell>
          <cell r="B490">
            <v>62196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6219645070</v>
          </cell>
          <cell r="B491">
            <v>62196</v>
          </cell>
          <cell r="C491">
            <v>45070</v>
          </cell>
          <cell r="D491" t="str">
            <v>Other Income</v>
          </cell>
          <cell r="E491">
            <v>-1067.17</v>
          </cell>
          <cell r="F491">
            <v>0</v>
          </cell>
          <cell r="G491">
            <v>-1067.17</v>
          </cell>
          <cell r="H491">
            <v>0</v>
          </cell>
          <cell r="I491">
            <v>0</v>
          </cell>
          <cell r="J491">
            <v>-1067.17</v>
          </cell>
        </row>
        <row r="492">
          <cell r="A492" t="str">
            <v>6219641060</v>
          </cell>
          <cell r="B492">
            <v>62196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6219644870</v>
          </cell>
          <cell r="B493">
            <v>62196</v>
          </cell>
          <cell r="C493">
            <v>44870</v>
          </cell>
          <cell r="D493" t="str">
            <v>Late Fees</v>
          </cell>
          <cell r="E493">
            <v>-4521.7</v>
          </cell>
          <cell r="F493">
            <v>-416.67</v>
          </cell>
          <cell r="G493">
            <v>-4105.03</v>
          </cell>
          <cell r="H493">
            <v>9.8520000000000003</v>
          </cell>
          <cell r="I493">
            <v>-416.67</v>
          </cell>
          <cell r="J493">
            <v>-4105.03</v>
          </cell>
        </row>
        <row r="494">
          <cell r="A494" t="str">
            <v>6219652542</v>
          </cell>
          <cell r="B494">
            <v>62196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6219672710</v>
          </cell>
          <cell r="B495">
            <v>62196</v>
          </cell>
          <cell r="C495">
            <v>72710</v>
          </cell>
          <cell r="D495" t="str">
            <v>Utilities - Electricity</v>
          </cell>
          <cell r="E495">
            <v>3131.42</v>
          </cell>
          <cell r="F495">
            <v>5500</v>
          </cell>
          <cell r="G495">
            <v>-2368.58</v>
          </cell>
          <cell r="H495">
            <v>-0.43070000000000003</v>
          </cell>
          <cell r="I495">
            <v>5500</v>
          </cell>
          <cell r="J495">
            <v>-2368.58</v>
          </cell>
        </row>
        <row r="496">
          <cell r="A496" t="str">
            <v>6219672740</v>
          </cell>
          <cell r="B496">
            <v>62196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6219672770</v>
          </cell>
          <cell r="B497">
            <v>62196</v>
          </cell>
          <cell r="C497">
            <v>72770</v>
          </cell>
          <cell r="D497" t="str">
            <v>Utilities - Water</v>
          </cell>
          <cell r="E497">
            <v>4327.8900000000003</v>
          </cell>
          <cell r="F497">
            <v>3333</v>
          </cell>
          <cell r="G497">
            <v>994.89</v>
          </cell>
          <cell r="H497">
            <v>0.29849999999999999</v>
          </cell>
          <cell r="I497">
            <v>3333</v>
          </cell>
          <cell r="J497">
            <v>994.89</v>
          </cell>
        </row>
        <row r="498">
          <cell r="A498" t="str">
            <v>6219676000</v>
          </cell>
          <cell r="B498">
            <v>62196</v>
          </cell>
          <cell r="C498">
            <v>76000</v>
          </cell>
          <cell r="D498" t="str">
            <v>Bldg Maintenance &amp; Repair</v>
          </cell>
          <cell r="E498">
            <v>2789.61</v>
          </cell>
          <cell r="F498">
            <v>17898</v>
          </cell>
          <cell r="G498">
            <v>-15108.39</v>
          </cell>
          <cell r="H498">
            <v>-0.84409999999999996</v>
          </cell>
          <cell r="I498">
            <v>17898</v>
          </cell>
          <cell r="J498">
            <v>-15108.39</v>
          </cell>
        </row>
        <row r="499">
          <cell r="A499" t="str">
            <v>6219676020</v>
          </cell>
          <cell r="B499">
            <v>62196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6219676034</v>
          </cell>
          <cell r="B500">
            <v>62196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6219676050</v>
          </cell>
          <cell r="B501">
            <v>62196</v>
          </cell>
          <cell r="C501">
            <v>76050</v>
          </cell>
          <cell r="D501" t="str">
            <v>Cleaning Expense</v>
          </cell>
          <cell r="E501">
            <v>13529.12</v>
          </cell>
          <cell r="F501">
            <v>14152</v>
          </cell>
          <cell r="G501">
            <v>-622.87999999999897</v>
          </cell>
          <cell r="H501">
            <v>-4.3999999999999997E-2</v>
          </cell>
          <cell r="I501">
            <v>14152</v>
          </cell>
          <cell r="J501">
            <v>-622.87999999999897</v>
          </cell>
        </row>
        <row r="502">
          <cell r="A502" t="str">
            <v>6219676056</v>
          </cell>
          <cell r="B502">
            <v>62196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6219676070</v>
          </cell>
          <cell r="B503">
            <v>62196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6219676091</v>
          </cell>
          <cell r="B504">
            <v>62196</v>
          </cell>
          <cell r="C504">
            <v>76091</v>
          </cell>
          <cell r="D504" t="str">
            <v>Parking Maintenance</v>
          </cell>
          <cell r="E504">
            <v>6293</v>
          </cell>
          <cell r="F504">
            <v>8597</v>
          </cell>
          <cell r="G504">
            <v>-2304</v>
          </cell>
          <cell r="H504">
            <v>-0.26800000000000002</v>
          </cell>
          <cell r="I504">
            <v>8597</v>
          </cell>
          <cell r="J504">
            <v>-2304</v>
          </cell>
        </row>
        <row r="505">
          <cell r="A505" t="str">
            <v>6219677000</v>
          </cell>
          <cell r="B505">
            <v>62196</v>
          </cell>
          <cell r="C505">
            <v>77000</v>
          </cell>
          <cell r="D505" t="str">
            <v>Grounds Maintenance</v>
          </cell>
          <cell r="E505">
            <v>1044.99</v>
          </cell>
          <cell r="F505">
            <v>3528</v>
          </cell>
          <cell r="G505">
            <v>-2483.0100000000002</v>
          </cell>
          <cell r="H505">
            <v>-0.70379999999999998</v>
          </cell>
          <cell r="I505">
            <v>3528</v>
          </cell>
          <cell r="J505">
            <v>-2483.0100000000002</v>
          </cell>
        </row>
        <row r="506">
          <cell r="A506" t="str">
            <v>6219677053</v>
          </cell>
          <cell r="B506">
            <v>62196</v>
          </cell>
          <cell r="C506">
            <v>77053</v>
          </cell>
          <cell r="D506" t="str">
            <v>Landscaping</v>
          </cell>
          <cell r="E506">
            <v>5100</v>
          </cell>
          <cell r="F506">
            <v>6045</v>
          </cell>
          <cell r="G506">
            <v>-945</v>
          </cell>
          <cell r="H506">
            <v>-0.15629999999999999</v>
          </cell>
          <cell r="I506">
            <v>6045</v>
          </cell>
          <cell r="J506">
            <v>-945</v>
          </cell>
        </row>
        <row r="507">
          <cell r="A507" t="str">
            <v>6219678020</v>
          </cell>
          <cell r="B507">
            <v>62196</v>
          </cell>
          <cell r="C507">
            <v>78020</v>
          </cell>
          <cell r="D507" t="str">
            <v>Amortized CAM Exp</v>
          </cell>
          <cell r="E507">
            <v>5931.01</v>
          </cell>
          <cell r="F507">
            <v>6218.92</v>
          </cell>
          <cell r="G507">
            <v>-287.91000000000003</v>
          </cell>
          <cell r="H507">
            <v>-4.6300000000000001E-2</v>
          </cell>
          <cell r="I507">
            <v>6218.92</v>
          </cell>
          <cell r="J507">
            <v>-287.91000000000003</v>
          </cell>
        </row>
        <row r="508">
          <cell r="A508" t="str">
            <v>6219684264</v>
          </cell>
          <cell r="B508">
            <v>62196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6219685555</v>
          </cell>
          <cell r="B509">
            <v>62196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6219685584</v>
          </cell>
          <cell r="B510">
            <v>62196</v>
          </cell>
          <cell r="C510">
            <v>85584</v>
          </cell>
          <cell r="D510" t="str">
            <v>Bldg Admin-Office Costs</v>
          </cell>
          <cell r="E510">
            <v>1513.73</v>
          </cell>
          <cell r="F510">
            <v>1093</v>
          </cell>
          <cell r="G510">
            <v>420.73</v>
          </cell>
          <cell r="H510">
            <v>0.38490000000000002</v>
          </cell>
          <cell r="I510">
            <v>1093</v>
          </cell>
          <cell r="J510">
            <v>420.73</v>
          </cell>
        </row>
        <row r="511">
          <cell r="A511" t="str">
            <v>6219685582</v>
          </cell>
          <cell r="B511">
            <v>62196</v>
          </cell>
          <cell r="C511">
            <v>85582</v>
          </cell>
          <cell r="D511" t="str">
            <v>Bldg Admin-Salaries</v>
          </cell>
          <cell r="E511">
            <v>7410.59</v>
          </cell>
          <cell r="F511">
            <v>7364.67</v>
          </cell>
          <cell r="G511">
            <v>45.920000000000101</v>
          </cell>
          <cell r="H511">
            <v>6.1999999999999998E-3</v>
          </cell>
          <cell r="I511">
            <v>7364.67</v>
          </cell>
          <cell r="J511">
            <v>45.920000000000101</v>
          </cell>
        </row>
        <row r="512">
          <cell r="A512" t="str">
            <v>6219686564</v>
          </cell>
          <cell r="B512">
            <v>62196</v>
          </cell>
          <cell r="C512">
            <v>86564</v>
          </cell>
          <cell r="D512" t="str">
            <v>Insurance</v>
          </cell>
          <cell r="E512">
            <v>6754</v>
          </cell>
          <cell r="F512">
            <v>6754.26</v>
          </cell>
          <cell r="G512">
            <v>-0.260000000000218</v>
          </cell>
          <cell r="H512">
            <v>0</v>
          </cell>
          <cell r="I512">
            <v>6754.26</v>
          </cell>
          <cell r="J512">
            <v>-0.260000000000218</v>
          </cell>
        </row>
        <row r="513">
          <cell r="A513" t="str">
            <v>6219688846</v>
          </cell>
          <cell r="B513">
            <v>62196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6219688890</v>
          </cell>
          <cell r="B514">
            <v>62196</v>
          </cell>
          <cell r="C514">
            <v>88890</v>
          </cell>
          <cell r="D514" t="str">
            <v>Security/Safety</v>
          </cell>
          <cell r="E514">
            <v>19326.62</v>
          </cell>
          <cell r="F514">
            <v>19600</v>
          </cell>
          <cell r="G514">
            <v>-273.38000000000102</v>
          </cell>
          <cell r="H514">
            <v>-1.3899999999999999E-2</v>
          </cell>
          <cell r="I514">
            <v>19600</v>
          </cell>
          <cell r="J514">
            <v>-273.38000000000102</v>
          </cell>
        </row>
        <row r="515">
          <cell r="A515" t="str">
            <v>6219689775</v>
          </cell>
          <cell r="B515">
            <v>62196</v>
          </cell>
          <cell r="C515">
            <v>89775</v>
          </cell>
          <cell r="D515" t="str">
            <v>Assmt Dist Taxes- Reimb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6219689729</v>
          </cell>
          <cell r="B516">
            <v>62196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6219689786</v>
          </cell>
          <cell r="B517">
            <v>62196</v>
          </cell>
          <cell r="C517">
            <v>89786</v>
          </cell>
          <cell r="D517" t="str">
            <v>Property Tax Exp</v>
          </cell>
          <cell r="E517">
            <v>28747</v>
          </cell>
          <cell r="F517">
            <v>28747.08</v>
          </cell>
          <cell r="G517">
            <v>-8.0000000001746202E-2</v>
          </cell>
          <cell r="H517">
            <v>0</v>
          </cell>
          <cell r="I517">
            <v>28747.08</v>
          </cell>
          <cell r="J517">
            <v>-8.0000000001746202E-2</v>
          </cell>
        </row>
        <row r="518">
          <cell r="A518" t="str">
            <v>6219671040</v>
          </cell>
          <cell r="B518">
            <v>62196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6219672701</v>
          </cell>
          <cell r="B519">
            <v>62196</v>
          </cell>
          <cell r="C519">
            <v>72701</v>
          </cell>
          <cell r="D519" t="str">
            <v>Utilities</v>
          </cell>
          <cell r="E519">
            <v>527.74</v>
          </cell>
          <cell r="F519">
            <v>300</v>
          </cell>
          <cell r="G519">
            <v>227.74</v>
          </cell>
          <cell r="H519">
            <v>0.7591</v>
          </cell>
          <cell r="I519">
            <v>300</v>
          </cell>
          <cell r="J519">
            <v>227.74</v>
          </cell>
        </row>
        <row r="520">
          <cell r="A520" t="str">
            <v>6219672855</v>
          </cell>
          <cell r="B520">
            <v>62196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6219672870</v>
          </cell>
          <cell r="B521">
            <v>62196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6219676010</v>
          </cell>
          <cell r="B522">
            <v>62196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4200.33</v>
          </cell>
          <cell r="G522">
            <v>-4200.33</v>
          </cell>
          <cell r="H522">
            <v>0</v>
          </cell>
          <cell r="I522">
            <v>4200.33</v>
          </cell>
          <cell r="J522">
            <v>-4200.33</v>
          </cell>
        </row>
        <row r="523">
          <cell r="A523" t="str">
            <v>6219676040</v>
          </cell>
          <cell r="B523">
            <v>62196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6219676051</v>
          </cell>
          <cell r="B524">
            <v>62196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6219676054</v>
          </cell>
          <cell r="B525">
            <v>62196</v>
          </cell>
          <cell r="C525">
            <v>76054</v>
          </cell>
          <cell r="D525" t="str">
            <v>Bldg Maintenance &amp; Repair</v>
          </cell>
          <cell r="E525">
            <v>-839</v>
          </cell>
          <cell r="F525">
            <v>4833</v>
          </cell>
          <cell r="G525">
            <v>-5672</v>
          </cell>
          <cell r="H525">
            <v>-1.1736</v>
          </cell>
          <cell r="I525">
            <v>4833</v>
          </cell>
          <cell r="J525">
            <v>-5672</v>
          </cell>
        </row>
        <row r="526">
          <cell r="A526" t="str">
            <v>6219676060</v>
          </cell>
          <cell r="B526">
            <v>62196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6219676071</v>
          </cell>
          <cell r="B527">
            <v>62196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6219676090</v>
          </cell>
          <cell r="B528">
            <v>62196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6219677001</v>
          </cell>
          <cell r="B529">
            <v>62196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6219677022</v>
          </cell>
          <cell r="B530">
            <v>62196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6219684200</v>
          </cell>
          <cell r="B531">
            <v>62196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6219684240</v>
          </cell>
          <cell r="B532">
            <v>62196</v>
          </cell>
          <cell r="C532">
            <v>84240</v>
          </cell>
          <cell r="D532" t="str">
            <v>Marketing Leasing</v>
          </cell>
          <cell r="E532">
            <v>0</v>
          </cell>
          <cell r="F532">
            <v>50</v>
          </cell>
          <cell r="G532">
            <v>-50</v>
          </cell>
          <cell r="H532">
            <v>0</v>
          </cell>
          <cell r="I532">
            <v>50</v>
          </cell>
          <cell r="J532">
            <v>-50</v>
          </cell>
        </row>
        <row r="533">
          <cell r="A533" t="str">
            <v>6219684242</v>
          </cell>
          <cell r="B533">
            <v>62196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6219684243</v>
          </cell>
          <cell r="B534">
            <v>62196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6219684244</v>
          </cell>
          <cell r="B535">
            <v>62196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6219684265</v>
          </cell>
          <cell r="B536">
            <v>62196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6219688037</v>
          </cell>
          <cell r="B537">
            <v>62196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6219685016</v>
          </cell>
          <cell r="B538">
            <v>62196</v>
          </cell>
          <cell r="C538">
            <v>85016</v>
          </cell>
          <cell r="D538" t="str">
            <v>Prof Svc-Attorney Outside</v>
          </cell>
          <cell r="E538">
            <v>-650</v>
          </cell>
          <cell r="F538">
            <v>2083</v>
          </cell>
          <cell r="G538">
            <v>-2733</v>
          </cell>
          <cell r="H538">
            <v>-1.3120000000000001</v>
          </cell>
          <cell r="I538">
            <v>2083</v>
          </cell>
          <cell r="J538">
            <v>-2733</v>
          </cell>
        </row>
        <row r="539">
          <cell r="A539" t="str">
            <v>6219685022</v>
          </cell>
          <cell r="B539">
            <v>62196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</row>
        <row r="540">
          <cell r="A540" t="str">
            <v>6219685065</v>
          </cell>
          <cell r="B540">
            <v>62196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6219685500</v>
          </cell>
          <cell r="B541">
            <v>62196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6219685566</v>
          </cell>
          <cell r="B542">
            <v>62196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6219685581</v>
          </cell>
          <cell r="B543">
            <v>62196</v>
          </cell>
          <cell r="C543">
            <v>85581</v>
          </cell>
          <cell r="D543" t="str">
            <v>Bldg Admin- Salaries</v>
          </cell>
          <cell r="E543">
            <v>4032.34</v>
          </cell>
          <cell r="F543">
            <v>4401</v>
          </cell>
          <cell r="G543">
            <v>-368.66</v>
          </cell>
          <cell r="H543">
            <v>-8.3799999999999999E-2</v>
          </cell>
          <cell r="I543">
            <v>4401</v>
          </cell>
          <cell r="J543">
            <v>-368.66</v>
          </cell>
        </row>
        <row r="544">
          <cell r="A544" t="str">
            <v>6219685583</v>
          </cell>
          <cell r="B544">
            <v>62196</v>
          </cell>
          <cell r="C544">
            <v>85583</v>
          </cell>
          <cell r="D544" t="str">
            <v>Bldg Admin-Office Exp.</v>
          </cell>
          <cell r="E544">
            <v>937.95</v>
          </cell>
          <cell r="F544">
            <v>638.33000000000004</v>
          </cell>
          <cell r="G544">
            <v>299.62</v>
          </cell>
          <cell r="H544">
            <v>0.46939999999999998</v>
          </cell>
          <cell r="I544">
            <v>638.33000000000004</v>
          </cell>
          <cell r="J544">
            <v>299.62</v>
          </cell>
        </row>
        <row r="545">
          <cell r="A545" t="str">
            <v>6219685530</v>
          </cell>
          <cell r="B545">
            <v>62196</v>
          </cell>
          <cell r="C545">
            <v>85530</v>
          </cell>
          <cell r="D545" t="str">
            <v>Bldg Admin - Office Exp</v>
          </cell>
          <cell r="E545">
            <v>937.95</v>
          </cell>
          <cell r="F545">
            <v>638.33000000000004</v>
          </cell>
          <cell r="G545">
            <v>299.62</v>
          </cell>
          <cell r="H545">
            <v>0.46939999999999998</v>
          </cell>
          <cell r="I545">
            <v>638.33000000000004</v>
          </cell>
          <cell r="J545">
            <v>299.62</v>
          </cell>
        </row>
        <row r="546">
          <cell r="A546" t="str">
            <v>6219686012</v>
          </cell>
          <cell r="B546">
            <v>62196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6219686037</v>
          </cell>
          <cell r="B547">
            <v>62196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6219683050</v>
          </cell>
          <cell r="B548">
            <v>62196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6219686510</v>
          </cell>
          <cell r="B549">
            <v>62196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6219686537</v>
          </cell>
          <cell r="B550">
            <v>62196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6219686566</v>
          </cell>
          <cell r="B551">
            <v>62196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6219686955</v>
          </cell>
          <cell r="B552">
            <v>62196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6219686985</v>
          </cell>
          <cell r="B553">
            <v>62196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6219686880</v>
          </cell>
          <cell r="B554">
            <v>62196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6219688710</v>
          </cell>
          <cell r="B555">
            <v>62196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</row>
        <row r="556">
          <cell r="A556" t="str">
            <v>6219688711</v>
          </cell>
          <cell r="B556">
            <v>62196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6219688785</v>
          </cell>
          <cell r="B557">
            <v>62196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6219688847</v>
          </cell>
          <cell r="B558">
            <v>62196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6219688866</v>
          </cell>
          <cell r="B559">
            <v>62196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6219688870</v>
          </cell>
          <cell r="B560">
            <v>62196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6219688889</v>
          </cell>
          <cell r="B561">
            <v>62196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6219689776</v>
          </cell>
          <cell r="B562">
            <v>62196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6219689787</v>
          </cell>
          <cell r="B563">
            <v>62196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6219689510</v>
          </cell>
          <cell r="B564">
            <v>62196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6219689511</v>
          </cell>
          <cell r="B565">
            <v>62196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6219689512</v>
          </cell>
          <cell r="B566">
            <v>62196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6219689528</v>
          </cell>
          <cell r="B567">
            <v>62196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6219689529</v>
          </cell>
          <cell r="B568">
            <v>62196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6219689567</v>
          </cell>
          <cell r="B569">
            <v>62196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6219685058</v>
          </cell>
          <cell r="B570">
            <v>62196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6219686513</v>
          </cell>
          <cell r="B571">
            <v>62196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6219686519</v>
          </cell>
          <cell r="B572">
            <v>62196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6219688770</v>
          </cell>
          <cell r="B573">
            <v>62196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6219688862</v>
          </cell>
          <cell r="B574">
            <v>62196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6219688874</v>
          </cell>
          <cell r="B575">
            <v>62196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6219689910</v>
          </cell>
          <cell r="B576">
            <v>62196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12400.25</v>
          </cell>
          <cell r="G576">
            <v>-12400.25</v>
          </cell>
          <cell r="H576">
            <v>0</v>
          </cell>
          <cell r="I576">
            <v>12400.25</v>
          </cell>
          <cell r="J576">
            <v>-12400.25</v>
          </cell>
        </row>
        <row r="577">
          <cell r="A577" t="str">
            <v>6219689548</v>
          </cell>
          <cell r="B577">
            <v>62196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6220041010</v>
          </cell>
          <cell r="B578">
            <v>62200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6220041040</v>
          </cell>
          <cell r="B579">
            <v>62200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6220041050</v>
          </cell>
          <cell r="B580">
            <v>62200</v>
          </cell>
          <cell r="C580">
            <v>41050</v>
          </cell>
          <cell r="D580" t="str">
            <v>Rental Income - Fixed</v>
          </cell>
          <cell r="E580">
            <v>-245373.72</v>
          </cell>
          <cell r="F580">
            <v>-260695.12</v>
          </cell>
          <cell r="G580">
            <v>15321.4</v>
          </cell>
          <cell r="H580">
            <v>-5.8799999999999998E-2</v>
          </cell>
          <cell r="I580">
            <v>-260695.12</v>
          </cell>
          <cell r="J580">
            <v>15321.4</v>
          </cell>
        </row>
        <row r="581">
          <cell r="A581" t="str">
            <v>6220041074</v>
          </cell>
          <cell r="B581">
            <v>62200</v>
          </cell>
          <cell r="C581">
            <v>41074</v>
          </cell>
          <cell r="D581" t="str">
            <v>Rental Income - Percentage</v>
          </cell>
          <cell r="E581">
            <v>134.88999999999999</v>
          </cell>
          <cell r="F581">
            <v>0</v>
          </cell>
          <cell r="G581">
            <v>134.88999999999999</v>
          </cell>
          <cell r="H581">
            <v>0</v>
          </cell>
          <cell r="I581">
            <v>0</v>
          </cell>
          <cell r="J581">
            <v>134.88999999999999</v>
          </cell>
        </row>
        <row r="582">
          <cell r="A582" t="str">
            <v>6220041082</v>
          </cell>
          <cell r="B582">
            <v>62200</v>
          </cell>
          <cell r="C582">
            <v>41082</v>
          </cell>
          <cell r="D582" t="str">
            <v>Rental Income - Operating Exp</v>
          </cell>
          <cell r="E582">
            <v>-46467.72</v>
          </cell>
          <cell r="F582">
            <v>-64214.01</v>
          </cell>
          <cell r="G582">
            <v>17746.29</v>
          </cell>
          <cell r="H582">
            <v>-0.27639999999999998</v>
          </cell>
          <cell r="I582">
            <v>-64214.01</v>
          </cell>
          <cell r="J582">
            <v>17746.29</v>
          </cell>
        </row>
        <row r="583">
          <cell r="A583" t="str">
            <v>6220044610</v>
          </cell>
          <cell r="B583">
            <v>62200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6220045071</v>
          </cell>
          <cell r="B584">
            <v>62200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6220045010</v>
          </cell>
          <cell r="B585">
            <v>62200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6220045046</v>
          </cell>
          <cell r="B586">
            <v>62200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6220045070</v>
          </cell>
          <cell r="B587">
            <v>62200</v>
          </cell>
          <cell r="C587">
            <v>45070</v>
          </cell>
          <cell r="D587" t="str">
            <v>Other Income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</row>
        <row r="588">
          <cell r="A588" t="str">
            <v>6220041060</v>
          </cell>
          <cell r="B588">
            <v>62200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788</v>
          </cell>
          <cell r="G588">
            <v>-788</v>
          </cell>
          <cell r="H588">
            <v>0</v>
          </cell>
          <cell r="I588">
            <v>788</v>
          </cell>
          <cell r="J588">
            <v>-788</v>
          </cell>
        </row>
        <row r="589">
          <cell r="A589" t="str">
            <v>6220044870</v>
          </cell>
          <cell r="B589">
            <v>62200</v>
          </cell>
          <cell r="C589">
            <v>44870</v>
          </cell>
          <cell r="D589" t="str">
            <v>Late Fees</v>
          </cell>
          <cell r="E589">
            <v>-1601.97</v>
          </cell>
          <cell r="F589">
            <v>-166.67</v>
          </cell>
          <cell r="G589">
            <v>-1435.3</v>
          </cell>
          <cell r="H589">
            <v>8.6115999999999993</v>
          </cell>
          <cell r="I589">
            <v>-166.67</v>
          </cell>
          <cell r="J589">
            <v>-1435.3</v>
          </cell>
        </row>
        <row r="590">
          <cell r="A590" t="str">
            <v>6220052542</v>
          </cell>
          <cell r="B590">
            <v>62200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6220072710</v>
          </cell>
          <cell r="B591">
            <v>62200</v>
          </cell>
          <cell r="C591">
            <v>72710</v>
          </cell>
          <cell r="D591" t="str">
            <v>Utilities - Electricity</v>
          </cell>
          <cell r="E591">
            <v>630.45000000000005</v>
          </cell>
          <cell r="F591">
            <v>1220</v>
          </cell>
          <cell r="G591">
            <v>-589.54999999999995</v>
          </cell>
          <cell r="H591">
            <v>-0.48320000000000002</v>
          </cell>
          <cell r="I591">
            <v>1220</v>
          </cell>
          <cell r="J591">
            <v>-589.54999999999995</v>
          </cell>
        </row>
        <row r="592">
          <cell r="A592" t="str">
            <v>6220072740</v>
          </cell>
          <cell r="B592">
            <v>62200</v>
          </cell>
          <cell r="C592">
            <v>72740</v>
          </cell>
          <cell r="D592" t="str">
            <v>Utilities - Gas</v>
          </cell>
          <cell r="E592">
            <v>150</v>
          </cell>
          <cell r="F592">
            <v>687.75</v>
          </cell>
          <cell r="G592">
            <v>-537.75</v>
          </cell>
          <cell r="H592">
            <v>-0.78190000000000004</v>
          </cell>
          <cell r="I592">
            <v>687.75</v>
          </cell>
          <cell r="J592">
            <v>-537.75</v>
          </cell>
        </row>
        <row r="593">
          <cell r="A593" t="str">
            <v>6220072770</v>
          </cell>
          <cell r="B593">
            <v>62200</v>
          </cell>
          <cell r="C593">
            <v>72770</v>
          </cell>
          <cell r="D593" t="str">
            <v>Utilities - Water</v>
          </cell>
          <cell r="E593">
            <v>1571.38</v>
          </cell>
          <cell r="F593">
            <v>1836</v>
          </cell>
          <cell r="G593">
            <v>-264.62</v>
          </cell>
          <cell r="H593">
            <v>-0.14410000000000001</v>
          </cell>
          <cell r="I593">
            <v>1836</v>
          </cell>
          <cell r="J593">
            <v>-264.62</v>
          </cell>
        </row>
        <row r="594">
          <cell r="A594" t="str">
            <v>6220076000</v>
          </cell>
          <cell r="B594">
            <v>62200</v>
          </cell>
          <cell r="C594">
            <v>76000</v>
          </cell>
          <cell r="D594" t="str">
            <v>Bldg Maintenance &amp; Repair</v>
          </cell>
          <cell r="E594">
            <v>1065.3</v>
          </cell>
          <cell r="F594">
            <v>4797</v>
          </cell>
          <cell r="G594">
            <v>-3731.7</v>
          </cell>
          <cell r="H594">
            <v>-0.77790000000000004</v>
          </cell>
          <cell r="I594">
            <v>4797</v>
          </cell>
          <cell r="J594">
            <v>-3731.7</v>
          </cell>
        </row>
        <row r="595">
          <cell r="A595" t="str">
            <v>6220076020</v>
          </cell>
          <cell r="B595">
            <v>62200</v>
          </cell>
          <cell r="C595">
            <v>76020</v>
          </cell>
          <cell r="D595" t="str">
            <v>Food Court Expense</v>
          </cell>
          <cell r="E595">
            <v>96.5</v>
          </cell>
          <cell r="F595">
            <v>0</v>
          </cell>
          <cell r="G595">
            <v>96.5</v>
          </cell>
          <cell r="H595">
            <v>0</v>
          </cell>
          <cell r="I595">
            <v>0</v>
          </cell>
          <cell r="J595">
            <v>96.5</v>
          </cell>
        </row>
        <row r="596">
          <cell r="A596" t="str">
            <v>6220076034</v>
          </cell>
          <cell r="B596">
            <v>62200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6220076050</v>
          </cell>
          <cell r="B597">
            <v>62200</v>
          </cell>
          <cell r="C597">
            <v>76050</v>
          </cell>
          <cell r="D597" t="str">
            <v>Cleaning Expense</v>
          </cell>
          <cell r="E597">
            <v>7515</v>
          </cell>
          <cell r="F597">
            <v>6886.67</v>
          </cell>
          <cell r="G597">
            <v>628.33000000000004</v>
          </cell>
          <cell r="H597">
            <v>9.1200000000000003E-2</v>
          </cell>
          <cell r="I597">
            <v>6886.67</v>
          </cell>
          <cell r="J597">
            <v>628.33000000000004</v>
          </cell>
        </row>
        <row r="598">
          <cell r="A598" t="str">
            <v>6220076056</v>
          </cell>
          <cell r="B598">
            <v>62200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6220076070</v>
          </cell>
          <cell r="B599">
            <v>62200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6220076091</v>
          </cell>
          <cell r="B600">
            <v>62200</v>
          </cell>
          <cell r="C600">
            <v>76091</v>
          </cell>
          <cell r="D600" t="str">
            <v>Parking Maintenance</v>
          </cell>
          <cell r="E600">
            <v>4280.63</v>
          </cell>
          <cell r="F600">
            <v>2506</v>
          </cell>
          <cell r="G600">
            <v>1774.63</v>
          </cell>
          <cell r="H600">
            <v>0.70820000000000005</v>
          </cell>
          <cell r="I600">
            <v>2506</v>
          </cell>
          <cell r="J600">
            <v>1774.63</v>
          </cell>
        </row>
        <row r="601">
          <cell r="A601" t="str">
            <v>6220077000</v>
          </cell>
          <cell r="B601">
            <v>62200</v>
          </cell>
          <cell r="C601">
            <v>77000</v>
          </cell>
          <cell r="D601" t="str">
            <v>Grounds Maintenance</v>
          </cell>
          <cell r="E601">
            <v>514.97</v>
          </cell>
          <cell r="F601">
            <v>818.67</v>
          </cell>
          <cell r="G601">
            <v>-303.7</v>
          </cell>
          <cell r="H601">
            <v>-0.371</v>
          </cell>
          <cell r="I601">
            <v>818.67</v>
          </cell>
          <cell r="J601">
            <v>-303.7</v>
          </cell>
        </row>
        <row r="602">
          <cell r="A602" t="str">
            <v>6220077053</v>
          </cell>
          <cell r="B602">
            <v>62200</v>
          </cell>
          <cell r="C602">
            <v>77053</v>
          </cell>
          <cell r="D602" t="str">
            <v>Landscaping</v>
          </cell>
          <cell r="E602">
            <v>2650</v>
          </cell>
          <cell r="F602">
            <v>3491.67</v>
          </cell>
          <cell r="G602">
            <v>-841.67</v>
          </cell>
          <cell r="H602">
            <v>-0.24110000000000001</v>
          </cell>
          <cell r="I602">
            <v>3491.67</v>
          </cell>
          <cell r="J602">
            <v>-841.67</v>
          </cell>
        </row>
        <row r="603">
          <cell r="A603" t="str">
            <v>6220078020</v>
          </cell>
          <cell r="B603">
            <v>62200</v>
          </cell>
          <cell r="C603">
            <v>78020</v>
          </cell>
          <cell r="D603" t="str">
            <v>Amortized CAM Exp</v>
          </cell>
          <cell r="E603">
            <v>2777.78</v>
          </cell>
          <cell r="F603">
            <v>2777.75</v>
          </cell>
          <cell r="G603">
            <v>3.0000000000200099E-2</v>
          </cell>
          <cell r="H603">
            <v>0</v>
          </cell>
          <cell r="I603">
            <v>2777.75</v>
          </cell>
          <cell r="J603">
            <v>3.0000000000200099E-2</v>
          </cell>
        </row>
        <row r="604">
          <cell r="A604" t="str">
            <v>6220084264</v>
          </cell>
          <cell r="B604">
            <v>62200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6220085555</v>
          </cell>
          <cell r="B605">
            <v>62200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6220085584</v>
          </cell>
          <cell r="B606">
            <v>62200</v>
          </cell>
          <cell r="C606">
            <v>85584</v>
          </cell>
          <cell r="D606" t="str">
            <v>Bldg Admin-Office Costs</v>
          </cell>
          <cell r="E606">
            <v>1006.32</v>
          </cell>
          <cell r="F606">
            <v>727</v>
          </cell>
          <cell r="G606">
            <v>279.32</v>
          </cell>
          <cell r="H606">
            <v>0.38419999999999999</v>
          </cell>
          <cell r="I606">
            <v>727</v>
          </cell>
          <cell r="J606">
            <v>279.32</v>
          </cell>
        </row>
        <row r="607">
          <cell r="A607" t="str">
            <v>6220085582</v>
          </cell>
          <cell r="B607">
            <v>62200</v>
          </cell>
          <cell r="C607">
            <v>85582</v>
          </cell>
          <cell r="D607" t="str">
            <v>Bldg Admin-Salaries</v>
          </cell>
          <cell r="E607">
            <v>5023.82</v>
          </cell>
          <cell r="F607">
            <v>4896.08</v>
          </cell>
          <cell r="G607">
            <v>127.74</v>
          </cell>
          <cell r="H607">
            <v>2.6100000000000002E-2</v>
          </cell>
          <cell r="I607">
            <v>4896.08</v>
          </cell>
          <cell r="J607">
            <v>127.74</v>
          </cell>
        </row>
        <row r="608">
          <cell r="A608" t="str">
            <v>6220086564</v>
          </cell>
          <cell r="B608">
            <v>62200</v>
          </cell>
          <cell r="C608">
            <v>86564</v>
          </cell>
          <cell r="D608" t="str">
            <v>Insurance</v>
          </cell>
          <cell r="E608">
            <v>4301</v>
          </cell>
          <cell r="F608">
            <v>4300.67</v>
          </cell>
          <cell r="G608">
            <v>0.32999999999992702</v>
          </cell>
          <cell r="H608">
            <v>1E-4</v>
          </cell>
          <cell r="I608">
            <v>4300.67</v>
          </cell>
          <cell r="J608">
            <v>0.32999999999992702</v>
          </cell>
        </row>
        <row r="609">
          <cell r="A609" t="str">
            <v>6220088846</v>
          </cell>
          <cell r="B609">
            <v>62200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6220088890</v>
          </cell>
          <cell r="B610">
            <v>62200</v>
          </cell>
          <cell r="C610">
            <v>88890</v>
          </cell>
          <cell r="D610" t="str">
            <v>Security/Safety</v>
          </cell>
          <cell r="E610">
            <v>2344.81</v>
          </cell>
          <cell r="F610">
            <v>2333.33</v>
          </cell>
          <cell r="G610">
            <v>11.48</v>
          </cell>
          <cell r="H610">
            <v>4.8999999999999998E-3</v>
          </cell>
          <cell r="I610">
            <v>2333.33</v>
          </cell>
          <cell r="J610">
            <v>11.48</v>
          </cell>
        </row>
        <row r="611">
          <cell r="A611" t="str">
            <v>6220089775</v>
          </cell>
          <cell r="B611">
            <v>62200</v>
          </cell>
          <cell r="C611">
            <v>89775</v>
          </cell>
          <cell r="D611" t="str">
            <v>Assmt Dist Taxes- Reimb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</row>
        <row r="612">
          <cell r="A612" t="str">
            <v>6220089729</v>
          </cell>
          <cell r="B612">
            <v>62200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6220089786</v>
          </cell>
          <cell r="B613">
            <v>62200</v>
          </cell>
          <cell r="C613">
            <v>89786</v>
          </cell>
          <cell r="D613" t="str">
            <v>Property Tax Exp</v>
          </cell>
          <cell r="E613">
            <v>8396</v>
          </cell>
          <cell r="F613">
            <v>8395.67</v>
          </cell>
          <cell r="G613">
            <v>0.32999999999992702</v>
          </cell>
          <cell r="H613">
            <v>0</v>
          </cell>
          <cell r="I613">
            <v>8395.67</v>
          </cell>
          <cell r="J613">
            <v>0.32999999999992702</v>
          </cell>
        </row>
        <row r="614">
          <cell r="A614" t="str">
            <v>6220071040</v>
          </cell>
          <cell r="B614">
            <v>62200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6220072701</v>
          </cell>
          <cell r="B615">
            <v>62200</v>
          </cell>
          <cell r="C615">
            <v>72701</v>
          </cell>
          <cell r="D615" t="str">
            <v>Utilities</v>
          </cell>
          <cell r="E615">
            <v>16.72</v>
          </cell>
          <cell r="F615">
            <v>12.5</v>
          </cell>
          <cell r="G615">
            <v>4.22</v>
          </cell>
          <cell r="H615">
            <v>0.33760000000000001</v>
          </cell>
          <cell r="I615">
            <v>12.5</v>
          </cell>
          <cell r="J615">
            <v>4.22</v>
          </cell>
        </row>
        <row r="616">
          <cell r="A616" t="str">
            <v>6220072855</v>
          </cell>
          <cell r="B616">
            <v>62200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6220072870</v>
          </cell>
          <cell r="B617">
            <v>62200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6220076010</v>
          </cell>
          <cell r="B618">
            <v>62200</v>
          </cell>
          <cell r="C618">
            <v>76010</v>
          </cell>
          <cell r="D618" t="str">
            <v>Tenant Alterations</v>
          </cell>
          <cell r="E618">
            <v>130</v>
          </cell>
          <cell r="F618">
            <v>0</v>
          </cell>
          <cell r="G618">
            <v>130</v>
          </cell>
          <cell r="H618">
            <v>0</v>
          </cell>
          <cell r="I618">
            <v>0</v>
          </cell>
          <cell r="J618">
            <v>130</v>
          </cell>
        </row>
        <row r="619">
          <cell r="A619" t="str">
            <v>6220076040</v>
          </cell>
          <cell r="B619">
            <v>62200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6220076051</v>
          </cell>
          <cell r="B620">
            <v>62200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6220076054</v>
          </cell>
          <cell r="B621">
            <v>62200</v>
          </cell>
          <cell r="C621">
            <v>76054</v>
          </cell>
          <cell r="D621" t="str">
            <v>Bldg Maintenance &amp; Repair</v>
          </cell>
          <cell r="E621">
            <v>58.5</v>
          </cell>
          <cell r="F621">
            <v>0</v>
          </cell>
          <cell r="G621">
            <v>58.5</v>
          </cell>
          <cell r="H621">
            <v>0</v>
          </cell>
          <cell r="I621">
            <v>0</v>
          </cell>
          <cell r="J621">
            <v>58.5</v>
          </cell>
        </row>
        <row r="622">
          <cell r="A622" t="str">
            <v>6220076060</v>
          </cell>
          <cell r="B622">
            <v>62200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6220076071</v>
          </cell>
          <cell r="B623">
            <v>62200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6220076090</v>
          </cell>
          <cell r="B624">
            <v>62200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6220077001</v>
          </cell>
          <cell r="B625">
            <v>62200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6220077022</v>
          </cell>
          <cell r="B626">
            <v>62200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6220084200</v>
          </cell>
          <cell r="B627">
            <v>62200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6220084240</v>
          </cell>
          <cell r="B628">
            <v>62200</v>
          </cell>
          <cell r="C628">
            <v>84240</v>
          </cell>
          <cell r="D628" t="str">
            <v>Marketing Leasing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</row>
        <row r="629">
          <cell r="A629" t="str">
            <v>6220084242</v>
          </cell>
          <cell r="B629">
            <v>62200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6220084243</v>
          </cell>
          <cell r="B630">
            <v>62200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6220084244</v>
          </cell>
          <cell r="B631">
            <v>62200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6220084265</v>
          </cell>
          <cell r="B632">
            <v>62200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6220088037</v>
          </cell>
          <cell r="B633">
            <v>62200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6220085016</v>
          </cell>
          <cell r="B634">
            <v>62200</v>
          </cell>
          <cell r="C634">
            <v>85016</v>
          </cell>
          <cell r="D634" t="str">
            <v>Prof Svc-Attorney Outside</v>
          </cell>
          <cell r="E634">
            <v>200.73</v>
          </cell>
          <cell r="F634">
            <v>0</v>
          </cell>
          <cell r="G634">
            <v>200.73</v>
          </cell>
          <cell r="H634">
            <v>0</v>
          </cell>
          <cell r="I634">
            <v>0</v>
          </cell>
          <cell r="J634">
            <v>200.73</v>
          </cell>
        </row>
        <row r="635">
          <cell r="A635" t="str">
            <v>6220085022</v>
          </cell>
          <cell r="B635">
            <v>62200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</row>
        <row r="636">
          <cell r="A636" t="str">
            <v>6220085065</v>
          </cell>
          <cell r="B636">
            <v>62200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6220085500</v>
          </cell>
          <cell r="B637">
            <v>62200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</row>
        <row r="638">
          <cell r="A638" t="str">
            <v>6220085566</v>
          </cell>
          <cell r="B638">
            <v>62200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6220085581</v>
          </cell>
          <cell r="B639">
            <v>62200</v>
          </cell>
          <cell r="C639">
            <v>85581</v>
          </cell>
          <cell r="D639" t="str">
            <v>Bldg Admin- Salaries</v>
          </cell>
          <cell r="E639">
            <v>2733.62</v>
          </cell>
          <cell r="F639">
            <v>2926</v>
          </cell>
          <cell r="G639">
            <v>-192.38</v>
          </cell>
          <cell r="H639">
            <v>-6.5699999999999995E-2</v>
          </cell>
          <cell r="I639">
            <v>2926</v>
          </cell>
          <cell r="J639">
            <v>-192.38</v>
          </cell>
        </row>
        <row r="640">
          <cell r="A640" t="str">
            <v>6220085583</v>
          </cell>
          <cell r="B640">
            <v>62200</v>
          </cell>
          <cell r="C640">
            <v>85583</v>
          </cell>
          <cell r="D640" t="str">
            <v>Bldg Admin-Office Exp.</v>
          </cell>
          <cell r="E640">
            <v>723.55</v>
          </cell>
          <cell r="F640">
            <v>424.42</v>
          </cell>
          <cell r="G640">
            <v>299.13</v>
          </cell>
          <cell r="H640">
            <v>0.70479999999999998</v>
          </cell>
          <cell r="I640">
            <v>424.42</v>
          </cell>
          <cell r="J640">
            <v>299.13</v>
          </cell>
        </row>
        <row r="641">
          <cell r="A641" t="str">
            <v>6220085530</v>
          </cell>
          <cell r="B641">
            <v>62200</v>
          </cell>
          <cell r="C641">
            <v>85530</v>
          </cell>
          <cell r="D641" t="str">
            <v>Bldg Admin - Office Exp</v>
          </cell>
          <cell r="E641">
            <v>723.55</v>
          </cell>
          <cell r="F641">
            <v>424.42</v>
          </cell>
          <cell r="G641">
            <v>299.13</v>
          </cell>
          <cell r="H641">
            <v>0.70479999999999998</v>
          </cell>
          <cell r="I641">
            <v>424.42</v>
          </cell>
          <cell r="J641">
            <v>299.13</v>
          </cell>
        </row>
        <row r="642">
          <cell r="A642" t="str">
            <v>6220086012</v>
          </cell>
          <cell r="B642">
            <v>62200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6220086037</v>
          </cell>
          <cell r="B643">
            <v>62200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6220083050</v>
          </cell>
          <cell r="B644">
            <v>62200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6220086510</v>
          </cell>
          <cell r="B645">
            <v>62200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6220086537</v>
          </cell>
          <cell r="B646">
            <v>62200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6220086566</v>
          </cell>
          <cell r="B647">
            <v>62200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6220086955</v>
          </cell>
          <cell r="B648">
            <v>62200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6220086985</v>
          </cell>
          <cell r="B649">
            <v>62200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6220086880</v>
          </cell>
          <cell r="B650">
            <v>62200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6220088710</v>
          </cell>
          <cell r="B651">
            <v>62200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</row>
        <row r="652">
          <cell r="A652" t="str">
            <v>6220088711</v>
          </cell>
          <cell r="B652">
            <v>62200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6220088785</v>
          </cell>
          <cell r="B653">
            <v>62200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6220088847</v>
          </cell>
          <cell r="B654">
            <v>62200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6220088866</v>
          </cell>
          <cell r="B655">
            <v>62200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6220088870</v>
          </cell>
          <cell r="B656">
            <v>62200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6220088889</v>
          </cell>
          <cell r="B657">
            <v>62200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6220089776</v>
          </cell>
          <cell r="B658">
            <v>62200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6220089787</v>
          </cell>
          <cell r="B659">
            <v>62200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6220089510</v>
          </cell>
          <cell r="B660">
            <v>62200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</row>
        <row r="661">
          <cell r="A661" t="str">
            <v>6220089511</v>
          </cell>
          <cell r="B661">
            <v>62200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6220089512</v>
          </cell>
          <cell r="B662">
            <v>62200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6220089528</v>
          </cell>
          <cell r="B663">
            <v>62200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6220089529</v>
          </cell>
          <cell r="B664">
            <v>62200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6220089567</v>
          </cell>
          <cell r="B665">
            <v>62200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6220085058</v>
          </cell>
          <cell r="B666">
            <v>62200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6220086513</v>
          </cell>
          <cell r="B667">
            <v>62200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133.80000000000001</v>
          </cell>
          <cell r="G667">
            <v>-133.80000000000001</v>
          </cell>
          <cell r="H667">
            <v>0</v>
          </cell>
          <cell r="I667">
            <v>133.80000000000001</v>
          </cell>
          <cell r="J667">
            <v>-133.80000000000001</v>
          </cell>
        </row>
        <row r="668">
          <cell r="A668" t="str">
            <v>6220086519</v>
          </cell>
          <cell r="B668">
            <v>62200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6220088770</v>
          </cell>
          <cell r="B669">
            <v>62200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6220088862</v>
          </cell>
          <cell r="B670">
            <v>62200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6220088874</v>
          </cell>
          <cell r="B671">
            <v>62200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6220089910</v>
          </cell>
          <cell r="B672">
            <v>62200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83.3</v>
          </cell>
          <cell r="G672">
            <v>-83.3</v>
          </cell>
          <cell r="H672">
            <v>0</v>
          </cell>
          <cell r="I672">
            <v>83.3</v>
          </cell>
          <cell r="J672">
            <v>-83.3</v>
          </cell>
        </row>
        <row r="673">
          <cell r="A673" t="str">
            <v>6220089548</v>
          </cell>
          <cell r="B673">
            <v>62200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6229541010</v>
          </cell>
          <cell r="B674">
            <v>62295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6229541040</v>
          </cell>
          <cell r="B675">
            <v>62295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6229541050</v>
          </cell>
          <cell r="B676">
            <v>62295</v>
          </cell>
          <cell r="C676">
            <v>41050</v>
          </cell>
          <cell r="D676" t="str">
            <v>Rental Income - Fixed</v>
          </cell>
          <cell r="E676">
            <v>-276085.01</v>
          </cell>
          <cell r="F676">
            <v>-275792.88</v>
          </cell>
          <cell r="G676">
            <v>-292.130000000005</v>
          </cell>
          <cell r="H676">
            <v>1.1000000000000001E-3</v>
          </cell>
          <cell r="I676">
            <v>-275792.88</v>
          </cell>
          <cell r="J676">
            <v>-292.130000000005</v>
          </cell>
        </row>
        <row r="677">
          <cell r="A677" t="str">
            <v>6229541074</v>
          </cell>
          <cell r="B677">
            <v>62295</v>
          </cell>
          <cell r="C677">
            <v>41074</v>
          </cell>
          <cell r="D677" t="str">
            <v>Rental Income - Percentage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</row>
        <row r="678">
          <cell r="A678" t="str">
            <v>6229541082</v>
          </cell>
          <cell r="B678">
            <v>62295</v>
          </cell>
          <cell r="C678">
            <v>41082</v>
          </cell>
          <cell r="D678" t="str">
            <v>Rental Income - Operating Exp</v>
          </cell>
          <cell r="E678">
            <v>-55522.26</v>
          </cell>
          <cell r="F678">
            <v>-72774.539999999994</v>
          </cell>
          <cell r="G678">
            <v>17252.28</v>
          </cell>
          <cell r="H678">
            <v>-0.23710000000000001</v>
          </cell>
          <cell r="I678">
            <v>-72774.539999999994</v>
          </cell>
          <cell r="J678">
            <v>17252.28</v>
          </cell>
        </row>
        <row r="679">
          <cell r="A679" t="str">
            <v>6229544610</v>
          </cell>
          <cell r="B679">
            <v>62295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6229545071</v>
          </cell>
          <cell r="B680">
            <v>62295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6229545010</v>
          </cell>
          <cell r="B681">
            <v>62295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6229545046</v>
          </cell>
          <cell r="B682">
            <v>62295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6229545070</v>
          </cell>
          <cell r="B683">
            <v>62295</v>
          </cell>
          <cell r="C683">
            <v>45070</v>
          </cell>
          <cell r="D683" t="str">
            <v>Other Income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</row>
        <row r="684">
          <cell r="A684" t="str">
            <v>6229541060</v>
          </cell>
          <cell r="B684">
            <v>62295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</row>
        <row r="685">
          <cell r="A685" t="str">
            <v>6229544870</v>
          </cell>
          <cell r="B685">
            <v>62295</v>
          </cell>
          <cell r="C685">
            <v>44870</v>
          </cell>
          <cell r="D685" t="str">
            <v>Late Fees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6229552542</v>
          </cell>
          <cell r="B686">
            <v>62295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6229572710</v>
          </cell>
          <cell r="B687">
            <v>62295</v>
          </cell>
          <cell r="C687">
            <v>72710</v>
          </cell>
          <cell r="D687" t="str">
            <v>Utilities - Electricity</v>
          </cell>
          <cell r="E687">
            <v>1230.69</v>
          </cell>
          <cell r="F687">
            <v>2583</v>
          </cell>
          <cell r="G687">
            <v>-1352.31</v>
          </cell>
          <cell r="H687">
            <v>-0.52349999999999997</v>
          </cell>
          <cell r="I687">
            <v>2583</v>
          </cell>
          <cell r="J687">
            <v>-1352.31</v>
          </cell>
        </row>
        <row r="688">
          <cell r="A688" t="str">
            <v>6229572740</v>
          </cell>
          <cell r="B688">
            <v>62295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6229572770</v>
          </cell>
          <cell r="B689">
            <v>62295</v>
          </cell>
          <cell r="C689">
            <v>72770</v>
          </cell>
          <cell r="D689" t="str">
            <v>Utilities - Water</v>
          </cell>
          <cell r="E689">
            <v>569.49</v>
          </cell>
          <cell r="F689">
            <v>358</v>
          </cell>
          <cell r="G689">
            <v>211.49</v>
          </cell>
          <cell r="H689">
            <v>0.59079999999999999</v>
          </cell>
          <cell r="I689">
            <v>358</v>
          </cell>
          <cell r="J689">
            <v>211.49</v>
          </cell>
        </row>
        <row r="690">
          <cell r="A690" t="str">
            <v>6229576000</v>
          </cell>
          <cell r="B690">
            <v>62295</v>
          </cell>
          <cell r="C690">
            <v>76000</v>
          </cell>
          <cell r="D690" t="str">
            <v>Bldg Maintenance &amp; Repair</v>
          </cell>
          <cell r="E690">
            <v>118.78</v>
          </cell>
          <cell r="F690">
            <v>5215.33</v>
          </cell>
          <cell r="G690">
            <v>-5096.55</v>
          </cell>
          <cell r="H690">
            <v>-0.97719999999999996</v>
          </cell>
          <cell r="I690">
            <v>5215.33</v>
          </cell>
          <cell r="J690">
            <v>-5096.55</v>
          </cell>
        </row>
        <row r="691">
          <cell r="A691" t="str">
            <v>6229576020</v>
          </cell>
          <cell r="B691">
            <v>62295</v>
          </cell>
          <cell r="C691">
            <v>76020</v>
          </cell>
          <cell r="D691" t="str">
            <v>Food Court Expense</v>
          </cell>
          <cell r="E691">
            <v>1903</v>
          </cell>
          <cell r="F691">
            <v>0</v>
          </cell>
          <cell r="G691">
            <v>1903</v>
          </cell>
          <cell r="H691">
            <v>0</v>
          </cell>
          <cell r="I691">
            <v>0</v>
          </cell>
          <cell r="J691">
            <v>1903</v>
          </cell>
        </row>
        <row r="692">
          <cell r="A692" t="str">
            <v>6229576034</v>
          </cell>
          <cell r="B692">
            <v>62295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6229576050</v>
          </cell>
          <cell r="B693">
            <v>62295</v>
          </cell>
          <cell r="C693">
            <v>76050</v>
          </cell>
          <cell r="D693" t="str">
            <v>Cleaning Expense</v>
          </cell>
          <cell r="E693">
            <v>7760</v>
          </cell>
          <cell r="F693">
            <v>7500</v>
          </cell>
          <cell r="G693">
            <v>260</v>
          </cell>
          <cell r="H693">
            <v>3.4700000000000002E-2</v>
          </cell>
          <cell r="I693">
            <v>7500</v>
          </cell>
          <cell r="J693">
            <v>260</v>
          </cell>
        </row>
        <row r="694">
          <cell r="A694" t="str">
            <v>6229576056</v>
          </cell>
          <cell r="B694">
            <v>62295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6229576070</v>
          </cell>
          <cell r="B695">
            <v>62295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6229576091</v>
          </cell>
          <cell r="B696">
            <v>62295</v>
          </cell>
          <cell r="C696">
            <v>76091</v>
          </cell>
          <cell r="D696" t="str">
            <v>Parking Maintenance</v>
          </cell>
          <cell r="E696">
            <v>3464</v>
          </cell>
          <cell r="F696">
            <v>3043</v>
          </cell>
          <cell r="G696">
            <v>421</v>
          </cell>
          <cell r="H696">
            <v>0.1384</v>
          </cell>
          <cell r="I696">
            <v>3043</v>
          </cell>
          <cell r="J696">
            <v>421</v>
          </cell>
        </row>
        <row r="697">
          <cell r="A697" t="str">
            <v>6229577000</v>
          </cell>
          <cell r="B697">
            <v>62295</v>
          </cell>
          <cell r="C697">
            <v>77000</v>
          </cell>
          <cell r="D697" t="str">
            <v>Grounds Maintenance</v>
          </cell>
          <cell r="E697">
            <v>1162.02</v>
          </cell>
          <cell r="F697">
            <v>14519.08</v>
          </cell>
          <cell r="G697">
            <v>-13357.06</v>
          </cell>
          <cell r="H697">
            <v>-0.92</v>
          </cell>
          <cell r="I697">
            <v>14519.08</v>
          </cell>
          <cell r="J697">
            <v>-13357.06</v>
          </cell>
        </row>
        <row r="698">
          <cell r="A698" t="str">
            <v>6229577053</v>
          </cell>
          <cell r="B698">
            <v>62295</v>
          </cell>
          <cell r="C698">
            <v>77053</v>
          </cell>
          <cell r="D698" t="str">
            <v>Landscaping</v>
          </cell>
          <cell r="E698">
            <v>2575</v>
          </cell>
          <cell r="F698">
            <v>4395</v>
          </cell>
          <cell r="G698">
            <v>-1820</v>
          </cell>
          <cell r="H698">
            <v>-0.41410000000000002</v>
          </cell>
          <cell r="I698">
            <v>4395</v>
          </cell>
          <cell r="J698">
            <v>-1820</v>
          </cell>
        </row>
        <row r="699">
          <cell r="A699" t="str">
            <v>6229578020</v>
          </cell>
          <cell r="B699">
            <v>62295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1680.67</v>
          </cell>
          <cell r="G699">
            <v>-1680.67</v>
          </cell>
          <cell r="H699">
            <v>0</v>
          </cell>
          <cell r="I699">
            <v>1680.67</v>
          </cell>
          <cell r="J699">
            <v>-1680.67</v>
          </cell>
        </row>
        <row r="700">
          <cell r="A700" t="str">
            <v>6229584264</v>
          </cell>
          <cell r="B700">
            <v>62295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6229585555</v>
          </cell>
          <cell r="B701">
            <v>62295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6229585584</v>
          </cell>
          <cell r="B702">
            <v>62295</v>
          </cell>
          <cell r="C702">
            <v>85584</v>
          </cell>
          <cell r="D702" t="str">
            <v>Bldg Admin-Office Costs</v>
          </cell>
          <cell r="E702">
            <v>1208.1099999999999</v>
          </cell>
          <cell r="F702">
            <v>873</v>
          </cell>
          <cell r="G702">
            <v>335.11</v>
          </cell>
          <cell r="H702">
            <v>0.38390000000000002</v>
          </cell>
          <cell r="I702">
            <v>873</v>
          </cell>
          <cell r="J702">
            <v>335.11</v>
          </cell>
        </row>
        <row r="703">
          <cell r="A703" t="str">
            <v>6229585582</v>
          </cell>
          <cell r="B703">
            <v>62295</v>
          </cell>
          <cell r="C703">
            <v>85582</v>
          </cell>
          <cell r="D703" t="str">
            <v>Bldg Admin-Salaries</v>
          </cell>
          <cell r="E703">
            <v>6031.18</v>
          </cell>
          <cell r="F703">
            <v>5877.75</v>
          </cell>
          <cell r="G703">
            <v>153.43</v>
          </cell>
          <cell r="H703">
            <v>2.6100000000000002E-2</v>
          </cell>
          <cell r="I703">
            <v>5877.75</v>
          </cell>
          <cell r="J703">
            <v>153.43</v>
          </cell>
        </row>
        <row r="704">
          <cell r="A704" t="str">
            <v>6229586564</v>
          </cell>
          <cell r="B704">
            <v>62295</v>
          </cell>
          <cell r="C704">
            <v>86564</v>
          </cell>
          <cell r="D704" t="str">
            <v>Insurance</v>
          </cell>
          <cell r="E704">
            <v>5109</v>
          </cell>
          <cell r="F704">
            <v>5108.59</v>
          </cell>
          <cell r="G704">
            <v>0.40999999999985398</v>
          </cell>
          <cell r="H704">
            <v>1E-4</v>
          </cell>
          <cell r="I704">
            <v>5108.59</v>
          </cell>
          <cell r="J704">
            <v>0.40999999999985398</v>
          </cell>
        </row>
        <row r="705">
          <cell r="A705" t="str">
            <v>6229588846</v>
          </cell>
          <cell r="B705">
            <v>62295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6229588890</v>
          </cell>
          <cell r="B706">
            <v>62295</v>
          </cell>
          <cell r="C706">
            <v>88890</v>
          </cell>
          <cell r="D706" t="str">
            <v>Security/Safety</v>
          </cell>
          <cell r="E706">
            <v>2388.06</v>
          </cell>
          <cell r="F706">
            <v>4550</v>
          </cell>
          <cell r="G706">
            <v>-2161.94</v>
          </cell>
          <cell r="H706">
            <v>-0.47520000000000001</v>
          </cell>
          <cell r="I706">
            <v>4550</v>
          </cell>
          <cell r="J706">
            <v>-2161.94</v>
          </cell>
        </row>
        <row r="707">
          <cell r="A707" t="str">
            <v>6229589775</v>
          </cell>
          <cell r="B707">
            <v>62295</v>
          </cell>
          <cell r="C707">
            <v>89775</v>
          </cell>
          <cell r="D707" t="str">
            <v>Assmt Dist Taxes- Reimb</v>
          </cell>
          <cell r="E707">
            <v>4306</v>
          </cell>
          <cell r="F707">
            <v>4306.33</v>
          </cell>
          <cell r="G707">
            <v>-0.32999999999992702</v>
          </cell>
          <cell r="H707">
            <v>-1E-4</v>
          </cell>
          <cell r="I707">
            <v>4306.33</v>
          </cell>
          <cell r="J707">
            <v>-0.32999999999992702</v>
          </cell>
        </row>
        <row r="708">
          <cell r="A708" t="str">
            <v>6229589729</v>
          </cell>
          <cell r="B708">
            <v>62295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6229589786</v>
          </cell>
          <cell r="B709">
            <v>62295</v>
          </cell>
          <cell r="C709">
            <v>89786</v>
          </cell>
          <cell r="D709" t="str">
            <v>Property Tax Exp</v>
          </cell>
          <cell r="E709">
            <v>13045</v>
          </cell>
          <cell r="F709">
            <v>13045.25</v>
          </cell>
          <cell r="G709">
            <v>-0.25</v>
          </cell>
          <cell r="H709">
            <v>0</v>
          </cell>
          <cell r="I709">
            <v>13045.25</v>
          </cell>
          <cell r="J709">
            <v>-0.25</v>
          </cell>
        </row>
        <row r="710">
          <cell r="A710" t="str">
            <v>6229571040</v>
          </cell>
          <cell r="B710">
            <v>62295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6229572701</v>
          </cell>
          <cell r="B711">
            <v>62295</v>
          </cell>
          <cell r="C711">
            <v>72701</v>
          </cell>
          <cell r="D711" t="str">
            <v>Utilities</v>
          </cell>
          <cell r="E711">
            <v>0</v>
          </cell>
          <cell r="F711">
            <v>12.5</v>
          </cell>
          <cell r="G711">
            <v>-12.5</v>
          </cell>
          <cell r="H711">
            <v>0</v>
          </cell>
          <cell r="I711">
            <v>12.5</v>
          </cell>
          <cell r="J711">
            <v>-12.5</v>
          </cell>
        </row>
        <row r="712">
          <cell r="A712" t="str">
            <v>6229572855</v>
          </cell>
          <cell r="B712">
            <v>62295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6229572870</v>
          </cell>
          <cell r="B713">
            <v>62295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6229576010</v>
          </cell>
          <cell r="B714">
            <v>62295</v>
          </cell>
          <cell r="C714">
            <v>76010</v>
          </cell>
          <cell r="D714" t="str">
            <v>Tenant Alterations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6229576040</v>
          </cell>
          <cell r="B715">
            <v>62295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6229576051</v>
          </cell>
          <cell r="B716">
            <v>62295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6229576054</v>
          </cell>
          <cell r="B717">
            <v>62295</v>
          </cell>
          <cell r="C717">
            <v>76054</v>
          </cell>
          <cell r="D717" t="str">
            <v>Bldg Maintenance &amp; Repair</v>
          </cell>
          <cell r="E717">
            <v>183.18</v>
          </cell>
          <cell r="F717">
            <v>0</v>
          </cell>
          <cell r="G717">
            <v>183.18</v>
          </cell>
          <cell r="H717">
            <v>0</v>
          </cell>
          <cell r="I717">
            <v>0</v>
          </cell>
          <cell r="J717">
            <v>183.18</v>
          </cell>
        </row>
        <row r="718">
          <cell r="A718" t="str">
            <v>6229576060</v>
          </cell>
          <cell r="B718">
            <v>62295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6229576071</v>
          </cell>
          <cell r="B719">
            <v>62295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6229576090</v>
          </cell>
          <cell r="B720">
            <v>62295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6229577001</v>
          </cell>
          <cell r="B721">
            <v>62295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6229577022</v>
          </cell>
          <cell r="B722">
            <v>62295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6229584200</v>
          </cell>
          <cell r="B723">
            <v>62295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6229584240</v>
          </cell>
          <cell r="B724">
            <v>62295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</row>
        <row r="725">
          <cell r="A725" t="str">
            <v>6229584242</v>
          </cell>
          <cell r="B725">
            <v>62295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6229584243</v>
          </cell>
          <cell r="B726">
            <v>62295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6229584244</v>
          </cell>
          <cell r="B727">
            <v>62295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6229584265</v>
          </cell>
          <cell r="B728">
            <v>62295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6229588037</v>
          </cell>
          <cell r="B729">
            <v>62295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6229585016</v>
          </cell>
          <cell r="B730">
            <v>62295</v>
          </cell>
          <cell r="C730">
            <v>85016</v>
          </cell>
          <cell r="D730" t="str">
            <v>Prof Svc-Attorney Outside</v>
          </cell>
          <cell r="E730">
            <v>597.5</v>
          </cell>
          <cell r="F730">
            <v>0</v>
          </cell>
          <cell r="G730">
            <v>597.5</v>
          </cell>
          <cell r="H730">
            <v>0</v>
          </cell>
          <cell r="I730">
            <v>0</v>
          </cell>
          <cell r="J730">
            <v>597.5</v>
          </cell>
        </row>
        <row r="731">
          <cell r="A731" t="str">
            <v>6229585022</v>
          </cell>
          <cell r="B731">
            <v>62295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</row>
        <row r="732">
          <cell r="A732" t="str">
            <v>6229585065</v>
          </cell>
          <cell r="B732">
            <v>62295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6229585500</v>
          </cell>
          <cell r="B733">
            <v>62295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</row>
        <row r="734">
          <cell r="A734" t="str">
            <v>6229585566</v>
          </cell>
          <cell r="B734">
            <v>62295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6229585581</v>
          </cell>
          <cell r="B735">
            <v>62295</v>
          </cell>
          <cell r="C735">
            <v>85581</v>
          </cell>
          <cell r="D735" t="str">
            <v>Bldg Admin- Salaries</v>
          </cell>
          <cell r="E735">
            <v>3281.76</v>
          </cell>
          <cell r="F735">
            <v>3513</v>
          </cell>
          <cell r="G735">
            <v>-231.24</v>
          </cell>
          <cell r="H735">
            <v>-6.5799999999999997E-2</v>
          </cell>
          <cell r="I735">
            <v>3513</v>
          </cell>
          <cell r="J735">
            <v>-231.24</v>
          </cell>
        </row>
        <row r="736">
          <cell r="A736" t="str">
            <v>6229585583</v>
          </cell>
          <cell r="B736">
            <v>62295</v>
          </cell>
          <cell r="C736">
            <v>85583</v>
          </cell>
          <cell r="D736" t="str">
            <v>Bldg Admin-Office Exp.</v>
          </cell>
          <cell r="E736">
            <v>748.59</v>
          </cell>
          <cell r="F736">
            <v>509.5</v>
          </cell>
          <cell r="G736">
            <v>239.09</v>
          </cell>
          <cell r="H736">
            <v>0.46929999999999999</v>
          </cell>
          <cell r="I736">
            <v>509.5</v>
          </cell>
          <cell r="J736">
            <v>239.09</v>
          </cell>
        </row>
        <row r="737">
          <cell r="A737" t="str">
            <v>6229585530</v>
          </cell>
          <cell r="B737">
            <v>62295</v>
          </cell>
          <cell r="C737">
            <v>85530</v>
          </cell>
          <cell r="D737" t="str">
            <v>Bldg Admin - Office Exp</v>
          </cell>
          <cell r="E737">
            <v>748.59</v>
          </cell>
          <cell r="F737">
            <v>509.5</v>
          </cell>
          <cell r="G737">
            <v>239.09</v>
          </cell>
          <cell r="H737">
            <v>0.46929999999999999</v>
          </cell>
          <cell r="I737">
            <v>509.5</v>
          </cell>
          <cell r="J737">
            <v>239.09</v>
          </cell>
        </row>
        <row r="738">
          <cell r="A738" t="str">
            <v>6229586012</v>
          </cell>
          <cell r="B738">
            <v>62295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6229586037</v>
          </cell>
          <cell r="B739">
            <v>62295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6229583050</v>
          </cell>
          <cell r="B740">
            <v>62295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6229586510</v>
          </cell>
          <cell r="B741">
            <v>62295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6229586537</v>
          </cell>
          <cell r="B742">
            <v>62295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6229586566</v>
          </cell>
          <cell r="B743">
            <v>62295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6229586955</v>
          </cell>
          <cell r="B744">
            <v>62295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6229586985</v>
          </cell>
          <cell r="B745">
            <v>62295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6229586880</v>
          </cell>
          <cell r="B746">
            <v>62295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6229588710</v>
          </cell>
          <cell r="B747">
            <v>62295</v>
          </cell>
          <cell r="C747">
            <v>88710</v>
          </cell>
          <cell r="D747" t="str">
            <v>Losses-Bad Debts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</row>
        <row r="748">
          <cell r="A748" t="str">
            <v>6229588711</v>
          </cell>
          <cell r="B748">
            <v>62295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6229588785</v>
          </cell>
          <cell r="B749">
            <v>62295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6229588847</v>
          </cell>
          <cell r="B750">
            <v>62295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6229588866</v>
          </cell>
          <cell r="B751">
            <v>62295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6229588870</v>
          </cell>
          <cell r="B752">
            <v>62295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6229588889</v>
          </cell>
          <cell r="B753">
            <v>62295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6229589776</v>
          </cell>
          <cell r="B754">
            <v>62295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6229589787</v>
          </cell>
          <cell r="B755">
            <v>62295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6229589510</v>
          </cell>
          <cell r="B756">
            <v>62295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6229589511</v>
          </cell>
          <cell r="B757">
            <v>62295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6229589512</v>
          </cell>
          <cell r="B758">
            <v>62295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6229589528</v>
          </cell>
          <cell r="B759">
            <v>62295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6229589529</v>
          </cell>
          <cell r="B760">
            <v>62295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6229589567</v>
          </cell>
          <cell r="B761">
            <v>62295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6229585058</v>
          </cell>
          <cell r="B762">
            <v>62295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6229586513</v>
          </cell>
          <cell r="B763">
            <v>62295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</row>
        <row r="764">
          <cell r="A764" t="str">
            <v>6229586519</v>
          </cell>
          <cell r="B764">
            <v>62295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6229588770</v>
          </cell>
          <cell r="B765">
            <v>62295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6229588862</v>
          </cell>
          <cell r="B766">
            <v>62295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6229588874</v>
          </cell>
          <cell r="B767">
            <v>62295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6229589910</v>
          </cell>
          <cell r="B768">
            <v>62295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1194.75</v>
          </cell>
          <cell r="G768">
            <v>-1194.75</v>
          </cell>
          <cell r="H768">
            <v>0</v>
          </cell>
          <cell r="I768">
            <v>1194.75</v>
          </cell>
          <cell r="J768">
            <v>-1194.75</v>
          </cell>
        </row>
        <row r="769">
          <cell r="A769" t="str">
            <v>6229589548</v>
          </cell>
          <cell r="B769">
            <v>62295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6262041010</v>
          </cell>
          <cell r="B770">
            <v>62620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6262041040</v>
          </cell>
          <cell r="B771">
            <v>62620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6262041050</v>
          </cell>
          <cell r="B772">
            <v>62620</v>
          </cell>
          <cell r="C772">
            <v>41050</v>
          </cell>
          <cell r="D772" t="str">
            <v>Rental Income - Fixed</v>
          </cell>
          <cell r="E772">
            <v>-45219.53</v>
          </cell>
          <cell r="F772">
            <v>-44729.25</v>
          </cell>
          <cell r="G772">
            <v>-490.27999999999901</v>
          </cell>
          <cell r="H772">
            <v>1.0999999999999999E-2</v>
          </cell>
          <cell r="I772">
            <v>-44729.25</v>
          </cell>
          <cell r="J772">
            <v>-490.27999999999901</v>
          </cell>
        </row>
        <row r="773">
          <cell r="A773" t="str">
            <v>6262041074</v>
          </cell>
          <cell r="B773">
            <v>62620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6262041082</v>
          </cell>
          <cell r="B774">
            <v>62620</v>
          </cell>
          <cell r="C774">
            <v>41082</v>
          </cell>
          <cell r="D774" t="str">
            <v>Rental Income - Operating Exp</v>
          </cell>
          <cell r="E774">
            <v>-14435.24</v>
          </cell>
          <cell r="F774">
            <v>-22157.42</v>
          </cell>
          <cell r="G774">
            <v>7722.18</v>
          </cell>
          <cell r="H774">
            <v>-0.34849999999999998</v>
          </cell>
          <cell r="I774">
            <v>-22157.42</v>
          </cell>
          <cell r="J774">
            <v>7722.18</v>
          </cell>
        </row>
        <row r="775">
          <cell r="A775" t="str">
            <v>6262044610</v>
          </cell>
          <cell r="B775">
            <v>62620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6262045071</v>
          </cell>
          <cell r="B776">
            <v>62620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6262045010</v>
          </cell>
          <cell r="B777">
            <v>62620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6262045046</v>
          </cell>
          <cell r="B778">
            <v>62620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6262045070</v>
          </cell>
          <cell r="B779">
            <v>62620</v>
          </cell>
          <cell r="C779">
            <v>45070</v>
          </cell>
          <cell r="D779" t="str">
            <v>Other Income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6262041060</v>
          </cell>
          <cell r="B780">
            <v>62620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6262044870</v>
          </cell>
          <cell r="B781">
            <v>62620</v>
          </cell>
          <cell r="C781">
            <v>44870</v>
          </cell>
          <cell r="D781" t="str">
            <v>Late Fees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6262052542</v>
          </cell>
          <cell r="B782">
            <v>62620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6262072710</v>
          </cell>
          <cell r="B783">
            <v>62620</v>
          </cell>
          <cell r="C783">
            <v>72710</v>
          </cell>
          <cell r="D783" t="str">
            <v>Utilities - Electricity</v>
          </cell>
          <cell r="E783">
            <v>2485.48</v>
          </cell>
          <cell r="F783">
            <v>2702</v>
          </cell>
          <cell r="G783">
            <v>-216.52</v>
          </cell>
          <cell r="H783">
            <v>-8.0100000000000005E-2</v>
          </cell>
          <cell r="I783">
            <v>2702</v>
          </cell>
          <cell r="J783">
            <v>-216.52</v>
          </cell>
        </row>
        <row r="784">
          <cell r="A784" t="str">
            <v>6262072740</v>
          </cell>
          <cell r="B784">
            <v>62620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6262072770</v>
          </cell>
          <cell r="B785">
            <v>62620</v>
          </cell>
          <cell r="C785">
            <v>72770</v>
          </cell>
          <cell r="D785" t="str">
            <v>Utilities - Water</v>
          </cell>
          <cell r="E785">
            <v>592.67999999999995</v>
          </cell>
          <cell r="F785">
            <v>367</v>
          </cell>
          <cell r="G785">
            <v>225.68</v>
          </cell>
          <cell r="H785">
            <v>0.6149</v>
          </cell>
          <cell r="I785">
            <v>367</v>
          </cell>
          <cell r="J785">
            <v>225.68</v>
          </cell>
        </row>
        <row r="786">
          <cell r="A786" t="str">
            <v>6262076000</v>
          </cell>
          <cell r="B786">
            <v>62620</v>
          </cell>
          <cell r="C786">
            <v>76000</v>
          </cell>
          <cell r="D786" t="str">
            <v>Bldg Maintenance &amp; Repair</v>
          </cell>
          <cell r="E786">
            <v>1141.97</v>
          </cell>
          <cell r="F786">
            <v>3699.25</v>
          </cell>
          <cell r="G786">
            <v>-2557.2800000000002</v>
          </cell>
          <cell r="H786">
            <v>-0.69130000000000003</v>
          </cell>
          <cell r="I786">
            <v>3699.25</v>
          </cell>
          <cell r="J786">
            <v>-2557.2800000000002</v>
          </cell>
        </row>
        <row r="787">
          <cell r="A787" t="str">
            <v>6262076020</v>
          </cell>
          <cell r="B787">
            <v>62620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6262076034</v>
          </cell>
          <cell r="B788">
            <v>62620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6262076050</v>
          </cell>
          <cell r="B789">
            <v>62620</v>
          </cell>
          <cell r="C789">
            <v>76050</v>
          </cell>
          <cell r="D789" t="str">
            <v>Cleaning Expense</v>
          </cell>
          <cell r="E789">
            <v>2960.01</v>
          </cell>
          <cell r="F789">
            <v>2233</v>
          </cell>
          <cell r="G789">
            <v>727.01</v>
          </cell>
          <cell r="H789">
            <v>0.3256</v>
          </cell>
          <cell r="I789">
            <v>2233</v>
          </cell>
          <cell r="J789">
            <v>727.01</v>
          </cell>
        </row>
        <row r="790">
          <cell r="A790" t="str">
            <v>6262076056</v>
          </cell>
          <cell r="B790">
            <v>62620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6262076070</v>
          </cell>
          <cell r="B791">
            <v>62620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6262076091</v>
          </cell>
          <cell r="B792">
            <v>62620</v>
          </cell>
          <cell r="C792">
            <v>76091</v>
          </cell>
          <cell r="D792" t="str">
            <v>Parking Maintenance</v>
          </cell>
          <cell r="E792">
            <v>1050</v>
          </cell>
          <cell r="F792">
            <v>1198</v>
          </cell>
          <cell r="G792">
            <v>-148</v>
          </cell>
          <cell r="H792">
            <v>-0.1235</v>
          </cell>
          <cell r="I792">
            <v>1198</v>
          </cell>
          <cell r="J792">
            <v>-148</v>
          </cell>
        </row>
        <row r="793">
          <cell r="A793" t="str">
            <v>6262077000</v>
          </cell>
          <cell r="B793">
            <v>62620</v>
          </cell>
          <cell r="C793">
            <v>77000</v>
          </cell>
          <cell r="D793" t="str">
            <v>Grounds Maintenance</v>
          </cell>
          <cell r="E793">
            <v>-157.5</v>
          </cell>
          <cell r="F793">
            <v>1034.42</v>
          </cell>
          <cell r="G793">
            <v>-1191.92</v>
          </cell>
          <cell r="H793">
            <v>-1.1523000000000001</v>
          </cell>
          <cell r="I793">
            <v>1034.42</v>
          </cell>
          <cell r="J793">
            <v>-1191.92</v>
          </cell>
        </row>
        <row r="794">
          <cell r="A794" t="str">
            <v>6262077053</v>
          </cell>
          <cell r="B794">
            <v>62620</v>
          </cell>
          <cell r="C794">
            <v>77053</v>
          </cell>
          <cell r="D794" t="str">
            <v>Landscaping</v>
          </cell>
          <cell r="E794">
            <v>1470</v>
          </cell>
          <cell r="F794">
            <v>1735</v>
          </cell>
          <cell r="G794">
            <v>-265</v>
          </cell>
          <cell r="H794">
            <v>-0.1527</v>
          </cell>
          <cell r="I794">
            <v>1735</v>
          </cell>
          <cell r="J794">
            <v>-265</v>
          </cell>
        </row>
        <row r="795">
          <cell r="A795" t="str">
            <v>6262078020</v>
          </cell>
          <cell r="B795">
            <v>62620</v>
          </cell>
          <cell r="C795">
            <v>78020</v>
          </cell>
          <cell r="D795" t="str">
            <v>Amortized CAM Exp</v>
          </cell>
          <cell r="E795">
            <v>1388.89</v>
          </cell>
          <cell r="F795">
            <v>1388.92</v>
          </cell>
          <cell r="G795">
            <v>-2.9999999999972701E-2</v>
          </cell>
          <cell r="H795">
            <v>0</v>
          </cell>
          <cell r="I795">
            <v>1388.92</v>
          </cell>
          <cell r="J795">
            <v>-2.9999999999972701E-2</v>
          </cell>
        </row>
        <row r="796">
          <cell r="A796" t="str">
            <v>6262084264</v>
          </cell>
          <cell r="B796">
            <v>62620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6262085555</v>
          </cell>
          <cell r="B797">
            <v>62620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6262085584</v>
          </cell>
          <cell r="B798">
            <v>62620</v>
          </cell>
          <cell r="C798">
            <v>85584</v>
          </cell>
          <cell r="D798" t="str">
            <v>Bldg Admin-Office Costs</v>
          </cell>
          <cell r="E798">
            <v>160.04</v>
          </cell>
          <cell r="F798">
            <v>116</v>
          </cell>
          <cell r="G798">
            <v>44.04</v>
          </cell>
          <cell r="H798">
            <v>0.37969999999999998</v>
          </cell>
          <cell r="I798">
            <v>116</v>
          </cell>
          <cell r="J798">
            <v>44.04</v>
          </cell>
        </row>
        <row r="799">
          <cell r="A799" t="str">
            <v>6262085582</v>
          </cell>
          <cell r="B799">
            <v>62620</v>
          </cell>
          <cell r="C799">
            <v>85582</v>
          </cell>
          <cell r="D799" t="str">
            <v>Bldg Admin-Salaries</v>
          </cell>
          <cell r="E799">
            <v>798.33</v>
          </cell>
          <cell r="F799">
            <v>778.67</v>
          </cell>
          <cell r="G799">
            <v>19.6600000000001</v>
          </cell>
          <cell r="H799">
            <v>2.52E-2</v>
          </cell>
          <cell r="I799">
            <v>778.67</v>
          </cell>
          <cell r="J799">
            <v>19.6600000000001</v>
          </cell>
        </row>
        <row r="800">
          <cell r="A800" t="str">
            <v>6262086564</v>
          </cell>
          <cell r="B800">
            <v>62620</v>
          </cell>
          <cell r="C800">
            <v>86564</v>
          </cell>
          <cell r="D800" t="str">
            <v>Insurance</v>
          </cell>
          <cell r="E800">
            <v>845</v>
          </cell>
          <cell r="F800">
            <v>844</v>
          </cell>
          <cell r="G800">
            <v>1</v>
          </cell>
          <cell r="H800">
            <v>1.1999999999999999E-3</v>
          </cell>
          <cell r="I800">
            <v>844</v>
          </cell>
          <cell r="J800">
            <v>1</v>
          </cell>
        </row>
        <row r="801">
          <cell r="A801" t="str">
            <v>6262088846</v>
          </cell>
          <cell r="B801">
            <v>62620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6262088890</v>
          </cell>
          <cell r="B802">
            <v>62620</v>
          </cell>
          <cell r="C802">
            <v>88890</v>
          </cell>
          <cell r="D802" t="str">
            <v>Security/Safety</v>
          </cell>
          <cell r="E802">
            <v>391.82</v>
          </cell>
          <cell r="F802">
            <v>1100</v>
          </cell>
          <cell r="G802">
            <v>-708.18</v>
          </cell>
          <cell r="H802">
            <v>-0.64380000000000004</v>
          </cell>
          <cell r="I802">
            <v>1100</v>
          </cell>
          <cell r="J802">
            <v>-708.18</v>
          </cell>
        </row>
        <row r="803">
          <cell r="A803" t="str">
            <v>6262089775</v>
          </cell>
          <cell r="B803">
            <v>62620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6262089729</v>
          </cell>
          <cell r="B804">
            <v>62620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6262089786</v>
          </cell>
          <cell r="B805">
            <v>62620</v>
          </cell>
          <cell r="C805">
            <v>89786</v>
          </cell>
          <cell r="D805" t="str">
            <v>Property Tax Exp</v>
          </cell>
          <cell r="E805">
            <v>4457</v>
          </cell>
          <cell r="F805">
            <v>4457.25</v>
          </cell>
          <cell r="G805">
            <v>-0.25</v>
          </cell>
          <cell r="H805">
            <v>-1E-4</v>
          </cell>
          <cell r="I805">
            <v>4457.25</v>
          </cell>
          <cell r="J805">
            <v>-0.25</v>
          </cell>
        </row>
        <row r="806">
          <cell r="A806" t="str">
            <v>6262071040</v>
          </cell>
          <cell r="B806">
            <v>62620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6262072701</v>
          </cell>
          <cell r="B807">
            <v>62620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6262072855</v>
          </cell>
          <cell r="B808">
            <v>62620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</row>
        <row r="809">
          <cell r="A809" t="str">
            <v>6262072870</v>
          </cell>
          <cell r="B809">
            <v>62620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6262076010</v>
          </cell>
          <cell r="B810">
            <v>62620</v>
          </cell>
          <cell r="C810">
            <v>76010</v>
          </cell>
          <cell r="D810" t="str">
            <v>Tenant Alterations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6262076040</v>
          </cell>
          <cell r="B811">
            <v>62620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6262076051</v>
          </cell>
          <cell r="B812">
            <v>62620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6262076054</v>
          </cell>
          <cell r="B813">
            <v>62620</v>
          </cell>
          <cell r="C813">
            <v>76054</v>
          </cell>
          <cell r="D813" t="str">
            <v>Bldg Maintenance &amp; Repair</v>
          </cell>
          <cell r="E813">
            <v>4.29</v>
          </cell>
          <cell r="F813">
            <v>125</v>
          </cell>
          <cell r="G813">
            <v>-120.71</v>
          </cell>
          <cell r="H813">
            <v>-0.9657</v>
          </cell>
          <cell r="I813">
            <v>125</v>
          </cell>
          <cell r="J813">
            <v>-120.71</v>
          </cell>
        </row>
        <row r="814">
          <cell r="A814" t="str">
            <v>6262076060</v>
          </cell>
          <cell r="B814">
            <v>62620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6262076071</v>
          </cell>
          <cell r="B815">
            <v>62620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6262076090</v>
          </cell>
          <cell r="B816">
            <v>62620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6262077001</v>
          </cell>
          <cell r="B817">
            <v>62620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6262077022</v>
          </cell>
          <cell r="B818">
            <v>62620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6262084200</v>
          </cell>
          <cell r="B819">
            <v>62620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6262084240</v>
          </cell>
          <cell r="B820">
            <v>62620</v>
          </cell>
          <cell r="C820">
            <v>84240</v>
          </cell>
          <cell r="D820" t="str">
            <v>Marketing Leasing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6262084242</v>
          </cell>
          <cell r="B821">
            <v>62620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6262084243</v>
          </cell>
          <cell r="B822">
            <v>62620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6262084244</v>
          </cell>
          <cell r="B823">
            <v>62620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6262084265</v>
          </cell>
          <cell r="B824">
            <v>62620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6262088037</v>
          </cell>
          <cell r="B825">
            <v>62620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6262085016</v>
          </cell>
          <cell r="B826">
            <v>62620</v>
          </cell>
          <cell r="C826">
            <v>85016</v>
          </cell>
          <cell r="D826" t="str">
            <v>Prof Svc-Attorney Outside</v>
          </cell>
          <cell r="E826">
            <v>0</v>
          </cell>
          <cell r="F826">
            <v>1500</v>
          </cell>
          <cell r="G826">
            <v>-1500</v>
          </cell>
          <cell r="H826">
            <v>0</v>
          </cell>
          <cell r="I826">
            <v>1500</v>
          </cell>
          <cell r="J826">
            <v>-1500</v>
          </cell>
        </row>
        <row r="827">
          <cell r="A827" t="str">
            <v>6262085022</v>
          </cell>
          <cell r="B827">
            <v>62620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</row>
        <row r="828">
          <cell r="A828" t="str">
            <v>6262085065</v>
          </cell>
          <cell r="B828">
            <v>62620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6262085500</v>
          </cell>
          <cell r="B829">
            <v>62620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6262085566</v>
          </cell>
          <cell r="B830">
            <v>62620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6262085581</v>
          </cell>
          <cell r="B831">
            <v>62620</v>
          </cell>
          <cell r="C831">
            <v>85581</v>
          </cell>
          <cell r="D831" t="str">
            <v>Bldg Admin- Salaries</v>
          </cell>
          <cell r="E831">
            <v>434.39</v>
          </cell>
          <cell r="F831">
            <v>465.42</v>
          </cell>
          <cell r="G831">
            <v>-31.03</v>
          </cell>
          <cell r="H831">
            <v>-6.6699999999999995E-2</v>
          </cell>
          <cell r="I831">
            <v>465.42</v>
          </cell>
          <cell r="J831">
            <v>-31.03</v>
          </cell>
        </row>
        <row r="832">
          <cell r="A832" t="str">
            <v>6262085583</v>
          </cell>
          <cell r="B832">
            <v>62620</v>
          </cell>
          <cell r="C832">
            <v>85583</v>
          </cell>
          <cell r="D832" t="str">
            <v>Bldg Admin-Office Exp.</v>
          </cell>
          <cell r="E832">
            <v>99.18</v>
          </cell>
          <cell r="F832">
            <v>67.5</v>
          </cell>
          <cell r="G832">
            <v>31.68</v>
          </cell>
          <cell r="H832">
            <v>0.46929999999999999</v>
          </cell>
          <cell r="I832">
            <v>67.5</v>
          </cell>
          <cell r="J832">
            <v>31.68</v>
          </cell>
        </row>
        <row r="833">
          <cell r="A833" t="str">
            <v>6262085530</v>
          </cell>
          <cell r="B833">
            <v>62620</v>
          </cell>
          <cell r="C833">
            <v>85530</v>
          </cell>
          <cell r="D833" t="str">
            <v>Bldg Admin - Office Exp</v>
          </cell>
          <cell r="E833">
            <v>99.18</v>
          </cell>
          <cell r="F833">
            <v>67.5</v>
          </cell>
          <cell r="G833">
            <v>31.68</v>
          </cell>
          <cell r="H833">
            <v>0.46929999999999999</v>
          </cell>
          <cell r="I833">
            <v>67.5</v>
          </cell>
          <cell r="J833">
            <v>31.68</v>
          </cell>
        </row>
        <row r="834">
          <cell r="A834" t="str">
            <v>6262086012</v>
          </cell>
          <cell r="B834">
            <v>62620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6262086037</v>
          </cell>
          <cell r="B835">
            <v>62620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6262083050</v>
          </cell>
          <cell r="B836">
            <v>62620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6262086510</v>
          </cell>
          <cell r="B837">
            <v>62620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6262086537</v>
          </cell>
          <cell r="B838">
            <v>62620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6262086566</v>
          </cell>
          <cell r="B839">
            <v>62620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6262086955</v>
          </cell>
          <cell r="B840">
            <v>62620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6262086985</v>
          </cell>
          <cell r="B841">
            <v>62620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6262086880</v>
          </cell>
          <cell r="B842">
            <v>62620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6262088710</v>
          </cell>
          <cell r="B843">
            <v>62620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6262088711</v>
          </cell>
          <cell r="B844">
            <v>62620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6262088785</v>
          </cell>
          <cell r="B845">
            <v>62620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6262088847</v>
          </cell>
          <cell r="B846">
            <v>62620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6262088866</v>
          </cell>
          <cell r="B847">
            <v>62620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6262088870</v>
          </cell>
          <cell r="B848">
            <v>62620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6262088889</v>
          </cell>
          <cell r="B849">
            <v>62620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6262089776</v>
          </cell>
          <cell r="B850">
            <v>62620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6262089787</v>
          </cell>
          <cell r="B851">
            <v>62620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6262089510</v>
          </cell>
          <cell r="B852">
            <v>62620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6262089511</v>
          </cell>
          <cell r="B853">
            <v>62620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6262089512</v>
          </cell>
          <cell r="B854">
            <v>62620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6262089528</v>
          </cell>
          <cell r="B855">
            <v>62620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6262089529</v>
          </cell>
          <cell r="B856">
            <v>62620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6262089567</v>
          </cell>
          <cell r="B857">
            <v>62620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6262085058</v>
          </cell>
          <cell r="B858">
            <v>62620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6262086513</v>
          </cell>
          <cell r="B859">
            <v>62620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36.159999999999997</v>
          </cell>
          <cell r="G859">
            <v>-36.159999999999997</v>
          </cell>
          <cell r="H859">
            <v>0</v>
          </cell>
          <cell r="I859">
            <v>36.159999999999997</v>
          </cell>
          <cell r="J859">
            <v>-36.159999999999997</v>
          </cell>
        </row>
        <row r="860">
          <cell r="A860" t="str">
            <v>6262086519</v>
          </cell>
          <cell r="B860">
            <v>62620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6262088770</v>
          </cell>
          <cell r="B861">
            <v>62620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6262088862</v>
          </cell>
          <cell r="B862">
            <v>62620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6262088874</v>
          </cell>
          <cell r="B863">
            <v>62620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6262089910</v>
          </cell>
          <cell r="B864">
            <v>62620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57.55</v>
          </cell>
          <cell r="G864">
            <v>-57.55</v>
          </cell>
          <cell r="H864">
            <v>0</v>
          </cell>
          <cell r="I864">
            <v>57.55</v>
          </cell>
          <cell r="J864">
            <v>-57.55</v>
          </cell>
        </row>
        <row r="865">
          <cell r="B865">
            <v>62620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on tech"/>
      <sheetName val="Commons"/>
      <sheetName val="IHC"/>
      <sheetName val="Sand Canyon"/>
      <sheetName val="Quail Hill"/>
      <sheetName val="Walnut"/>
      <sheetName val="Culver"/>
      <sheetName val="Northpark"/>
      <sheetName val="Trabuco"/>
      <sheetName val="data"/>
    </sheetNames>
    <sheetDataSet>
      <sheetData sheetId="0"/>
      <sheetData sheetId="1">
        <row r="2">
          <cell r="C2" t="str">
            <v>The Commons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Ten Months Ended April 30,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62252</v>
          </cell>
          <cell r="C11" t="str">
            <v>The Commons</v>
          </cell>
        </row>
        <row r="13">
          <cell r="D13" t="str">
            <v>REVENUE</v>
          </cell>
        </row>
        <row r="14">
          <cell r="A14" t="str">
            <v>6225241050</v>
          </cell>
          <cell r="B14">
            <v>41050</v>
          </cell>
          <cell r="D14" t="str">
            <v>Rental Income - Fixed</v>
          </cell>
          <cell r="F14">
            <v>949278.99</v>
          </cell>
          <cell r="G14">
            <v>960307.22</v>
          </cell>
          <cell r="H14">
            <v>-11028.229999999981</v>
          </cell>
          <cell r="I14">
            <v>-1.1484064443460064E-2</v>
          </cell>
          <cell r="J14" t="str">
            <v>Positive variance due to Jackson Barne Grill ($6k), Philly' Sandwich &amp; Grill ($6k) and Promenade-New Class of Dancing ($21k).</v>
          </cell>
        </row>
        <row r="15">
          <cell r="A15" t="str">
            <v>6225241074</v>
          </cell>
          <cell r="B15">
            <v>41074</v>
          </cell>
          <cell r="D15" t="str">
            <v>Rental Income - Percentage</v>
          </cell>
          <cell r="F15">
            <v>0</v>
          </cell>
          <cell r="G15">
            <v>0</v>
          </cell>
          <cell r="H15">
            <v>0</v>
          </cell>
          <cell r="I15" t="str">
            <v>N/A</v>
          </cell>
        </row>
        <row r="16">
          <cell r="A16" t="str">
            <v>6225241082</v>
          </cell>
          <cell r="B16">
            <v>41082</v>
          </cell>
          <cell r="D16" t="str">
            <v>Rental Income - Operating Expense Recoveries</v>
          </cell>
          <cell r="F16">
            <v>306063.49</v>
          </cell>
          <cell r="G16">
            <v>320599.44</v>
          </cell>
          <cell r="H16">
            <v>-14535.950000000012</v>
          </cell>
          <cell r="I16">
            <v>-4.5339910762164808E-2</v>
          </cell>
          <cell r="J16" t="str">
            <v>Revenue reflects a projected recovery ratio of 112.8%.  Variance reflects timing of expenses</v>
          </cell>
        </row>
        <row r="17">
          <cell r="A17" t="str">
            <v>6225245071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6225245070</v>
          </cell>
          <cell r="B18">
            <v>45070</v>
          </cell>
          <cell r="D18" t="str">
            <v>Other Income</v>
          </cell>
          <cell r="F18">
            <v>-0.79</v>
          </cell>
          <cell r="G18">
            <v>0</v>
          </cell>
          <cell r="H18">
            <v>-0.79</v>
          </cell>
          <cell r="I18" t="str">
            <v>N/A</v>
          </cell>
        </row>
        <row r="19">
          <cell r="A19" t="str">
            <v>6225241060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0</v>
          </cell>
          <cell r="H19">
            <v>0</v>
          </cell>
          <cell r="I19" t="str">
            <v>N/A</v>
          </cell>
          <cell r="J19" t="str">
            <v>Budgeted vacancy will not be utilized.</v>
          </cell>
        </row>
        <row r="20">
          <cell r="A20" t="str">
            <v>6225244870</v>
          </cell>
          <cell r="B20">
            <v>44870</v>
          </cell>
          <cell r="D20" t="str">
            <v>Late Fees</v>
          </cell>
          <cell r="F20">
            <v>7755.43</v>
          </cell>
          <cell r="G20">
            <v>0</v>
          </cell>
          <cell r="H20">
            <v>7755.43</v>
          </cell>
          <cell r="I20" t="str">
            <v>N/A</v>
          </cell>
          <cell r="J20" t="str">
            <v>Late fees from Fukada, Nutri-sport, and Jackon Barne Grill.</v>
          </cell>
        </row>
        <row r="21">
          <cell r="D21" t="str">
            <v>TOTAL REVENUE</v>
          </cell>
          <cell r="F21">
            <v>1263097.1199999999</v>
          </cell>
          <cell r="G21">
            <v>1280906.6599999999</v>
          </cell>
          <cell r="H21">
            <v>-17809.539999999994</v>
          </cell>
          <cell r="I21">
            <v>-1.3903854633717022E-2</v>
          </cell>
        </row>
        <row r="23">
          <cell r="D23" t="str">
            <v>Exclusion to CAM True Up</v>
          </cell>
          <cell r="F23">
            <v>2200</v>
          </cell>
        </row>
        <row r="24">
          <cell r="D24" t="str">
            <v>CAM Rev Excluding PY, HVAC</v>
          </cell>
          <cell r="F24">
            <v>303863.49</v>
          </cell>
          <cell r="G24">
            <v>320599.44</v>
          </cell>
        </row>
        <row r="25">
          <cell r="D25" t="str">
            <v>CAM Recovery Ratio</v>
          </cell>
          <cell r="F25">
            <v>1.2087786972247418</v>
          </cell>
          <cell r="G25">
            <v>1.101936221497404</v>
          </cell>
          <cell r="H25">
            <v>0.10684247572733785</v>
          </cell>
          <cell r="I25">
            <v>9.695885627768118E-2</v>
          </cell>
        </row>
        <row r="27">
          <cell r="D27" t="str">
            <v>REIMBURSABLE EXPENSES</v>
          </cell>
        </row>
        <row r="28">
          <cell r="A28" t="str">
            <v>6225272710</v>
          </cell>
          <cell r="B28">
            <v>72710</v>
          </cell>
          <cell r="D28" t="str">
            <v>Utilities - Electricity</v>
          </cell>
          <cell r="F28">
            <v>7813.37</v>
          </cell>
          <cell r="G28">
            <v>8176</v>
          </cell>
          <cell r="H28">
            <v>362.63000000000011</v>
          </cell>
          <cell r="I28">
            <v>4.4352984344422711E-2</v>
          </cell>
        </row>
        <row r="29">
          <cell r="A29" t="str">
            <v>6225272740</v>
          </cell>
          <cell r="B29">
            <v>72740</v>
          </cell>
          <cell r="D29" t="str">
            <v>Utilities - Gas</v>
          </cell>
          <cell r="F29">
            <v>0</v>
          </cell>
          <cell r="G29">
            <v>0</v>
          </cell>
          <cell r="H29">
            <v>0</v>
          </cell>
          <cell r="I29" t="str">
            <v>N/A</v>
          </cell>
        </row>
        <row r="30">
          <cell r="A30" t="str">
            <v>6225272770</v>
          </cell>
          <cell r="B30">
            <v>72770</v>
          </cell>
          <cell r="D30" t="str">
            <v>Utilities - Water</v>
          </cell>
          <cell r="F30">
            <v>8168.74</v>
          </cell>
          <cell r="G30">
            <v>3800</v>
          </cell>
          <cell r="H30">
            <v>-4368.74</v>
          </cell>
          <cell r="I30">
            <v>-1.1496684210526316</v>
          </cell>
          <cell r="J30" t="str">
            <v>Favorable variance due to reduced irrigation during months of heavy rain.</v>
          </cell>
        </row>
        <row r="31">
          <cell r="A31" t="str">
            <v>6225276000</v>
          </cell>
          <cell r="B31">
            <v>76000</v>
          </cell>
          <cell r="D31" t="str">
            <v>Bldg Maintenance &amp; Repair</v>
          </cell>
          <cell r="F31">
            <v>17402.93</v>
          </cell>
          <cell r="G31">
            <v>37318.639999999999</v>
          </cell>
          <cell r="H31">
            <v>19915.71</v>
          </cell>
          <cell r="I31">
            <v>0.53366655376508898</v>
          </cell>
          <cell r="J31" t="str">
            <v>Variance is due unplanned electric repairs for temporary power for the holiday lighting ($2,495), and unanticipated roof leak repairs ($2,671).  Also included is $22k accrual for painting.</v>
          </cell>
        </row>
        <row r="32">
          <cell r="A32" t="str">
            <v>6225276050</v>
          </cell>
          <cell r="B32">
            <v>76050</v>
          </cell>
          <cell r="D32" t="str">
            <v>Cleaning Expense</v>
          </cell>
          <cell r="F32">
            <v>11319.79</v>
          </cell>
          <cell r="G32">
            <v>11218.64</v>
          </cell>
          <cell r="H32">
            <v>-101.15000000000146</v>
          </cell>
          <cell r="I32">
            <v>-9.0162443932599191E-3</v>
          </cell>
        </row>
        <row r="33">
          <cell r="A33" t="str">
            <v>6225276091</v>
          </cell>
          <cell r="B33">
            <v>76091</v>
          </cell>
          <cell r="D33" t="str">
            <v>Parking Maintenance</v>
          </cell>
          <cell r="F33">
            <v>10660.8</v>
          </cell>
          <cell r="G33">
            <v>9272</v>
          </cell>
          <cell r="H33">
            <v>-1388.7999999999993</v>
          </cell>
          <cell r="I33">
            <v>-0.14978429680759267</v>
          </cell>
        </row>
        <row r="34">
          <cell r="A34" t="str">
            <v>6225277000</v>
          </cell>
          <cell r="B34">
            <v>77000</v>
          </cell>
          <cell r="D34" t="str">
            <v>Grounds Maintenance</v>
          </cell>
          <cell r="F34">
            <v>16164.78</v>
          </cell>
          <cell r="G34">
            <v>21702</v>
          </cell>
          <cell r="H34">
            <v>5537.2199999999993</v>
          </cell>
          <cell r="I34">
            <v>0.25514791263478015</v>
          </cell>
          <cell r="J34" t="str">
            <v>Positive variance due to unused contingency in sign repair &amp; maintenance ($2k), miscellaneous repairs ($1.7k), common area seating ($1.4k). These will be spent by year end.</v>
          </cell>
        </row>
        <row r="35">
          <cell r="A35" t="str">
            <v>6225277053</v>
          </cell>
          <cell r="B35">
            <v>77053</v>
          </cell>
          <cell r="D35" t="str">
            <v>Landscaping</v>
          </cell>
          <cell r="F35">
            <v>20869.099999999999</v>
          </cell>
          <cell r="G35">
            <v>34630</v>
          </cell>
          <cell r="H35">
            <v>13760.900000000001</v>
          </cell>
          <cell r="I35">
            <v>0.39736933294831078</v>
          </cell>
          <cell r="J35" t="str">
            <v>Favorable variance due to unused contingency in plants/materials ($11.6k), irrigation repairs ($2k), tree trimming ($3.5k), and color replacements ($5k).  These will be spent by year end.</v>
          </cell>
        </row>
        <row r="36">
          <cell r="A36" t="str">
            <v>6225278020</v>
          </cell>
          <cell r="B36">
            <v>78020</v>
          </cell>
          <cell r="D36" t="str">
            <v>Amortized CAM Exp</v>
          </cell>
          <cell r="F36">
            <v>15628.32</v>
          </cell>
          <cell r="G36">
            <v>26666.639999999999</v>
          </cell>
          <cell r="H36">
            <v>11038.32</v>
          </cell>
          <cell r="I36">
            <v>0.41393741393741396</v>
          </cell>
          <cell r="J36" t="str">
            <v>Estimate for CAM parking lot seal/stripe and repairs increased from $55K to $77k to be amortized over 3 years.  Credit balance is due to prior year accelerated CAM of $22k.</v>
          </cell>
        </row>
        <row r="37">
          <cell r="A37" t="str">
            <v>6225285584</v>
          </cell>
          <cell r="B37">
            <v>85584</v>
          </cell>
          <cell r="D37" t="str">
            <v>Bldg Admin-Office Costs</v>
          </cell>
          <cell r="F37">
            <v>3251.39</v>
          </cell>
          <cell r="G37">
            <v>3096</v>
          </cell>
          <cell r="H37">
            <v>-155.38999999999987</v>
          </cell>
          <cell r="I37">
            <v>-5.0190568475452155E-2</v>
          </cell>
        </row>
        <row r="38">
          <cell r="A38" t="str">
            <v>6225285582</v>
          </cell>
          <cell r="B38">
            <v>85582</v>
          </cell>
          <cell r="D38" t="str">
            <v>Bldg Admin-Salaries</v>
          </cell>
          <cell r="F38">
            <v>21033.1</v>
          </cell>
          <cell r="G38">
            <v>20863.36</v>
          </cell>
          <cell r="H38">
            <v>-169.73999999999796</v>
          </cell>
          <cell r="I38">
            <v>-8.1357940427619502E-3</v>
          </cell>
          <cell r="J38" t="str">
            <v>Salaries are favorable due to timing of filling open positions created from property management transition.</v>
          </cell>
        </row>
        <row r="39">
          <cell r="A39" t="str">
            <v>6225286564</v>
          </cell>
          <cell r="B39">
            <v>86564</v>
          </cell>
          <cell r="D39" t="str">
            <v>Insurance</v>
          </cell>
          <cell r="F39">
            <v>15935.17</v>
          </cell>
          <cell r="G39">
            <v>17952.64</v>
          </cell>
          <cell r="H39">
            <v>2017.4699999999993</v>
          </cell>
          <cell r="I39">
            <v>0.11237734394495737</v>
          </cell>
        </row>
        <row r="40">
          <cell r="A40" t="str">
            <v>6225288846</v>
          </cell>
          <cell r="B40">
            <v>88846</v>
          </cell>
          <cell r="D40" t="str">
            <v>Expenses-Other-Reimburs</v>
          </cell>
          <cell r="F40">
            <v>0</v>
          </cell>
          <cell r="G40">
            <v>0</v>
          </cell>
          <cell r="H40">
            <v>0</v>
          </cell>
          <cell r="I40" t="str">
            <v>N/A</v>
          </cell>
        </row>
        <row r="41">
          <cell r="A41" t="str">
            <v>6225288890</v>
          </cell>
          <cell r="B41">
            <v>88890</v>
          </cell>
          <cell r="D41" t="str">
            <v>Security/Safety</v>
          </cell>
          <cell r="F41">
            <v>4261.09</v>
          </cell>
          <cell r="G41">
            <v>3200</v>
          </cell>
          <cell r="H41">
            <v>-1061.0900000000001</v>
          </cell>
          <cell r="I41">
            <v>-0.33159062500000003</v>
          </cell>
        </row>
        <row r="42">
          <cell r="A42" t="str">
            <v>6225289775</v>
          </cell>
          <cell r="B42">
            <v>89775</v>
          </cell>
          <cell r="D42" t="str">
            <v>Assmt Dist Taxes- Reimb</v>
          </cell>
          <cell r="F42">
            <v>46315.35</v>
          </cell>
          <cell r="G42">
            <v>40800</v>
          </cell>
          <cell r="H42">
            <v>-5515.3499999999985</v>
          </cell>
          <cell r="I42">
            <v>-0.1351801470588235</v>
          </cell>
          <cell r="J42" t="str">
            <v>Starting this year, the center will be charged assessment district taxes.   Current estimate for the year is $34k.</v>
          </cell>
        </row>
        <row r="43">
          <cell r="A43" t="str">
            <v>6225289786</v>
          </cell>
          <cell r="B43">
            <v>89786</v>
          </cell>
          <cell r="D43" t="str">
            <v>Property Tax Exp</v>
          </cell>
          <cell r="F43">
            <v>52556.65</v>
          </cell>
          <cell r="G43">
            <v>52246</v>
          </cell>
          <cell r="H43">
            <v>-310.65000000000146</v>
          </cell>
          <cell r="I43">
            <v>-5.9459097347165611E-3</v>
          </cell>
          <cell r="J43" t="str">
            <v>Property taxes increased from prior year due to higher improvement values.</v>
          </cell>
        </row>
        <row r="44">
          <cell r="D44" t="str">
            <v>Total Reimbursable</v>
          </cell>
          <cell r="F44">
            <v>251380.58000000002</v>
          </cell>
          <cell r="G44">
            <v>290941.92</v>
          </cell>
          <cell r="H44">
            <v>39561.339999999997</v>
          </cell>
          <cell r="I44">
            <v>0.13597676127249039</v>
          </cell>
        </row>
        <row r="46">
          <cell r="D46" t="str">
            <v>NON-REIMBURSABLE EXPENSES</v>
          </cell>
        </row>
        <row r="47">
          <cell r="A47" t="str">
            <v>6225272701</v>
          </cell>
          <cell r="B47">
            <v>72701</v>
          </cell>
          <cell r="D47" t="str">
            <v>Utilities</v>
          </cell>
          <cell r="F47">
            <v>81.12</v>
          </cell>
          <cell r="G47">
            <v>0</v>
          </cell>
          <cell r="H47">
            <v>-81.12</v>
          </cell>
          <cell r="I47" t="str">
            <v>N/A</v>
          </cell>
        </row>
        <row r="48">
          <cell r="A48" t="str">
            <v>6225276010</v>
          </cell>
          <cell r="B48">
            <v>76010</v>
          </cell>
          <cell r="D48" t="str">
            <v>Tenant Alterations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6225276054</v>
          </cell>
          <cell r="B49">
            <v>76054</v>
          </cell>
          <cell r="D49" t="str">
            <v>Bldg Maintenance &amp; Repair</v>
          </cell>
          <cell r="F49">
            <v>0</v>
          </cell>
          <cell r="G49">
            <v>51300</v>
          </cell>
          <cell r="H49">
            <v>51300</v>
          </cell>
          <cell r="I49">
            <v>1</v>
          </cell>
        </row>
        <row r="50">
          <cell r="A50" t="str">
            <v>6225284240</v>
          </cell>
          <cell r="B50">
            <v>84240</v>
          </cell>
          <cell r="D50" t="str">
            <v>Marketing Leasing</v>
          </cell>
          <cell r="F50">
            <v>0</v>
          </cell>
          <cell r="G50">
            <v>0</v>
          </cell>
          <cell r="H50">
            <v>0</v>
          </cell>
          <cell r="I50" t="str">
            <v>N/A</v>
          </cell>
          <cell r="J50" t="str">
            <v>Variance is due to timing of expenses.</v>
          </cell>
        </row>
        <row r="51">
          <cell r="A51" t="str">
            <v>6225284242</v>
          </cell>
          <cell r="B51">
            <v>84242</v>
          </cell>
          <cell r="D51" t="str">
            <v>Marketing Subsidy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6225284243</v>
          </cell>
          <cell r="B52">
            <v>84243</v>
          </cell>
          <cell r="D52" t="str">
            <v>Marketing Coordination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6225284244</v>
          </cell>
          <cell r="B53">
            <v>84244</v>
          </cell>
          <cell r="D53" t="str">
            <v>Marketing-Net Required</v>
          </cell>
          <cell r="F53">
            <v>0</v>
          </cell>
          <cell r="G53">
            <v>0</v>
          </cell>
          <cell r="H53">
            <v>0</v>
          </cell>
          <cell r="I53" t="str">
            <v>N/A</v>
          </cell>
        </row>
        <row r="54">
          <cell r="A54" t="str">
            <v>6225285016</v>
          </cell>
          <cell r="B54">
            <v>85016</v>
          </cell>
          <cell r="D54" t="str">
            <v>Prof Svc-Attorney Outside</v>
          </cell>
          <cell r="F54">
            <v>1459.91</v>
          </cell>
          <cell r="G54">
            <v>1500</v>
          </cell>
          <cell r="H54">
            <v>40.089999999999918</v>
          </cell>
          <cell r="I54">
            <v>2.672666666666661E-2</v>
          </cell>
        </row>
        <row r="55">
          <cell r="A55" t="str">
            <v>6225285022</v>
          </cell>
          <cell r="B55">
            <v>85022</v>
          </cell>
          <cell r="D55" t="str">
            <v>Prof Svc-Audit/Acctng</v>
          </cell>
          <cell r="F55">
            <v>0</v>
          </cell>
          <cell r="G55">
            <v>1500</v>
          </cell>
          <cell r="H55">
            <v>1500</v>
          </cell>
          <cell r="I55">
            <v>1</v>
          </cell>
          <cell r="J55" t="str">
            <v>Tenant sales audit accrued last year was not performed.</v>
          </cell>
        </row>
        <row r="56">
          <cell r="A56" t="str">
            <v>6225285500</v>
          </cell>
          <cell r="B56">
            <v>85500</v>
          </cell>
          <cell r="D56" t="str">
            <v>Consulting Services</v>
          </cell>
          <cell r="F56">
            <v>0</v>
          </cell>
          <cell r="G56">
            <v>0</v>
          </cell>
          <cell r="H56">
            <v>0</v>
          </cell>
          <cell r="I56" t="str">
            <v>N/A</v>
          </cell>
        </row>
        <row r="57">
          <cell r="A57" t="str">
            <v>6225285566</v>
          </cell>
          <cell r="B57">
            <v>85566</v>
          </cell>
          <cell r="D57" t="str">
            <v>Management Fee</v>
          </cell>
          <cell r="F57">
            <v>0</v>
          </cell>
          <cell r="G57">
            <v>0</v>
          </cell>
          <cell r="H57">
            <v>0</v>
          </cell>
          <cell r="I57" t="str">
            <v>N/A</v>
          </cell>
        </row>
        <row r="58">
          <cell r="A58" t="str">
            <v>6225285581</v>
          </cell>
          <cell r="B58">
            <v>85581</v>
          </cell>
          <cell r="D58" t="str">
            <v>Bldg Admin- Salaries</v>
          </cell>
          <cell r="F58">
            <v>11915.12</v>
          </cell>
          <cell r="G58">
            <v>12468</v>
          </cell>
          <cell r="H58">
            <v>552.8799999999992</v>
          </cell>
          <cell r="I58">
            <v>4.4343920436316908E-2</v>
          </cell>
          <cell r="J58" t="str">
            <v>Salaries are favorable due to timing of filling open positions created from property management transition.</v>
          </cell>
        </row>
        <row r="59">
          <cell r="A59" t="str">
            <v>6225285583</v>
          </cell>
          <cell r="B59">
            <v>85583</v>
          </cell>
          <cell r="D59" t="str">
            <v>Bldg Admin - Office Exp</v>
          </cell>
          <cell r="F59">
            <v>1972.64</v>
          </cell>
          <cell r="G59">
            <v>1908.64</v>
          </cell>
          <cell r="H59">
            <v>-64</v>
          </cell>
          <cell r="I59">
            <v>-3.3531729398943749E-2</v>
          </cell>
        </row>
        <row r="60">
          <cell r="A60" t="str">
            <v>6225288710</v>
          </cell>
          <cell r="B60">
            <v>88710</v>
          </cell>
          <cell r="D60" t="str">
            <v>Losses-Bad Debts</v>
          </cell>
          <cell r="F60">
            <v>11163.4</v>
          </cell>
          <cell r="G60">
            <v>0</v>
          </cell>
          <cell r="H60">
            <v>-11163.4</v>
          </cell>
          <cell r="I60" t="str">
            <v>N/A</v>
          </cell>
          <cell r="J60" t="str">
            <v>Favorable variance is due to the write off of Utopia Kids being less than the reserve.</v>
          </cell>
        </row>
        <row r="61">
          <cell r="D61" t="str">
            <v>Total Non-Reimbursable</v>
          </cell>
          <cell r="F61">
            <v>26592.190000000002</v>
          </cell>
          <cell r="G61">
            <v>68676.639999999999</v>
          </cell>
          <cell r="H61">
            <v>42084.44999999999</v>
          </cell>
          <cell r="I61">
            <v>0.61279133632629657</v>
          </cell>
        </row>
        <row r="63">
          <cell r="D63" t="str">
            <v>TOTAL OPERATING EXPENSES</v>
          </cell>
          <cell r="F63">
            <v>277972.77</v>
          </cell>
          <cell r="G63">
            <v>359618.56</v>
          </cell>
          <cell r="H63">
            <v>81645.789999999979</v>
          </cell>
          <cell r="I63">
            <v>0.22703441668861579</v>
          </cell>
        </row>
        <row r="65">
          <cell r="D65" t="str">
            <v>NET INCOME (Excluding NRO)</v>
          </cell>
          <cell r="F65">
            <v>985124.34999999986</v>
          </cell>
          <cell r="G65">
            <v>921288.09999999986</v>
          </cell>
          <cell r="H65">
            <v>63836.249999999985</v>
          </cell>
          <cell r="I65">
            <v>6.9290214429123739E-2</v>
          </cell>
        </row>
        <row r="66">
          <cell r="A66" t="str">
            <v>6225276071</v>
          </cell>
          <cell r="B66">
            <v>76071</v>
          </cell>
          <cell r="D66" t="str">
            <v>Reimaging Maintenance</v>
          </cell>
          <cell r="F66">
            <v>0</v>
          </cell>
          <cell r="G66">
            <v>0</v>
          </cell>
          <cell r="H66">
            <v>0</v>
          </cell>
          <cell r="I66" t="str">
            <v>N/A</v>
          </cell>
        </row>
        <row r="67">
          <cell r="D67" t="str">
            <v xml:space="preserve">NET INCOME </v>
          </cell>
          <cell r="F67">
            <v>985124.34999999986</v>
          </cell>
          <cell r="G67">
            <v>921288.09999999986</v>
          </cell>
          <cell r="H67">
            <v>63836.249999999985</v>
          </cell>
          <cell r="I67">
            <v>6.9290214429123739E-2</v>
          </cell>
        </row>
        <row r="70">
          <cell r="C70" t="str">
            <v>Forecasted Variances:</v>
          </cell>
        </row>
        <row r="71">
          <cell r="C71" t="str">
            <v xml:space="preserve">l  </v>
          </cell>
          <cell r="D71" t="str">
            <v>Rental Income - Fixed:   Occupancy of Promenade-New Class of Dancing was not captured in the forecast for March 2005.</v>
          </cell>
        </row>
        <row r="72">
          <cell r="C72" t="str">
            <v xml:space="preserve">l  </v>
          </cell>
          <cell r="D72" t="str">
            <v>Rental Income -Operating Expenses Recoveries reflects projected recovery ratio of 112.8% .  The variance is due to timing of expenses.</v>
          </cell>
        </row>
        <row r="73">
          <cell r="C73" t="str">
            <v xml:space="preserve">l  </v>
          </cell>
          <cell r="D73" t="str">
            <v>Grounds Maintenance - unused contingency in sign repairs ($1k) and miscellaneous repairs ($1.6k) will be spent by year end.</v>
          </cell>
        </row>
        <row r="74">
          <cell r="C74" t="str">
            <v xml:space="preserve">l  </v>
          </cell>
          <cell r="D74" t="str">
            <v xml:space="preserve">Landscaping - positive variance due to unused contingency in plants &amp; materials ($7.7k), tree trimming ($3.5k), and color replacement ($4.8k).  These are anticipated to be spent by year end.  </v>
          </cell>
        </row>
        <row r="75">
          <cell r="C75" t="str">
            <v xml:space="preserve">l  </v>
          </cell>
          <cell r="D75" t="str">
            <v>Amortized CAM - variance due to increase in estimated cost of the parking lot seal, striping and repairs from $55k to $77k to be amortized over 3 years.  The credit balance is due to prior year CAM amortization reversal of $22k.</v>
          </cell>
        </row>
        <row r="76">
          <cell r="C76" t="str">
            <v xml:space="preserve">l  </v>
          </cell>
          <cell r="D76" t="str">
            <v>Assessment District Taxes - Starting this year, the center will be charged assessment district taxes.   Current estimate for the year is $34k.</v>
          </cell>
        </row>
        <row r="77">
          <cell r="C77" t="str">
            <v xml:space="preserve">l  </v>
          </cell>
        </row>
        <row r="78">
          <cell r="C78" t="str">
            <v xml:space="preserve">l  </v>
          </cell>
        </row>
        <row r="79">
          <cell r="C79" t="str">
            <v xml:space="preserve">l  </v>
          </cell>
        </row>
        <row r="82">
          <cell r="C82" t="str">
            <v>Prior Year Variances:</v>
          </cell>
        </row>
        <row r="83">
          <cell r="C83" t="str">
            <v xml:space="preserve">l  </v>
          </cell>
          <cell r="D83" t="str">
            <v>Bldg Maintenance &amp; Repairs - increase is due to $22k accrued for painting the center.</v>
          </cell>
        </row>
        <row r="84">
          <cell r="C84" t="str">
            <v xml:space="preserve">l  </v>
          </cell>
          <cell r="D84" t="str">
            <v>Bldg Admin - Salaries: are favorable due to timing of filling open positions created from property management transition.</v>
          </cell>
        </row>
        <row r="85">
          <cell r="C85" t="str">
            <v xml:space="preserve">l  </v>
          </cell>
          <cell r="D85" t="str">
            <v>Assessment District Taxes - Starting this year, the center will be charged assessment district taxes.   Current estimate for the year is $34k.</v>
          </cell>
        </row>
        <row r="86">
          <cell r="C86" t="str">
            <v xml:space="preserve">l  </v>
          </cell>
          <cell r="D86" t="str">
            <v>Property taxes - increased from prior year due to higher improvement values.</v>
          </cell>
        </row>
        <row r="87">
          <cell r="C87" t="str">
            <v xml:space="preserve">l  </v>
          </cell>
          <cell r="D87" t="str">
            <v>Mgmt Fee -there are no 3rd party mgmt fees this year.</v>
          </cell>
        </row>
        <row r="88">
          <cell r="C88" t="str">
            <v xml:space="preserve">l  </v>
          </cell>
          <cell r="D88" t="str">
            <v>Bldg Admin - Salaries NRO:  Salaries are unfavorable due to property management transition to in-house and elimination of third party management fees.</v>
          </cell>
        </row>
        <row r="89">
          <cell r="C89" t="str">
            <v xml:space="preserve">l  </v>
          </cell>
          <cell r="D89" t="str">
            <v>Bad Debt losses increased from prior year due to business failure of Utopia Kids.  Also included is potential loss from Spectrum Tan ($20k ) and Nutri-sport ($3k).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6217041010</v>
          </cell>
          <cell r="B2">
            <v>62170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3">
          <cell r="A3" t="str">
            <v>6217041040</v>
          </cell>
          <cell r="B3">
            <v>62170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</row>
        <row r="4">
          <cell r="A4" t="str">
            <v>6217041050</v>
          </cell>
          <cell r="B4">
            <v>62170</v>
          </cell>
          <cell r="C4">
            <v>41050</v>
          </cell>
          <cell r="D4" t="str">
            <v>Rental Income - Fixed</v>
          </cell>
          <cell r="E4">
            <v>-1360012.46</v>
          </cell>
          <cell r="F4">
            <v>-1366567.18</v>
          </cell>
          <cell r="G4">
            <v>6554.7199999999702</v>
          </cell>
          <cell r="H4">
            <v>-4.7999999999999996E-3</v>
          </cell>
          <cell r="I4">
            <v>-1385956.25</v>
          </cell>
          <cell r="J4">
            <v>25943.79</v>
          </cell>
          <cell r="K4">
            <v>-1.8700000000000001E-2</v>
          </cell>
          <cell r="L4">
            <v>-1219145.03</v>
          </cell>
          <cell r="M4">
            <v>-140867.43</v>
          </cell>
          <cell r="N4">
            <v>0.11550000000000001</v>
          </cell>
          <cell r="O4">
            <v>-2071593.08</v>
          </cell>
          <cell r="P4">
            <v>-2105860.96</v>
          </cell>
          <cell r="Q4">
            <v>-1849745.96</v>
          </cell>
        </row>
        <row r="5">
          <cell r="A5" t="str">
            <v>6217041074</v>
          </cell>
          <cell r="B5">
            <v>62170</v>
          </cell>
          <cell r="C5">
            <v>41074</v>
          </cell>
          <cell r="D5" t="str">
            <v>Rental Income - Percentage</v>
          </cell>
          <cell r="E5">
            <v>-231425.07</v>
          </cell>
          <cell r="F5">
            <v>-230640</v>
          </cell>
          <cell r="G5">
            <v>-785.07000000000698</v>
          </cell>
          <cell r="H5">
            <v>3.3999999999999998E-3</v>
          </cell>
          <cell r="I5">
            <v>-235972</v>
          </cell>
          <cell r="J5">
            <v>4546.9299999999903</v>
          </cell>
          <cell r="K5">
            <v>-1.9300000000000001E-2</v>
          </cell>
          <cell r="L5">
            <v>-212930.49</v>
          </cell>
          <cell r="M5">
            <v>-18494.580000000002</v>
          </cell>
          <cell r="N5">
            <v>8.6900000000000005E-2</v>
          </cell>
          <cell r="O5">
            <v>-257407</v>
          </cell>
          <cell r="P5">
            <v>-284746</v>
          </cell>
          <cell r="Q5">
            <v>-256821</v>
          </cell>
        </row>
        <row r="6">
          <cell r="A6" t="str">
            <v>6217041082</v>
          </cell>
          <cell r="B6">
            <v>62170</v>
          </cell>
          <cell r="C6">
            <v>41082</v>
          </cell>
          <cell r="D6" t="str">
            <v>Rental Income - Operating Exp</v>
          </cell>
          <cell r="E6">
            <v>-372430.28</v>
          </cell>
          <cell r="F6">
            <v>-393765.04</v>
          </cell>
          <cell r="G6">
            <v>21334.76</v>
          </cell>
          <cell r="H6">
            <v>-5.4199999999999998E-2</v>
          </cell>
          <cell r="I6">
            <v>-377657.21</v>
          </cell>
          <cell r="J6">
            <v>5226.9299999999903</v>
          </cell>
          <cell r="K6">
            <v>-1.38E-2</v>
          </cell>
          <cell r="L6">
            <v>-318953.26</v>
          </cell>
          <cell r="M6">
            <v>-53477.02</v>
          </cell>
          <cell r="N6">
            <v>0.16769999999999999</v>
          </cell>
          <cell r="O6">
            <v>-590647.6</v>
          </cell>
          <cell r="P6">
            <v>-584150.21</v>
          </cell>
          <cell r="Q6">
            <v>-553008.39</v>
          </cell>
        </row>
        <row r="7">
          <cell r="A7" t="str">
            <v>6217044610</v>
          </cell>
          <cell r="B7">
            <v>62170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8">
          <cell r="A8" t="str">
            <v>6217045071</v>
          </cell>
          <cell r="B8">
            <v>62170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6217045010</v>
          </cell>
          <cell r="B9">
            <v>62170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A10" t="str">
            <v>6217045046</v>
          </cell>
          <cell r="B10">
            <v>62170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A11" t="str">
            <v>6217045070</v>
          </cell>
          <cell r="B11">
            <v>62170</v>
          </cell>
          <cell r="C11">
            <v>45070</v>
          </cell>
          <cell r="D11" t="str">
            <v>Other Income</v>
          </cell>
          <cell r="E11">
            <v>-39.479999999999997</v>
          </cell>
          <cell r="F11">
            <v>-399</v>
          </cell>
          <cell r="G11">
            <v>359.52</v>
          </cell>
          <cell r="H11">
            <v>-0.90110000000000001</v>
          </cell>
          <cell r="I11">
            <v>-230.66</v>
          </cell>
          <cell r="J11">
            <v>191.18</v>
          </cell>
          <cell r="K11">
            <v>-0.82879999999999998</v>
          </cell>
          <cell r="L11">
            <v>-12.03</v>
          </cell>
          <cell r="M11">
            <v>-27.45</v>
          </cell>
          <cell r="N11">
            <v>2.2818000000000001</v>
          </cell>
          <cell r="O11">
            <v>-665</v>
          </cell>
          <cell r="P11">
            <v>-496.66</v>
          </cell>
          <cell r="Q11">
            <v>-13.12</v>
          </cell>
        </row>
        <row r="12">
          <cell r="A12" t="str">
            <v>6217041060</v>
          </cell>
          <cell r="B12">
            <v>62170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A13" t="str">
            <v>6217044870</v>
          </cell>
          <cell r="B13">
            <v>62170</v>
          </cell>
          <cell r="C13">
            <v>44870</v>
          </cell>
          <cell r="D13" t="str">
            <v>Late Fees</v>
          </cell>
          <cell r="E13">
            <v>-1946.95</v>
          </cell>
          <cell r="F13">
            <v>-666.64</v>
          </cell>
          <cell r="G13">
            <v>-1280.31</v>
          </cell>
          <cell r="H13">
            <v>1.9205000000000001</v>
          </cell>
          <cell r="I13">
            <v>-618.84</v>
          </cell>
          <cell r="J13">
            <v>-1328.11</v>
          </cell>
          <cell r="K13">
            <v>2.1461000000000001</v>
          </cell>
          <cell r="L13">
            <v>-100</v>
          </cell>
          <cell r="M13">
            <v>-1846.95</v>
          </cell>
          <cell r="N13">
            <v>18.4695</v>
          </cell>
          <cell r="O13">
            <v>-1000</v>
          </cell>
          <cell r="P13">
            <v>-952.2</v>
          </cell>
          <cell r="Q13">
            <v>-945.05</v>
          </cell>
        </row>
        <row r="14">
          <cell r="A14" t="str">
            <v>6217052542</v>
          </cell>
          <cell r="B14">
            <v>62170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6217072710</v>
          </cell>
          <cell r="B15">
            <v>62170</v>
          </cell>
          <cell r="C15">
            <v>72710</v>
          </cell>
          <cell r="D15" t="str">
            <v>Utilities - Electricity</v>
          </cell>
          <cell r="E15">
            <v>16381.75</v>
          </cell>
          <cell r="F15">
            <v>8760</v>
          </cell>
          <cell r="G15">
            <v>7621.75</v>
          </cell>
          <cell r="H15">
            <v>0.87009999999999998</v>
          </cell>
          <cell r="I15">
            <v>17114.12</v>
          </cell>
          <cell r="J15">
            <v>-732.36999999999898</v>
          </cell>
          <cell r="K15">
            <v>-4.2799999999999998E-2</v>
          </cell>
          <cell r="L15">
            <v>12680.93</v>
          </cell>
          <cell r="M15">
            <v>3700.82</v>
          </cell>
          <cell r="N15">
            <v>0.2918</v>
          </cell>
          <cell r="O15">
            <v>13140</v>
          </cell>
          <cell r="P15">
            <v>27114.12</v>
          </cell>
          <cell r="Q15">
            <v>18459.03</v>
          </cell>
        </row>
        <row r="16">
          <cell r="A16" t="str">
            <v>6217072740</v>
          </cell>
          <cell r="B16">
            <v>62170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6217072770</v>
          </cell>
          <cell r="B17">
            <v>62170</v>
          </cell>
          <cell r="C17">
            <v>72770</v>
          </cell>
          <cell r="D17" t="str">
            <v>Utilities - Water</v>
          </cell>
          <cell r="E17">
            <v>1881.83</v>
          </cell>
          <cell r="F17">
            <v>1632</v>
          </cell>
          <cell r="G17">
            <v>249.83</v>
          </cell>
          <cell r="H17">
            <v>0.15310000000000001</v>
          </cell>
          <cell r="I17">
            <v>2285.39</v>
          </cell>
          <cell r="J17">
            <v>-403.56</v>
          </cell>
          <cell r="K17">
            <v>-0.17660000000000001</v>
          </cell>
          <cell r="L17">
            <v>1582.73</v>
          </cell>
          <cell r="M17">
            <v>299.10000000000002</v>
          </cell>
          <cell r="N17">
            <v>0.189</v>
          </cell>
          <cell r="O17">
            <v>2448</v>
          </cell>
          <cell r="P17">
            <v>3545.39</v>
          </cell>
          <cell r="Q17">
            <v>1617.03</v>
          </cell>
        </row>
        <row r="18">
          <cell r="A18" t="str">
            <v>6217076000</v>
          </cell>
          <cell r="B18">
            <v>62170</v>
          </cell>
          <cell r="C18">
            <v>76000</v>
          </cell>
          <cell r="D18" t="str">
            <v>Bldg Maintenance &amp; Repair</v>
          </cell>
          <cell r="E18">
            <v>26666.26</v>
          </cell>
          <cell r="F18">
            <v>28096.86</v>
          </cell>
          <cell r="G18">
            <v>-1430.6</v>
          </cell>
          <cell r="H18">
            <v>-5.0900000000000001E-2</v>
          </cell>
          <cell r="I18">
            <v>21160.37</v>
          </cell>
          <cell r="J18">
            <v>5505.89</v>
          </cell>
          <cell r="K18">
            <v>0.26019999999999999</v>
          </cell>
          <cell r="L18">
            <v>14762.34</v>
          </cell>
          <cell r="M18">
            <v>11903.92</v>
          </cell>
          <cell r="N18">
            <v>0.80640000000000001</v>
          </cell>
          <cell r="O18">
            <v>40132.5</v>
          </cell>
          <cell r="P18">
            <v>39376.51</v>
          </cell>
          <cell r="Q18">
            <v>30694.959999999999</v>
          </cell>
        </row>
        <row r="19">
          <cell r="A19" t="str">
            <v>6217076020</v>
          </cell>
          <cell r="B19">
            <v>62170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-30</v>
          </cell>
          <cell r="M19">
            <v>30</v>
          </cell>
          <cell r="N19">
            <v>0</v>
          </cell>
          <cell r="O19">
            <v>0</v>
          </cell>
          <cell r="P19">
            <v>0</v>
          </cell>
          <cell r="Q19">
            <v>-30</v>
          </cell>
        </row>
        <row r="20">
          <cell r="A20" t="str">
            <v>6217076034</v>
          </cell>
          <cell r="B20">
            <v>62170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A21" t="str">
            <v>6217076050</v>
          </cell>
          <cell r="B21">
            <v>62170</v>
          </cell>
          <cell r="C21">
            <v>76050</v>
          </cell>
          <cell r="D21" t="str">
            <v>Cleaning Expense</v>
          </cell>
          <cell r="E21">
            <v>44459.6</v>
          </cell>
          <cell r="F21">
            <v>43079.360000000001</v>
          </cell>
          <cell r="G21">
            <v>1380.24</v>
          </cell>
          <cell r="H21">
            <v>3.2000000000000001E-2</v>
          </cell>
          <cell r="I21">
            <v>44455.14</v>
          </cell>
          <cell r="J21">
            <v>4.4599999999991304</v>
          </cell>
          <cell r="K21">
            <v>1E-4</v>
          </cell>
          <cell r="L21">
            <v>40524.699999999997</v>
          </cell>
          <cell r="M21">
            <v>3934.9</v>
          </cell>
          <cell r="N21">
            <v>9.7100000000000006E-2</v>
          </cell>
          <cell r="O21">
            <v>64619</v>
          </cell>
          <cell r="P21">
            <v>66194.78</v>
          </cell>
          <cell r="Q21">
            <v>61359.82</v>
          </cell>
        </row>
        <row r="22">
          <cell r="A22" t="str">
            <v>6217076056</v>
          </cell>
          <cell r="B22">
            <v>62170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A23" t="str">
            <v>6217076070</v>
          </cell>
          <cell r="B23">
            <v>62170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A24" t="str">
            <v>6217076091</v>
          </cell>
          <cell r="B24">
            <v>62170</v>
          </cell>
          <cell r="C24">
            <v>76091</v>
          </cell>
          <cell r="D24" t="str">
            <v>Parking Maintenance</v>
          </cell>
          <cell r="E24">
            <v>18788.18</v>
          </cell>
          <cell r="F24">
            <v>20370</v>
          </cell>
          <cell r="G24">
            <v>-1581.82</v>
          </cell>
          <cell r="H24">
            <v>-7.7700000000000005E-2</v>
          </cell>
          <cell r="I24">
            <v>16381.75</v>
          </cell>
          <cell r="J24">
            <v>2406.4299999999998</v>
          </cell>
          <cell r="K24">
            <v>0.1469</v>
          </cell>
          <cell r="L24">
            <v>21913.02</v>
          </cell>
          <cell r="M24">
            <v>-3124.84</v>
          </cell>
          <cell r="N24">
            <v>-0.1426</v>
          </cell>
          <cell r="O24">
            <v>33680</v>
          </cell>
          <cell r="P24">
            <v>28718.75</v>
          </cell>
          <cell r="Q24">
            <v>40769.67</v>
          </cell>
        </row>
        <row r="25">
          <cell r="A25" t="str">
            <v>6217077000</v>
          </cell>
          <cell r="B25">
            <v>62170</v>
          </cell>
          <cell r="C25">
            <v>77000</v>
          </cell>
          <cell r="D25" t="str">
            <v>Grounds Maintenance</v>
          </cell>
          <cell r="E25">
            <v>20901.87</v>
          </cell>
          <cell r="F25">
            <v>23373.360000000001</v>
          </cell>
          <cell r="G25">
            <v>-2471.4899999999998</v>
          </cell>
          <cell r="H25">
            <v>-0.1057</v>
          </cell>
          <cell r="I25">
            <v>24411.33</v>
          </cell>
          <cell r="J25">
            <v>-3509.46</v>
          </cell>
          <cell r="K25">
            <v>-0.14380000000000001</v>
          </cell>
          <cell r="L25">
            <v>21347.87</v>
          </cell>
          <cell r="M25">
            <v>-446</v>
          </cell>
          <cell r="N25">
            <v>-2.0899999999999998E-2</v>
          </cell>
          <cell r="O25">
            <v>31370</v>
          </cell>
          <cell r="P25">
            <v>36882.300000000003</v>
          </cell>
          <cell r="Q25">
            <v>24747.8</v>
          </cell>
        </row>
        <row r="26">
          <cell r="A26" t="str">
            <v>6217077053</v>
          </cell>
          <cell r="B26">
            <v>62170</v>
          </cell>
          <cell r="C26">
            <v>77053</v>
          </cell>
          <cell r="D26" t="str">
            <v>Landscaping</v>
          </cell>
          <cell r="E26">
            <v>21038.97</v>
          </cell>
          <cell r="F26">
            <v>24875</v>
          </cell>
          <cell r="G26">
            <v>-3836.03</v>
          </cell>
          <cell r="H26">
            <v>-0.1542</v>
          </cell>
          <cell r="I26">
            <v>31323.47</v>
          </cell>
          <cell r="J26">
            <v>-10284.5</v>
          </cell>
          <cell r="K26">
            <v>-0.32829999999999998</v>
          </cell>
          <cell r="L26">
            <v>22981</v>
          </cell>
          <cell r="M26">
            <v>-1942.03</v>
          </cell>
          <cell r="N26">
            <v>-8.4500000000000006E-2</v>
          </cell>
          <cell r="O26">
            <v>37655</v>
          </cell>
          <cell r="P26">
            <v>44965.47</v>
          </cell>
          <cell r="Q26">
            <v>40768</v>
          </cell>
        </row>
        <row r="27">
          <cell r="A27" t="str">
            <v>6217078020</v>
          </cell>
          <cell r="B27">
            <v>62170</v>
          </cell>
          <cell r="C27">
            <v>78020</v>
          </cell>
          <cell r="D27" t="str">
            <v>Amortized CAM Exp</v>
          </cell>
          <cell r="E27">
            <v>60208.56</v>
          </cell>
          <cell r="F27">
            <v>58933.36</v>
          </cell>
          <cell r="G27">
            <v>1275.2</v>
          </cell>
          <cell r="H27">
            <v>2.1600000000000001E-2</v>
          </cell>
          <cell r="I27">
            <v>60210.51</v>
          </cell>
          <cell r="J27">
            <v>-1.95000000000437</v>
          </cell>
          <cell r="K27">
            <v>0</v>
          </cell>
          <cell r="L27">
            <v>11933.6</v>
          </cell>
          <cell r="M27">
            <v>48274.96</v>
          </cell>
          <cell r="N27">
            <v>4.0453000000000001</v>
          </cell>
          <cell r="O27">
            <v>88400</v>
          </cell>
          <cell r="P27">
            <v>90317.35</v>
          </cell>
          <cell r="Q27">
            <v>55313.23</v>
          </cell>
        </row>
        <row r="28">
          <cell r="A28" t="str">
            <v>6217084264</v>
          </cell>
          <cell r="B28">
            <v>62170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A29" t="str">
            <v>6217085555</v>
          </cell>
          <cell r="B29">
            <v>62170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6217085584</v>
          </cell>
          <cell r="B30">
            <v>62170</v>
          </cell>
          <cell r="C30">
            <v>85584</v>
          </cell>
          <cell r="D30" t="str">
            <v>Bldg Admin-Office Costs</v>
          </cell>
          <cell r="E30">
            <v>3863.98</v>
          </cell>
          <cell r="F30">
            <v>3664</v>
          </cell>
          <cell r="G30">
            <v>199.98</v>
          </cell>
          <cell r="H30">
            <v>5.4600000000000003E-2</v>
          </cell>
          <cell r="I30">
            <v>3789.25</v>
          </cell>
          <cell r="J30">
            <v>74.73</v>
          </cell>
          <cell r="K30">
            <v>1.9699999999999999E-2</v>
          </cell>
          <cell r="L30">
            <v>3622.08</v>
          </cell>
          <cell r="M30">
            <v>241.9</v>
          </cell>
          <cell r="N30">
            <v>6.6799999999999998E-2</v>
          </cell>
          <cell r="O30">
            <v>5496</v>
          </cell>
          <cell r="P30">
            <v>5600.09</v>
          </cell>
          <cell r="Q30">
            <v>5720.3</v>
          </cell>
        </row>
        <row r="31">
          <cell r="A31" t="str">
            <v>6217085582</v>
          </cell>
          <cell r="B31">
            <v>62170</v>
          </cell>
          <cell r="C31">
            <v>85582</v>
          </cell>
          <cell r="D31" t="str">
            <v>Bldg Admin-Salaries</v>
          </cell>
          <cell r="E31">
            <v>24995.93</v>
          </cell>
          <cell r="F31">
            <v>24674</v>
          </cell>
          <cell r="G31">
            <v>321.93</v>
          </cell>
          <cell r="H31">
            <v>1.2999999999999999E-2</v>
          </cell>
          <cell r="I31">
            <v>25310.09</v>
          </cell>
          <cell r="J31">
            <v>-314.16000000000003</v>
          </cell>
          <cell r="K31">
            <v>-1.24E-2</v>
          </cell>
          <cell r="L31">
            <v>21628.91</v>
          </cell>
          <cell r="M31">
            <v>3367.02</v>
          </cell>
          <cell r="N31">
            <v>0.15570000000000001</v>
          </cell>
          <cell r="O31">
            <v>37011</v>
          </cell>
          <cell r="P31">
            <v>38944.97</v>
          </cell>
          <cell r="Q31">
            <v>35189.519999999997</v>
          </cell>
        </row>
        <row r="32">
          <cell r="A32" t="str">
            <v>6217086564</v>
          </cell>
          <cell r="B32">
            <v>62170</v>
          </cell>
          <cell r="C32">
            <v>86564</v>
          </cell>
          <cell r="D32" t="str">
            <v>Insurance</v>
          </cell>
          <cell r="E32">
            <v>19950</v>
          </cell>
          <cell r="F32">
            <v>22324</v>
          </cell>
          <cell r="G32">
            <v>-2374</v>
          </cell>
          <cell r="H32">
            <v>-0.10630000000000001</v>
          </cell>
          <cell r="I32">
            <v>19480.68</v>
          </cell>
          <cell r="J32">
            <v>469.32</v>
          </cell>
          <cell r="K32">
            <v>2.41E-2</v>
          </cell>
          <cell r="L32">
            <v>19408</v>
          </cell>
          <cell r="M32">
            <v>542</v>
          </cell>
          <cell r="N32">
            <v>2.7900000000000001E-2</v>
          </cell>
          <cell r="O32">
            <v>33486</v>
          </cell>
          <cell r="P32">
            <v>28824.32</v>
          </cell>
          <cell r="Q32">
            <v>29117</v>
          </cell>
        </row>
        <row r="33">
          <cell r="A33" t="str">
            <v>6217088846</v>
          </cell>
          <cell r="B33">
            <v>62170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-5965</v>
          </cell>
          <cell r="Q33">
            <v>0</v>
          </cell>
        </row>
        <row r="34">
          <cell r="A34" t="str">
            <v>6217088890</v>
          </cell>
          <cell r="B34">
            <v>62170</v>
          </cell>
          <cell r="C34">
            <v>88890</v>
          </cell>
          <cell r="D34" t="str">
            <v>Security/Safety</v>
          </cell>
          <cell r="E34">
            <v>29849.17</v>
          </cell>
          <cell r="F34">
            <v>27554.639999999999</v>
          </cell>
          <cell r="G34">
            <v>2294.5300000000002</v>
          </cell>
          <cell r="H34">
            <v>8.3299999999999999E-2</v>
          </cell>
          <cell r="I34">
            <v>27744.22</v>
          </cell>
          <cell r="J34">
            <v>2104.9499999999998</v>
          </cell>
          <cell r="K34">
            <v>7.5899999999999995E-2</v>
          </cell>
          <cell r="L34">
            <v>27934.94</v>
          </cell>
          <cell r="M34">
            <v>1914.23</v>
          </cell>
          <cell r="N34">
            <v>6.8500000000000005E-2</v>
          </cell>
          <cell r="O34">
            <v>41332</v>
          </cell>
          <cell r="P34">
            <v>41376.22</v>
          </cell>
          <cell r="Q34">
            <v>49202.97</v>
          </cell>
        </row>
        <row r="35">
          <cell r="A35" t="str">
            <v>6217089775</v>
          </cell>
          <cell r="B35">
            <v>62170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A36" t="str">
            <v>6217089729</v>
          </cell>
          <cell r="B36">
            <v>62170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6217089786</v>
          </cell>
          <cell r="B37">
            <v>62170</v>
          </cell>
          <cell r="C37">
            <v>89786</v>
          </cell>
          <cell r="D37" t="str">
            <v>Property Tax Exp</v>
          </cell>
          <cell r="E37">
            <v>45293.27</v>
          </cell>
          <cell r="F37">
            <v>63306</v>
          </cell>
          <cell r="G37">
            <v>-18012.73</v>
          </cell>
          <cell r="H37">
            <v>-0.28449999999999998</v>
          </cell>
          <cell r="I37">
            <v>45308.959999999999</v>
          </cell>
          <cell r="J37">
            <v>-15.6900000000023</v>
          </cell>
          <cell r="K37">
            <v>-2.9999999999999997E-4</v>
          </cell>
          <cell r="L37">
            <v>62192.639999999999</v>
          </cell>
          <cell r="M37">
            <v>-16899.37</v>
          </cell>
          <cell r="N37">
            <v>-0.2717</v>
          </cell>
          <cell r="O37">
            <v>94959</v>
          </cell>
          <cell r="P37">
            <v>77024.44</v>
          </cell>
          <cell r="Q37">
            <v>93288.84</v>
          </cell>
        </row>
        <row r="38">
          <cell r="A38" t="str">
            <v>6217071040</v>
          </cell>
          <cell r="B38">
            <v>62170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 t="str">
            <v>6217072701</v>
          </cell>
          <cell r="B39">
            <v>62170</v>
          </cell>
          <cell r="C39">
            <v>72701</v>
          </cell>
          <cell r="D39" t="str">
            <v>Utilities</v>
          </cell>
          <cell r="E39">
            <v>18.25</v>
          </cell>
          <cell r="F39">
            <v>0</v>
          </cell>
          <cell r="G39">
            <v>18.25</v>
          </cell>
          <cell r="H39">
            <v>0</v>
          </cell>
          <cell r="I39">
            <v>0</v>
          </cell>
          <cell r="J39">
            <v>18.25</v>
          </cell>
          <cell r="K39">
            <v>0</v>
          </cell>
          <cell r="L39">
            <v>109.96</v>
          </cell>
          <cell r="M39">
            <v>-91.71</v>
          </cell>
          <cell r="N39">
            <v>-0.83399999999999996</v>
          </cell>
          <cell r="O39">
            <v>0</v>
          </cell>
          <cell r="P39">
            <v>0</v>
          </cell>
          <cell r="Q39">
            <v>133.84</v>
          </cell>
        </row>
        <row r="40">
          <cell r="A40" t="str">
            <v>6217072855</v>
          </cell>
          <cell r="B40">
            <v>62170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 t="str">
            <v>6217072870</v>
          </cell>
          <cell r="B41">
            <v>62170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 t="str">
            <v>6217076010</v>
          </cell>
          <cell r="B42">
            <v>62170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2.91</v>
          </cell>
          <cell r="M42">
            <v>-2.91</v>
          </cell>
          <cell r="N42">
            <v>0</v>
          </cell>
          <cell r="O42">
            <v>0</v>
          </cell>
          <cell r="P42">
            <v>0</v>
          </cell>
          <cell r="Q42">
            <v>2.91</v>
          </cell>
        </row>
        <row r="43">
          <cell r="A43" t="str">
            <v>6217076040</v>
          </cell>
          <cell r="B43">
            <v>62170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6217076051</v>
          </cell>
          <cell r="B44">
            <v>62170</v>
          </cell>
          <cell r="C44">
            <v>76051</v>
          </cell>
          <cell r="D44" t="str">
            <v>Cleaning</v>
          </cell>
          <cell r="E44">
            <v>455.1</v>
          </cell>
          <cell r="F44">
            <v>0</v>
          </cell>
          <cell r="G44">
            <v>455.1</v>
          </cell>
          <cell r="H44">
            <v>0</v>
          </cell>
          <cell r="I44">
            <v>0</v>
          </cell>
          <cell r="J44">
            <v>455.1</v>
          </cell>
          <cell r="K44">
            <v>0</v>
          </cell>
          <cell r="L44">
            <v>0</v>
          </cell>
          <cell r="M44">
            <v>455.1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 t="str">
            <v>6217076054</v>
          </cell>
          <cell r="B45">
            <v>62170</v>
          </cell>
          <cell r="C45">
            <v>76054</v>
          </cell>
          <cell r="D45" t="str">
            <v>Bldg Maintenance &amp; Repair</v>
          </cell>
          <cell r="E45">
            <v>7960.75</v>
          </cell>
          <cell r="F45">
            <v>1000</v>
          </cell>
          <cell r="G45">
            <v>6960.75</v>
          </cell>
          <cell r="H45">
            <v>6.9607999999999999</v>
          </cell>
          <cell r="I45">
            <v>26310.75</v>
          </cell>
          <cell r="J45">
            <v>-18350</v>
          </cell>
          <cell r="K45">
            <v>-0.69740000000000002</v>
          </cell>
          <cell r="L45">
            <v>95015.34</v>
          </cell>
          <cell r="M45">
            <v>-87054.59</v>
          </cell>
          <cell r="N45">
            <v>-0.91620000000000001</v>
          </cell>
          <cell r="O45">
            <v>1000</v>
          </cell>
          <cell r="P45">
            <v>36310.75</v>
          </cell>
          <cell r="Q45">
            <v>326127.71999999997</v>
          </cell>
        </row>
        <row r="46">
          <cell r="A46" t="str">
            <v>6217076060</v>
          </cell>
          <cell r="B46">
            <v>62170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 t="str">
            <v>6217076071</v>
          </cell>
          <cell r="B47">
            <v>62170</v>
          </cell>
          <cell r="C47">
            <v>76071</v>
          </cell>
          <cell r="D47" t="str">
            <v>Reimaging Maintenance</v>
          </cell>
          <cell r="E47">
            <v>4044.46</v>
          </cell>
          <cell r="F47">
            <v>0</v>
          </cell>
          <cell r="G47">
            <v>4044.46</v>
          </cell>
          <cell r="H47">
            <v>0</v>
          </cell>
          <cell r="I47">
            <v>4044.46</v>
          </cell>
          <cell r="J47">
            <v>0</v>
          </cell>
          <cell r="K47">
            <v>0</v>
          </cell>
          <cell r="L47">
            <v>0</v>
          </cell>
          <cell r="M47">
            <v>4044.46</v>
          </cell>
          <cell r="N47">
            <v>0</v>
          </cell>
          <cell r="O47">
            <v>0</v>
          </cell>
          <cell r="P47">
            <v>4044.46</v>
          </cell>
          <cell r="Q47">
            <v>104106.18</v>
          </cell>
        </row>
        <row r="48">
          <cell r="A48" t="str">
            <v>6217076090</v>
          </cell>
          <cell r="B48">
            <v>62170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A49" t="str">
            <v>6217077001</v>
          </cell>
          <cell r="B49">
            <v>62170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-51.97</v>
          </cell>
        </row>
        <row r="50">
          <cell r="A50" t="str">
            <v>6217077022</v>
          </cell>
          <cell r="B50">
            <v>62170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 t="str">
            <v>6217084200</v>
          </cell>
          <cell r="B51">
            <v>62170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A52" t="str">
            <v>6217084240</v>
          </cell>
          <cell r="B52">
            <v>62170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115.06</v>
          </cell>
          <cell r="M52">
            <v>-115.06</v>
          </cell>
          <cell r="N52">
            <v>0</v>
          </cell>
          <cell r="O52">
            <v>0</v>
          </cell>
          <cell r="P52">
            <v>0</v>
          </cell>
          <cell r="Q52">
            <v>13.77</v>
          </cell>
        </row>
        <row r="53">
          <cell r="A53" t="str">
            <v>6217084242</v>
          </cell>
          <cell r="B53">
            <v>62170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 t="str">
            <v>6217084243</v>
          </cell>
          <cell r="B54">
            <v>62170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6217084244</v>
          </cell>
          <cell r="B55">
            <v>62170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A56" t="str">
            <v>6217084265</v>
          </cell>
          <cell r="B56">
            <v>62170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6217088037</v>
          </cell>
          <cell r="B57">
            <v>62170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A58" t="str">
            <v>6217085016</v>
          </cell>
          <cell r="B58">
            <v>62170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1500</v>
          </cell>
          <cell r="G58">
            <v>-1500</v>
          </cell>
          <cell r="H58">
            <v>0</v>
          </cell>
          <cell r="I58">
            <v>-201.55</v>
          </cell>
          <cell r="J58">
            <v>201.55</v>
          </cell>
          <cell r="K58">
            <v>0</v>
          </cell>
          <cell r="L58">
            <v>48</v>
          </cell>
          <cell r="M58">
            <v>-48</v>
          </cell>
          <cell r="N58">
            <v>0</v>
          </cell>
          <cell r="O58">
            <v>3000</v>
          </cell>
          <cell r="P58">
            <v>1298.45</v>
          </cell>
          <cell r="Q58">
            <v>-1452</v>
          </cell>
        </row>
        <row r="59">
          <cell r="A59" t="str">
            <v>6217085022</v>
          </cell>
          <cell r="B59">
            <v>62170</v>
          </cell>
          <cell r="C59">
            <v>85022</v>
          </cell>
          <cell r="D59" t="str">
            <v>Prof Svc-Audit/Acctng</v>
          </cell>
          <cell r="E59">
            <v>-700</v>
          </cell>
          <cell r="F59">
            <v>0</v>
          </cell>
          <cell r="G59">
            <v>-700</v>
          </cell>
          <cell r="H59">
            <v>0</v>
          </cell>
          <cell r="I59">
            <v>-700</v>
          </cell>
          <cell r="J59">
            <v>0</v>
          </cell>
          <cell r="K59">
            <v>0</v>
          </cell>
          <cell r="L59">
            <v>0</v>
          </cell>
          <cell r="M59">
            <v>-700</v>
          </cell>
          <cell r="N59">
            <v>0</v>
          </cell>
          <cell r="O59">
            <v>2500</v>
          </cell>
          <cell r="P59">
            <v>1800</v>
          </cell>
          <cell r="Q59">
            <v>2650</v>
          </cell>
        </row>
        <row r="60">
          <cell r="A60" t="str">
            <v>6217085065</v>
          </cell>
          <cell r="B60">
            <v>62170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A61" t="str">
            <v>6217085500</v>
          </cell>
          <cell r="B61">
            <v>62170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7500</v>
          </cell>
          <cell r="G61">
            <v>-7500</v>
          </cell>
          <cell r="H61">
            <v>0</v>
          </cell>
          <cell r="I61">
            <v>7500</v>
          </cell>
          <cell r="J61">
            <v>-7500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10000</v>
          </cell>
          <cell r="P61">
            <v>10000</v>
          </cell>
          <cell r="Q61">
            <v>0</v>
          </cell>
        </row>
        <row r="62">
          <cell r="A62" t="str">
            <v>6217085566</v>
          </cell>
          <cell r="B62">
            <v>62170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A63" t="str">
            <v>6217085581</v>
          </cell>
          <cell r="B63">
            <v>62170</v>
          </cell>
          <cell r="C63">
            <v>85581</v>
          </cell>
          <cell r="D63" t="str">
            <v>Bldg Admin- Salaries</v>
          </cell>
          <cell r="E63">
            <v>14160.03</v>
          </cell>
          <cell r="F63">
            <v>14744</v>
          </cell>
          <cell r="G63">
            <v>-583.969999999999</v>
          </cell>
          <cell r="H63">
            <v>-3.9600000000000003E-2</v>
          </cell>
          <cell r="I63">
            <v>14384.41</v>
          </cell>
          <cell r="J63">
            <v>-224.379999999999</v>
          </cell>
          <cell r="K63">
            <v>-1.5599999999999999E-2</v>
          </cell>
          <cell r="L63">
            <v>15937.02</v>
          </cell>
          <cell r="M63">
            <v>-1776.99</v>
          </cell>
          <cell r="N63">
            <v>-0.1115</v>
          </cell>
          <cell r="O63">
            <v>22116</v>
          </cell>
          <cell r="P63">
            <v>22496.16</v>
          </cell>
          <cell r="Q63">
            <v>25092.03</v>
          </cell>
        </row>
        <row r="64">
          <cell r="A64" t="str">
            <v>6217085583</v>
          </cell>
          <cell r="B64">
            <v>62170</v>
          </cell>
          <cell r="C64">
            <v>85583</v>
          </cell>
          <cell r="D64" t="str">
            <v>Bldg Admin-Office Exp.</v>
          </cell>
          <cell r="E64">
            <v>2035.31</v>
          </cell>
          <cell r="F64">
            <v>2138.64</v>
          </cell>
          <cell r="G64">
            <v>-103.33</v>
          </cell>
          <cell r="H64">
            <v>-4.8300000000000003E-2</v>
          </cell>
          <cell r="I64">
            <v>2155.5700000000002</v>
          </cell>
          <cell r="J64">
            <v>-120.26</v>
          </cell>
          <cell r="K64">
            <v>-5.5800000000000002E-2</v>
          </cell>
          <cell r="L64">
            <v>2033.96</v>
          </cell>
          <cell r="M64">
            <v>1.3499999999999099</v>
          </cell>
          <cell r="N64">
            <v>6.9999999999999999E-4</v>
          </cell>
          <cell r="O64">
            <v>3208</v>
          </cell>
          <cell r="P64">
            <v>3159.55</v>
          </cell>
          <cell r="Q64">
            <v>3255.92</v>
          </cell>
        </row>
        <row r="65">
          <cell r="A65" t="str">
            <v>6217085530</v>
          </cell>
          <cell r="B65">
            <v>62170</v>
          </cell>
          <cell r="C65">
            <v>85530</v>
          </cell>
          <cell r="D65" t="str">
            <v>Bldg Admin - Office Exp</v>
          </cell>
          <cell r="E65">
            <v>2035.31</v>
          </cell>
          <cell r="F65">
            <v>2138.64</v>
          </cell>
          <cell r="G65">
            <v>-103.33</v>
          </cell>
          <cell r="H65">
            <v>-4.8300000000000003E-2</v>
          </cell>
          <cell r="I65">
            <v>2155.5700000000002</v>
          </cell>
          <cell r="J65">
            <v>-120.26</v>
          </cell>
          <cell r="K65">
            <v>-5.5800000000000002E-2</v>
          </cell>
          <cell r="L65">
            <v>2033.96</v>
          </cell>
          <cell r="M65">
            <v>1.3499999999999099</v>
          </cell>
          <cell r="N65">
            <v>6.9999999999999999E-4</v>
          </cell>
          <cell r="O65">
            <v>3208</v>
          </cell>
          <cell r="P65">
            <v>3159.55</v>
          </cell>
          <cell r="Q65">
            <v>3255.92</v>
          </cell>
        </row>
        <row r="66">
          <cell r="A66" t="str">
            <v>6217086012</v>
          </cell>
          <cell r="B66">
            <v>62170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A67" t="str">
            <v>6217086037</v>
          </cell>
          <cell r="B67">
            <v>62170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A68" t="str">
            <v>6217083050</v>
          </cell>
          <cell r="B68">
            <v>62170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A69" t="str">
            <v>6217086510</v>
          </cell>
          <cell r="B69">
            <v>62170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A70" t="str">
            <v>6217086537</v>
          </cell>
          <cell r="B70">
            <v>62170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A71" t="str">
            <v>6217086566</v>
          </cell>
          <cell r="B71">
            <v>62170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A72" t="str">
            <v>6217086955</v>
          </cell>
          <cell r="B72">
            <v>62170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A73" t="str">
            <v>6217086985</v>
          </cell>
          <cell r="B73">
            <v>62170</v>
          </cell>
          <cell r="C73">
            <v>86985</v>
          </cell>
          <cell r="D73" t="str">
            <v>Purchased Svcs _ Other</v>
          </cell>
          <cell r="E73">
            <v>35.93</v>
          </cell>
          <cell r="F73">
            <v>0</v>
          </cell>
          <cell r="G73">
            <v>35.93</v>
          </cell>
          <cell r="H73">
            <v>0</v>
          </cell>
          <cell r="I73">
            <v>35.93</v>
          </cell>
          <cell r="J73">
            <v>0</v>
          </cell>
          <cell r="K73">
            <v>0</v>
          </cell>
          <cell r="L73">
            <v>0</v>
          </cell>
          <cell r="M73">
            <v>35.93</v>
          </cell>
          <cell r="N73">
            <v>0</v>
          </cell>
          <cell r="O73">
            <v>0</v>
          </cell>
          <cell r="P73">
            <v>620.92999999999995</v>
          </cell>
          <cell r="Q73">
            <v>0</v>
          </cell>
        </row>
        <row r="74">
          <cell r="A74" t="str">
            <v>6217086880</v>
          </cell>
          <cell r="B74">
            <v>62170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6217088710</v>
          </cell>
          <cell r="B75">
            <v>62170</v>
          </cell>
          <cell r="C75">
            <v>88710</v>
          </cell>
          <cell r="D75" t="str">
            <v>Losses-Bad Debts</v>
          </cell>
          <cell r="E75">
            <v>3407</v>
          </cell>
          <cell r="F75">
            <v>0</v>
          </cell>
          <cell r="G75">
            <v>3407</v>
          </cell>
          <cell r="H75">
            <v>0</v>
          </cell>
          <cell r="I75">
            <v>0</v>
          </cell>
          <cell r="J75">
            <v>3407</v>
          </cell>
          <cell r="K75">
            <v>0</v>
          </cell>
          <cell r="L75">
            <v>4814.1899999999996</v>
          </cell>
          <cell r="M75">
            <v>-1407.19</v>
          </cell>
          <cell r="N75">
            <v>-0.2923</v>
          </cell>
          <cell r="O75">
            <v>0</v>
          </cell>
          <cell r="P75">
            <v>0</v>
          </cell>
          <cell r="Q75">
            <v>-3992.81</v>
          </cell>
        </row>
        <row r="76">
          <cell r="A76" t="str">
            <v>6217088711</v>
          </cell>
          <cell r="B76">
            <v>62170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6217088785</v>
          </cell>
          <cell r="B77">
            <v>62170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A78" t="str">
            <v>6217088847</v>
          </cell>
          <cell r="B78">
            <v>62170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A79" t="str">
            <v>6217088866</v>
          </cell>
          <cell r="B79">
            <v>62170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A80" t="str">
            <v>6217088870</v>
          </cell>
          <cell r="B80">
            <v>62170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A81" t="str">
            <v>6217088889</v>
          </cell>
          <cell r="B81">
            <v>62170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>6217089776</v>
          </cell>
          <cell r="B82">
            <v>62170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6217089787</v>
          </cell>
          <cell r="B83">
            <v>62170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 t="str">
            <v>6217089510</v>
          </cell>
          <cell r="B84">
            <v>62170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226183</v>
          </cell>
          <cell r="G84">
            <v>-226183</v>
          </cell>
          <cell r="H84">
            <v>0</v>
          </cell>
          <cell r="I84">
            <v>63803</v>
          </cell>
          <cell r="J84">
            <v>-63803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226183</v>
          </cell>
          <cell r="P84">
            <v>63803</v>
          </cell>
          <cell r="Q84">
            <v>0</v>
          </cell>
        </row>
        <row r="85">
          <cell r="A85" t="str">
            <v>6217089511</v>
          </cell>
          <cell r="B85">
            <v>62170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 t="str">
            <v>6217089512</v>
          </cell>
          <cell r="B86">
            <v>62170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A87" t="str">
            <v>6217089528</v>
          </cell>
          <cell r="B87">
            <v>62170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 t="str">
            <v>6217089529</v>
          </cell>
          <cell r="B88">
            <v>62170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8557</v>
          </cell>
          <cell r="G88">
            <v>-8557</v>
          </cell>
          <cell r="H88">
            <v>0</v>
          </cell>
          <cell r="I88">
            <v>4667</v>
          </cell>
          <cell r="J88">
            <v>-4667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8557</v>
          </cell>
          <cell r="P88">
            <v>4667</v>
          </cell>
          <cell r="Q88">
            <v>0</v>
          </cell>
        </row>
        <row r="89">
          <cell r="A89" t="str">
            <v>6217089567</v>
          </cell>
          <cell r="B89">
            <v>62170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 t="str">
            <v>6217085058</v>
          </cell>
          <cell r="B90">
            <v>62170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 t="str">
            <v>6217086513</v>
          </cell>
          <cell r="B91">
            <v>62170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1302.74</v>
          </cell>
          <cell r="G91">
            <v>-1302.74</v>
          </cell>
          <cell r="H91">
            <v>0</v>
          </cell>
          <cell r="I91">
            <v>141.77000000000001</v>
          </cell>
          <cell r="J91">
            <v>-141.77000000000001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2069.42</v>
          </cell>
          <cell r="P91">
            <v>208.48</v>
          </cell>
          <cell r="Q91">
            <v>0</v>
          </cell>
        </row>
        <row r="92">
          <cell r="A92" t="str">
            <v>6217086519</v>
          </cell>
          <cell r="B92">
            <v>62170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 t="str">
            <v>6217088770</v>
          </cell>
          <cell r="B93">
            <v>62170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 t="str">
            <v>6217088862</v>
          </cell>
          <cell r="B94">
            <v>62170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 t="str">
            <v>6217088874</v>
          </cell>
          <cell r="B95">
            <v>62170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A96" t="str">
            <v>6217089910</v>
          </cell>
          <cell r="B96">
            <v>62170</v>
          </cell>
          <cell r="C96">
            <v>89910</v>
          </cell>
          <cell r="D96" t="str">
            <v>Depreciation</v>
          </cell>
          <cell r="E96">
            <v>0</v>
          </cell>
          <cell r="F96">
            <v>120771.17</v>
          </cell>
          <cell r="G96">
            <v>-120771.17</v>
          </cell>
          <cell r="H96">
            <v>0</v>
          </cell>
          <cell r="I96">
            <v>117164.64</v>
          </cell>
          <cell r="J96">
            <v>-117164.64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179840.72</v>
          </cell>
          <cell r="P96">
            <v>175384.25</v>
          </cell>
          <cell r="Q96">
            <v>0</v>
          </cell>
        </row>
        <row r="97">
          <cell r="A97" t="str">
            <v>6217089548</v>
          </cell>
          <cell r="B97">
            <v>62170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A98" t="str">
            <v>6219541010</v>
          </cell>
          <cell r="B98">
            <v>62195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A99" t="str">
            <v>6219541040</v>
          </cell>
          <cell r="B99">
            <v>62195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A100" t="str">
            <v>6219541050</v>
          </cell>
          <cell r="B100">
            <v>62195</v>
          </cell>
          <cell r="C100">
            <v>41050</v>
          </cell>
          <cell r="D100" t="str">
            <v>Rental Income - Fixed</v>
          </cell>
          <cell r="E100">
            <v>-4146310.79</v>
          </cell>
          <cell r="F100">
            <v>-4098307.69</v>
          </cell>
          <cell r="G100">
            <v>-48003.1000000001</v>
          </cell>
          <cell r="H100">
            <v>1.17E-2</v>
          </cell>
          <cell r="I100">
            <v>-4135758.75</v>
          </cell>
          <cell r="J100">
            <v>-10552.04</v>
          </cell>
          <cell r="K100">
            <v>2.5999999999999999E-3</v>
          </cell>
          <cell r="L100">
            <v>-4040321.31</v>
          </cell>
          <cell r="M100">
            <v>-105989.48</v>
          </cell>
          <cell r="N100">
            <v>2.6200000000000001E-2</v>
          </cell>
          <cell r="O100">
            <v>-6209402.8799999999</v>
          </cell>
          <cell r="P100">
            <v>-6286301.9100000001</v>
          </cell>
          <cell r="Q100">
            <v>-6121929.5899999999</v>
          </cell>
        </row>
        <row r="101">
          <cell r="A101" t="str">
            <v>6219541074</v>
          </cell>
          <cell r="B101">
            <v>62195</v>
          </cell>
          <cell r="C101">
            <v>41074</v>
          </cell>
          <cell r="D101" t="str">
            <v>Rental Income - Percentage</v>
          </cell>
          <cell r="E101">
            <v>-10935.64</v>
          </cell>
          <cell r="F101">
            <v>-16179</v>
          </cell>
          <cell r="G101">
            <v>5243.36</v>
          </cell>
          <cell r="H101">
            <v>-0.3241</v>
          </cell>
          <cell r="I101">
            <v>-6310</v>
          </cell>
          <cell r="J101">
            <v>-4625.6400000000003</v>
          </cell>
          <cell r="K101">
            <v>0.73309999999999997</v>
          </cell>
          <cell r="L101">
            <v>-11886.77</v>
          </cell>
          <cell r="M101">
            <v>951.13000000000102</v>
          </cell>
          <cell r="N101">
            <v>-0.08</v>
          </cell>
          <cell r="O101">
            <v>-16179</v>
          </cell>
          <cell r="P101">
            <v>-6310</v>
          </cell>
          <cell r="Q101">
            <v>-11886.95</v>
          </cell>
        </row>
        <row r="102">
          <cell r="A102" t="str">
            <v>6219541082</v>
          </cell>
          <cell r="B102">
            <v>62195</v>
          </cell>
          <cell r="C102">
            <v>41082</v>
          </cell>
          <cell r="D102" t="str">
            <v>Rental Income - Operating Exp</v>
          </cell>
          <cell r="E102">
            <v>-894627.3</v>
          </cell>
          <cell r="F102">
            <v>-1005723.04</v>
          </cell>
          <cell r="G102">
            <v>111095.74</v>
          </cell>
          <cell r="H102">
            <v>-0.1105</v>
          </cell>
          <cell r="I102">
            <v>-952736.83</v>
          </cell>
          <cell r="J102">
            <v>58109.529999999897</v>
          </cell>
          <cell r="K102">
            <v>-6.0999999999999999E-2</v>
          </cell>
          <cell r="L102">
            <v>-747434.1</v>
          </cell>
          <cell r="M102">
            <v>-147193.20000000001</v>
          </cell>
          <cell r="N102">
            <v>0.19689999999999999</v>
          </cell>
          <cell r="O102">
            <v>-1508584.56</v>
          </cell>
          <cell r="P102">
            <v>-1534421.83</v>
          </cell>
          <cell r="Q102">
            <v>-1283658.43</v>
          </cell>
        </row>
        <row r="103">
          <cell r="A103" t="str">
            <v>6219544610</v>
          </cell>
          <cell r="B103">
            <v>62195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A104" t="str">
            <v>6219545071</v>
          </cell>
          <cell r="B104">
            <v>62195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A105" t="str">
            <v>6219545010</v>
          </cell>
          <cell r="B105">
            <v>62195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6219545046</v>
          </cell>
          <cell r="B106">
            <v>62195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A107" t="str">
            <v>6219545070</v>
          </cell>
          <cell r="B107">
            <v>62195</v>
          </cell>
          <cell r="C107">
            <v>45070</v>
          </cell>
          <cell r="D107" t="str">
            <v>Other Income</v>
          </cell>
          <cell r="E107">
            <v>-20976.9</v>
          </cell>
          <cell r="F107">
            <v>0</v>
          </cell>
          <cell r="G107">
            <v>-20976.9</v>
          </cell>
          <cell r="H107">
            <v>0</v>
          </cell>
          <cell r="I107">
            <v>-16000.01</v>
          </cell>
          <cell r="J107">
            <v>-4976.8900000000003</v>
          </cell>
          <cell r="K107">
            <v>0.31109999999999999</v>
          </cell>
          <cell r="L107">
            <v>-1.29</v>
          </cell>
          <cell r="M107">
            <v>-20975.61</v>
          </cell>
          <cell r="N107">
            <v>16260.1628</v>
          </cell>
          <cell r="O107">
            <v>0</v>
          </cell>
          <cell r="P107">
            <v>-16000.01</v>
          </cell>
          <cell r="Q107">
            <v>-0.28000000000000003</v>
          </cell>
        </row>
        <row r="108">
          <cell r="A108" t="str">
            <v>6219541060</v>
          </cell>
          <cell r="B108">
            <v>62195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9832</v>
          </cell>
          <cell r="G108">
            <v>-9832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14748</v>
          </cell>
          <cell r="P108">
            <v>0</v>
          </cell>
          <cell r="Q108">
            <v>0</v>
          </cell>
        </row>
        <row r="109">
          <cell r="A109" t="str">
            <v>6219544870</v>
          </cell>
          <cell r="B109">
            <v>62195</v>
          </cell>
          <cell r="C109">
            <v>44870</v>
          </cell>
          <cell r="D109" t="str">
            <v>Late Fees</v>
          </cell>
          <cell r="E109">
            <v>-7279.79</v>
          </cell>
          <cell r="F109">
            <v>0</v>
          </cell>
          <cell r="G109">
            <v>-7279.79</v>
          </cell>
          <cell r="H109">
            <v>0</v>
          </cell>
          <cell r="I109">
            <v>-4972.05</v>
          </cell>
          <cell r="J109">
            <v>-2307.7399999999998</v>
          </cell>
          <cell r="K109">
            <v>0.46410000000000001</v>
          </cell>
          <cell r="L109">
            <v>-9.85</v>
          </cell>
          <cell r="M109">
            <v>-7269.94</v>
          </cell>
          <cell r="N109">
            <v>738.06500000000005</v>
          </cell>
          <cell r="O109">
            <v>0</v>
          </cell>
          <cell r="P109">
            <v>-4972.05</v>
          </cell>
          <cell r="Q109">
            <v>-6774.89</v>
          </cell>
        </row>
        <row r="110">
          <cell r="A110" t="str">
            <v>6219552542</v>
          </cell>
          <cell r="B110">
            <v>62195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6219572710</v>
          </cell>
          <cell r="B111">
            <v>62195</v>
          </cell>
          <cell r="C111">
            <v>72710</v>
          </cell>
          <cell r="D111" t="str">
            <v>Utilities - Electricity</v>
          </cell>
          <cell r="E111">
            <v>39383.040000000001</v>
          </cell>
          <cell r="F111">
            <v>52664</v>
          </cell>
          <cell r="G111">
            <v>-13280.96</v>
          </cell>
          <cell r="H111">
            <v>-0.25219999999999998</v>
          </cell>
          <cell r="I111">
            <v>42761.01</v>
          </cell>
          <cell r="J111">
            <v>-3377.97</v>
          </cell>
          <cell r="K111">
            <v>-7.9000000000000001E-2</v>
          </cell>
          <cell r="L111">
            <v>48798.16</v>
          </cell>
          <cell r="M111">
            <v>-9415.1200000000008</v>
          </cell>
          <cell r="N111">
            <v>-0.19289999999999999</v>
          </cell>
          <cell r="O111">
            <v>78996</v>
          </cell>
          <cell r="P111">
            <v>70693.009999999995</v>
          </cell>
          <cell r="Q111">
            <v>68033.13</v>
          </cell>
        </row>
        <row r="112">
          <cell r="A112" t="str">
            <v>6219572740</v>
          </cell>
          <cell r="B112">
            <v>62195</v>
          </cell>
          <cell r="C112">
            <v>72740</v>
          </cell>
          <cell r="D112" t="str">
            <v>Utilities - Gas</v>
          </cell>
          <cell r="E112">
            <v>1783.87</v>
          </cell>
          <cell r="F112">
            <v>0</v>
          </cell>
          <cell r="G112">
            <v>1783.87</v>
          </cell>
          <cell r="H112">
            <v>0</v>
          </cell>
          <cell r="I112">
            <v>407.61</v>
          </cell>
          <cell r="J112">
            <v>1376.26</v>
          </cell>
          <cell r="K112">
            <v>3.3763999999999998</v>
          </cell>
          <cell r="L112">
            <v>44.74</v>
          </cell>
          <cell r="M112">
            <v>1739.13</v>
          </cell>
          <cell r="N112">
            <v>38.871899999999997</v>
          </cell>
          <cell r="O112">
            <v>0</v>
          </cell>
          <cell r="P112">
            <v>1007.61</v>
          </cell>
          <cell r="Q112">
            <v>855.35</v>
          </cell>
        </row>
        <row r="113">
          <cell r="A113" t="str">
            <v>6219572770</v>
          </cell>
          <cell r="B113">
            <v>62195</v>
          </cell>
          <cell r="C113">
            <v>72770</v>
          </cell>
          <cell r="D113" t="str">
            <v>Utilities - Water</v>
          </cell>
          <cell r="E113">
            <v>19185.77</v>
          </cell>
          <cell r="F113">
            <v>18952</v>
          </cell>
          <cell r="G113">
            <v>233.77</v>
          </cell>
          <cell r="H113">
            <v>1.23E-2</v>
          </cell>
          <cell r="I113">
            <v>19769.509999999998</v>
          </cell>
          <cell r="J113">
            <v>-583.73999999999796</v>
          </cell>
          <cell r="K113">
            <v>-2.9499999999999998E-2</v>
          </cell>
          <cell r="L113">
            <v>13083.86</v>
          </cell>
          <cell r="M113">
            <v>6101.91</v>
          </cell>
          <cell r="N113">
            <v>0.46639999999999998</v>
          </cell>
          <cell r="O113">
            <v>28428</v>
          </cell>
          <cell r="P113">
            <v>29769.51</v>
          </cell>
          <cell r="Q113">
            <v>17643.939999999999</v>
          </cell>
        </row>
        <row r="114">
          <cell r="A114" t="str">
            <v>6219576000</v>
          </cell>
          <cell r="B114">
            <v>62195</v>
          </cell>
          <cell r="C114">
            <v>76000</v>
          </cell>
          <cell r="D114" t="str">
            <v>Bldg Maintenance &amp; Repair</v>
          </cell>
          <cell r="E114">
            <v>61870.62</v>
          </cell>
          <cell r="F114">
            <v>113373.64</v>
          </cell>
          <cell r="G114">
            <v>-51503.02</v>
          </cell>
          <cell r="H114">
            <v>-0.45429999999999998</v>
          </cell>
          <cell r="I114">
            <v>71419.039999999994</v>
          </cell>
          <cell r="J114">
            <v>-9548.4199999999892</v>
          </cell>
          <cell r="K114">
            <v>-0.13370000000000001</v>
          </cell>
          <cell r="L114">
            <v>51846.92</v>
          </cell>
          <cell r="M114">
            <v>10023.700000000001</v>
          </cell>
          <cell r="N114">
            <v>0.1933</v>
          </cell>
          <cell r="O114">
            <v>137351</v>
          </cell>
          <cell r="P114">
            <v>121205.4</v>
          </cell>
          <cell r="Q114">
            <v>162708.97</v>
          </cell>
        </row>
        <row r="115">
          <cell r="A115" t="str">
            <v>6219576020</v>
          </cell>
          <cell r="B115">
            <v>62195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A116" t="str">
            <v>6219576034</v>
          </cell>
          <cell r="B116">
            <v>62195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A117" t="str">
            <v>6219576050</v>
          </cell>
          <cell r="B117">
            <v>62195</v>
          </cell>
          <cell r="C117">
            <v>76050</v>
          </cell>
          <cell r="D117" t="str">
            <v>Cleaning Expense</v>
          </cell>
          <cell r="E117">
            <v>103810.51</v>
          </cell>
          <cell r="F117">
            <v>95288</v>
          </cell>
          <cell r="G117">
            <v>8522.5099999999893</v>
          </cell>
          <cell r="H117">
            <v>8.9399999999999993E-2</v>
          </cell>
          <cell r="I117">
            <v>102766.89</v>
          </cell>
          <cell r="J117">
            <v>1043.6199999999999</v>
          </cell>
          <cell r="K117">
            <v>1.0200000000000001E-2</v>
          </cell>
          <cell r="L117">
            <v>95147.76</v>
          </cell>
          <cell r="M117">
            <v>8662.75</v>
          </cell>
          <cell r="N117">
            <v>9.0999999999999998E-2</v>
          </cell>
          <cell r="O117">
            <v>142932</v>
          </cell>
          <cell r="P117">
            <v>151966.89000000001</v>
          </cell>
          <cell r="Q117">
            <v>144309.60999999999</v>
          </cell>
        </row>
        <row r="118">
          <cell r="A118" t="str">
            <v>6219576056</v>
          </cell>
          <cell r="B118">
            <v>62195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A119" t="str">
            <v>6219576070</v>
          </cell>
          <cell r="B119">
            <v>62195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A120" t="str">
            <v>6219576091</v>
          </cell>
          <cell r="B120">
            <v>62195</v>
          </cell>
          <cell r="C120">
            <v>76091</v>
          </cell>
          <cell r="D120" t="str">
            <v>Parking Maintenance</v>
          </cell>
          <cell r="E120">
            <v>43165.120000000003</v>
          </cell>
          <cell r="F120">
            <v>42048</v>
          </cell>
          <cell r="G120">
            <v>1117.1199999999999</v>
          </cell>
          <cell r="H120">
            <v>2.6599999999999999E-2</v>
          </cell>
          <cell r="I120">
            <v>42852.62</v>
          </cell>
          <cell r="J120">
            <v>312.5</v>
          </cell>
          <cell r="K120">
            <v>7.3000000000000001E-3</v>
          </cell>
          <cell r="L120">
            <v>48764.62</v>
          </cell>
          <cell r="M120">
            <v>-5599.5</v>
          </cell>
          <cell r="N120">
            <v>-0.1148</v>
          </cell>
          <cell r="O120">
            <v>93322</v>
          </cell>
          <cell r="P120">
            <v>103514.62</v>
          </cell>
          <cell r="Q120">
            <v>79597.740000000005</v>
          </cell>
        </row>
        <row r="121">
          <cell r="A121" t="str">
            <v>6219577000</v>
          </cell>
          <cell r="B121">
            <v>62195</v>
          </cell>
          <cell r="C121">
            <v>77000</v>
          </cell>
          <cell r="D121" t="str">
            <v>Grounds Maintenance</v>
          </cell>
          <cell r="E121">
            <v>46787.33</v>
          </cell>
          <cell r="F121">
            <v>77665.72</v>
          </cell>
          <cell r="G121">
            <v>-30878.39</v>
          </cell>
          <cell r="H121">
            <v>-0.39760000000000001</v>
          </cell>
          <cell r="I121">
            <v>43506.76</v>
          </cell>
          <cell r="J121">
            <v>3280.57</v>
          </cell>
          <cell r="K121">
            <v>7.5399999999999995E-2</v>
          </cell>
          <cell r="L121">
            <v>53188.44</v>
          </cell>
          <cell r="M121">
            <v>-6401.11</v>
          </cell>
          <cell r="N121">
            <v>-0.1203</v>
          </cell>
          <cell r="O121">
            <v>100282</v>
          </cell>
          <cell r="P121">
            <v>101048.03</v>
          </cell>
          <cell r="Q121">
            <v>73452.820000000007</v>
          </cell>
        </row>
        <row r="122">
          <cell r="A122" t="str">
            <v>6219577053</v>
          </cell>
          <cell r="B122">
            <v>62195</v>
          </cell>
          <cell r="C122">
            <v>77053</v>
          </cell>
          <cell r="D122" t="str">
            <v>Landscaping</v>
          </cell>
          <cell r="E122">
            <v>95646.9</v>
          </cell>
          <cell r="F122">
            <v>135017</v>
          </cell>
          <cell r="G122">
            <v>-39370.1</v>
          </cell>
          <cell r="H122">
            <v>-0.29160000000000003</v>
          </cell>
          <cell r="I122">
            <v>130707.65</v>
          </cell>
          <cell r="J122">
            <v>-35060.75</v>
          </cell>
          <cell r="K122">
            <v>-0.26819999999999999</v>
          </cell>
          <cell r="L122">
            <v>58487.77</v>
          </cell>
          <cell r="M122">
            <v>37159.129999999997</v>
          </cell>
          <cell r="N122">
            <v>0.63529999999999998</v>
          </cell>
          <cell r="O122">
            <v>176338</v>
          </cell>
          <cell r="P122">
            <v>175090.65</v>
          </cell>
          <cell r="Q122">
            <v>141114.59</v>
          </cell>
        </row>
        <row r="123">
          <cell r="A123" t="str">
            <v>6219578020</v>
          </cell>
          <cell r="B123">
            <v>62195</v>
          </cell>
          <cell r="C123">
            <v>78020</v>
          </cell>
          <cell r="D123" t="str">
            <v>Amortized CAM Exp</v>
          </cell>
          <cell r="E123">
            <v>0</v>
          </cell>
          <cell r="F123">
            <v>11111.36</v>
          </cell>
          <cell r="G123">
            <v>-11111.36</v>
          </cell>
          <cell r="H123">
            <v>0</v>
          </cell>
          <cell r="I123">
            <v>9375</v>
          </cell>
          <cell r="J123">
            <v>-9375</v>
          </cell>
          <cell r="K123">
            <v>0</v>
          </cell>
          <cell r="L123">
            <v>11112</v>
          </cell>
          <cell r="M123">
            <v>-11112</v>
          </cell>
          <cell r="N123">
            <v>0</v>
          </cell>
          <cell r="O123">
            <v>16667</v>
          </cell>
          <cell r="P123">
            <v>25000</v>
          </cell>
          <cell r="Q123">
            <v>0</v>
          </cell>
        </row>
        <row r="124">
          <cell r="A124" t="str">
            <v>6219584264</v>
          </cell>
          <cell r="B124">
            <v>62195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A125" t="str">
            <v>6219585555</v>
          </cell>
          <cell r="B125">
            <v>62195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A126" t="str">
            <v>6219585584</v>
          </cell>
          <cell r="B126">
            <v>62195</v>
          </cell>
          <cell r="C126">
            <v>85584</v>
          </cell>
          <cell r="D126" t="str">
            <v>Bldg Admin-Office Costs</v>
          </cell>
          <cell r="E126">
            <v>14386.51</v>
          </cell>
          <cell r="F126">
            <v>12880</v>
          </cell>
          <cell r="G126">
            <v>1506.51</v>
          </cell>
          <cell r="H126">
            <v>0.11700000000000001</v>
          </cell>
          <cell r="I126">
            <v>14133.66</v>
          </cell>
          <cell r="J126">
            <v>252.85</v>
          </cell>
          <cell r="K126">
            <v>1.7899999999999999E-2</v>
          </cell>
          <cell r="L126">
            <v>12820.67</v>
          </cell>
          <cell r="M126">
            <v>1565.84</v>
          </cell>
          <cell r="N126">
            <v>0.1221</v>
          </cell>
          <cell r="O126">
            <v>19320</v>
          </cell>
          <cell r="P126">
            <v>20944.18</v>
          </cell>
          <cell r="Q126">
            <v>20109.59</v>
          </cell>
        </row>
        <row r="127">
          <cell r="A127" t="str">
            <v>6219585582</v>
          </cell>
          <cell r="B127">
            <v>62195</v>
          </cell>
          <cell r="C127">
            <v>85582</v>
          </cell>
          <cell r="D127" t="str">
            <v>Bldg Admin-Salaries</v>
          </cell>
          <cell r="E127">
            <v>92831.039999999994</v>
          </cell>
          <cell r="F127">
            <v>86770</v>
          </cell>
          <cell r="G127">
            <v>6061.03999999999</v>
          </cell>
          <cell r="H127">
            <v>6.9900000000000004E-2</v>
          </cell>
          <cell r="I127">
            <v>94264.52</v>
          </cell>
          <cell r="J127">
            <v>-1433.48000000001</v>
          </cell>
          <cell r="K127">
            <v>-1.52E-2</v>
          </cell>
          <cell r="L127">
            <v>75735.59</v>
          </cell>
          <cell r="M127">
            <v>17095.45</v>
          </cell>
          <cell r="N127">
            <v>0.22570000000000001</v>
          </cell>
          <cell r="O127">
            <v>130155</v>
          </cell>
          <cell r="P127">
            <v>145621.09</v>
          </cell>
          <cell r="Q127">
            <v>123218.23</v>
          </cell>
        </row>
        <row r="128">
          <cell r="A128" t="str">
            <v>6219586564</v>
          </cell>
          <cell r="B128">
            <v>62195</v>
          </cell>
          <cell r="C128">
            <v>86564</v>
          </cell>
          <cell r="D128" t="str">
            <v>Insurance</v>
          </cell>
          <cell r="E128">
            <v>62011.28</v>
          </cell>
          <cell r="F128">
            <v>71312.639999999999</v>
          </cell>
          <cell r="G128">
            <v>-9301.36</v>
          </cell>
          <cell r="H128">
            <v>-0.13039999999999999</v>
          </cell>
          <cell r="I128">
            <v>60193.3</v>
          </cell>
          <cell r="J128">
            <v>1817.98</v>
          </cell>
          <cell r="K128">
            <v>3.0200000000000001E-2</v>
          </cell>
          <cell r="L128">
            <v>62016</v>
          </cell>
          <cell r="M128">
            <v>-4.7200000000011597</v>
          </cell>
          <cell r="N128">
            <v>-1E-4</v>
          </cell>
          <cell r="O128">
            <v>106969</v>
          </cell>
          <cell r="P128">
            <v>88762.94</v>
          </cell>
          <cell r="Q128">
            <v>93016</v>
          </cell>
        </row>
        <row r="129">
          <cell r="A129" t="str">
            <v>6219588846</v>
          </cell>
          <cell r="B129">
            <v>62195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5197</v>
          </cell>
          <cell r="Q129">
            <v>0</v>
          </cell>
        </row>
        <row r="130">
          <cell r="A130" t="str">
            <v>6219588890</v>
          </cell>
          <cell r="B130">
            <v>62195</v>
          </cell>
          <cell r="C130">
            <v>88890</v>
          </cell>
          <cell r="D130" t="str">
            <v>Security/Safety</v>
          </cell>
          <cell r="E130">
            <v>36298.269999999997</v>
          </cell>
          <cell r="F130">
            <v>34542</v>
          </cell>
          <cell r="G130">
            <v>1756.27</v>
          </cell>
          <cell r="H130">
            <v>5.0799999999999998E-2</v>
          </cell>
          <cell r="I130">
            <v>36179.360000000001</v>
          </cell>
          <cell r="J130">
            <v>118.909999999996</v>
          </cell>
          <cell r="K130">
            <v>3.3E-3</v>
          </cell>
          <cell r="L130">
            <v>33301.980000000003</v>
          </cell>
          <cell r="M130">
            <v>2996.28999999999</v>
          </cell>
          <cell r="N130">
            <v>0.09</v>
          </cell>
          <cell r="O130">
            <v>51813</v>
          </cell>
          <cell r="P130">
            <v>52771.360000000001</v>
          </cell>
          <cell r="Q130">
            <v>50206.66</v>
          </cell>
        </row>
        <row r="131">
          <cell r="A131" t="str">
            <v>6219589775</v>
          </cell>
          <cell r="B131">
            <v>62195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32">
          <cell r="A132" t="str">
            <v>6219589729</v>
          </cell>
          <cell r="B132">
            <v>62195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A133" t="str">
            <v>6219589786</v>
          </cell>
          <cell r="B133">
            <v>62195</v>
          </cell>
          <cell r="C133">
            <v>89786</v>
          </cell>
          <cell r="D133" t="str">
            <v>Property Tax Exp</v>
          </cell>
          <cell r="E133">
            <v>176931.98</v>
          </cell>
          <cell r="F133">
            <v>173147.36</v>
          </cell>
          <cell r="G133">
            <v>3784.6200000000199</v>
          </cell>
          <cell r="H133">
            <v>2.1899999999999999E-2</v>
          </cell>
          <cell r="I133">
            <v>177825.58</v>
          </cell>
          <cell r="J133">
            <v>-893.59999999997694</v>
          </cell>
          <cell r="K133">
            <v>-5.0000000000000001E-3</v>
          </cell>
          <cell r="L133">
            <v>148097.68</v>
          </cell>
          <cell r="M133">
            <v>28834.3</v>
          </cell>
          <cell r="N133">
            <v>0.19470000000000001</v>
          </cell>
          <cell r="O133">
            <v>259721</v>
          </cell>
          <cell r="P133">
            <v>274673.7</v>
          </cell>
          <cell r="Q133">
            <v>201413.42</v>
          </cell>
        </row>
        <row r="134">
          <cell r="A134" t="str">
            <v>6219571040</v>
          </cell>
          <cell r="B134">
            <v>62195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A135" t="str">
            <v>6219572701</v>
          </cell>
          <cell r="B135">
            <v>62195</v>
          </cell>
          <cell r="C135">
            <v>72701</v>
          </cell>
          <cell r="D135" t="str">
            <v>Utilities</v>
          </cell>
          <cell r="E135">
            <v>8451.84</v>
          </cell>
          <cell r="F135">
            <v>0</v>
          </cell>
          <cell r="G135">
            <v>8451.84</v>
          </cell>
          <cell r="H135">
            <v>0</v>
          </cell>
          <cell r="I135">
            <v>5871.7</v>
          </cell>
          <cell r="J135">
            <v>2580.14</v>
          </cell>
          <cell r="K135">
            <v>0.43940000000000001</v>
          </cell>
          <cell r="L135">
            <v>320.82</v>
          </cell>
          <cell r="M135">
            <v>8131.02</v>
          </cell>
          <cell r="N135">
            <v>25.3445</v>
          </cell>
          <cell r="O135">
            <v>0</v>
          </cell>
          <cell r="P135">
            <v>5871.7</v>
          </cell>
          <cell r="Q135">
            <v>908.36</v>
          </cell>
        </row>
        <row r="136">
          <cell r="A136" t="str">
            <v>6219572855</v>
          </cell>
          <cell r="B136">
            <v>62195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A137" t="str">
            <v>6219572870</v>
          </cell>
          <cell r="B137">
            <v>62195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A138" t="str">
            <v>6219576010</v>
          </cell>
          <cell r="B138">
            <v>62195</v>
          </cell>
          <cell r="C138">
            <v>76010</v>
          </cell>
          <cell r="D138" t="str">
            <v>Tenant Alterations</v>
          </cell>
          <cell r="E138">
            <v>778.24</v>
          </cell>
          <cell r="F138">
            <v>0</v>
          </cell>
          <cell r="G138">
            <v>778.24</v>
          </cell>
          <cell r="H138">
            <v>0</v>
          </cell>
          <cell r="I138">
            <v>643.24</v>
          </cell>
          <cell r="J138">
            <v>135</v>
          </cell>
          <cell r="K138">
            <v>0.2099</v>
          </cell>
          <cell r="L138">
            <v>145.30000000000001</v>
          </cell>
          <cell r="M138">
            <v>632.94000000000005</v>
          </cell>
          <cell r="N138">
            <v>4.3560999999999996</v>
          </cell>
          <cell r="O138">
            <v>0</v>
          </cell>
          <cell r="P138">
            <v>643.24</v>
          </cell>
          <cell r="Q138">
            <v>145.30000000000001</v>
          </cell>
        </row>
        <row r="139">
          <cell r="A139" t="str">
            <v>6219576040</v>
          </cell>
          <cell r="B139">
            <v>62195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A140" t="str">
            <v>6219576051</v>
          </cell>
          <cell r="B140">
            <v>62195</v>
          </cell>
          <cell r="C140">
            <v>76051</v>
          </cell>
          <cell r="D140" t="str">
            <v>Cleaning</v>
          </cell>
          <cell r="E140">
            <v>360.61</v>
          </cell>
          <cell r="F140">
            <v>0</v>
          </cell>
          <cell r="G140">
            <v>360.61</v>
          </cell>
          <cell r="H140">
            <v>0</v>
          </cell>
          <cell r="I140">
            <v>0</v>
          </cell>
          <cell r="J140">
            <v>360.61</v>
          </cell>
          <cell r="K140">
            <v>0</v>
          </cell>
          <cell r="L140">
            <v>0</v>
          </cell>
          <cell r="M140">
            <v>360.61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</row>
        <row r="141">
          <cell r="A141" t="str">
            <v>6219576054</v>
          </cell>
          <cell r="B141">
            <v>62195</v>
          </cell>
          <cell r="C141">
            <v>76054</v>
          </cell>
          <cell r="D141" t="str">
            <v>Bldg Maintenance &amp; Repair</v>
          </cell>
          <cell r="E141">
            <v>6141.5</v>
          </cell>
          <cell r="F141">
            <v>22500</v>
          </cell>
          <cell r="G141">
            <v>-16358.5</v>
          </cell>
          <cell r="H141">
            <v>-0.72699999999999998</v>
          </cell>
          <cell r="I141">
            <v>16284.5</v>
          </cell>
          <cell r="J141">
            <v>-10143</v>
          </cell>
          <cell r="K141">
            <v>-0.62290000000000001</v>
          </cell>
          <cell r="L141">
            <v>13027.82</v>
          </cell>
          <cell r="M141">
            <v>-6886.32</v>
          </cell>
          <cell r="N141">
            <v>-0.52859999999999996</v>
          </cell>
          <cell r="O141">
            <v>22500</v>
          </cell>
          <cell r="P141">
            <v>36284.5</v>
          </cell>
          <cell r="Q141">
            <v>84358.31</v>
          </cell>
        </row>
        <row r="142">
          <cell r="A142" t="str">
            <v>6219576060</v>
          </cell>
          <cell r="B142">
            <v>62195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6219576071</v>
          </cell>
          <cell r="B143">
            <v>62195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</row>
        <row r="144">
          <cell r="A144" t="str">
            <v>6219576090</v>
          </cell>
          <cell r="B144">
            <v>62195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A145" t="str">
            <v>6219577001</v>
          </cell>
          <cell r="B145">
            <v>62195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A146" t="str">
            <v>6219577022</v>
          </cell>
          <cell r="B146">
            <v>62195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A147" t="str">
            <v>6219584200</v>
          </cell>
          <cell r="B147">
            <v>62195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A148" t="str">
            <v>6219584240</v>
          </cell>
          <cell r="B148">
            <v>62195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14441.27</v>
          </cell>
          <cell r="M148">
            <v>-14441.27</v>
          </cell>
          <cell r="N148">
            <v>0</v>
          </cell>
          <cell r="O148">
            <v>0</v>
          </cell>
          <cell r="P148">
            <v>0</v>
          </cell>
          <cell r="Q148">
            <v>22709.31</v>
          </cell>
        </row>
        <row r="149">
          <cell r="A149" t="str">
            <v>6219584242</v>
          </cell>
          <cell r="B149">
            <v>62195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</row>
        <row r="150">
          <cell r="A150" t="str">
            <v>6219584243</v>
          </cell>
          <cell r="B150">
            <v>62195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-48405.47</v>
          </cell>
        </row>
        <row r="151">
          <cell r="A151" t="str">
            <v>6219584244</v>
          </cell>
          <cell r="B151">
            <v>62195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A152" t="str">
            <v>6219584265</v>
          </cell>
          <cell r="B152">
            <v>62195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3">
          <cell r="A153" t="str">
            <v>6219588037</v>
          </cell>
          <cell r="B153">
            <v>62195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A154" t="str">
            <v>6219585016</v>
          </cell>
          <cell r="B154">
            <v>62195</v>
          </cell>
          <cell r="C154">
            <v>85016</v>
          </cell>
          <cell r="D154" t="str">
            <v>Prof Svc-Attorney Outside</v>
          </cell>
          <cell r="E154">
            <v>32926.370000000003</v>
          </cell>
          <cell r="F154">
            <v>4000</v>
          </cell>
          <cell r="G154">
            <v>28926.37</v>
          </cell>
          <cell r="H154">
            <v>7.2316000000000003</v>
          </cell>
          <cell r="I154">
            <v>10707.6</v>
          </cell>
          <cell r="J154">
            <v>22218.77</v>
          </cell>
          <cell r="K154">
            <v>2.0750000000000002</v>
          </cell>
          <cell r="L154">
            <v>4601.42</v>
          </cell>
          <cell r="M154">
            <v>28324.95</v>
          </cell>
          <cell r="N154">
            <v>6.1557000000000004</v>
          </cell>
          <cell r="O154">
            <v>5000</v>
          </cell>
          <cell r="P154">
            <v>11707.6</v>
          </cell>
          <cell r="Q154">
            <v>7676.74</v>
          </cell>
        </row>
        <row r="155">
          <cell r="A155" t="str">
            <v>6219585022</v>
          </cell>
          <cell r="B155">
            <v>62195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3000</v>
          </cell>
          <cell r="P155">
            <v>3000</v>
          </cell>
          <cell r="Q155">
            <v>2725</v>
          </cell>
        </row>
        <row r="156">
          <cell r="A156" t="str">
            <v>6219585065</v>
          </cell>
          <cell r="B156">
            <v>62195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A157" t="str">
            <v>6219585500</v>
          </cell>
          <cell r="B157">
            <v>62195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3000</v>
          </cell>
          <cell r="G157">
            <v>-3000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6000</v>
          </cell>
          <cell r="P157">
            <v>3000</v>
          </cell>
          <cell r="Q157">
            <v>50</v>
          </cell>
        </row>
        <row r="158">
          <cell r="A158" t="str">
            <v>6219585566</v>
          </cell>
          <cell r="B158">
            <v>62195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A159" t="str">
            <v>6219585581</v>
          </cell>
          <cell r="B159">
            <v>62195</v>
          </cell>
          <cell r="C159">
            <v>85581</v>
          </cell>
          <cell r="D159" t="str">
            <v>Bldg Admin- Salaries</v>
          </cell>
          <cell r="E159">
            <v>52573.54</v>
          </cell>
          <cell r="F159">
            <v>51856</v>
          </cell>
          <cell r="G159">
            <v>717.54000000000099</v>
          </cell>
          <cell r="H159">
            <v>1.38E-2</v>
          </cell>
          <cell r="I159">
            <v>53563.839999999997</v>
          </cell>
          <cell r="J159">
            <v>-990.29999999999598</v>
          </cell>
          <cell r="K159">
            <v>-1.8499999999999999E-2</v>
          </cell>
          <cell r="L159">
            <v>43413.42</v>
          </cell>
          <cell r="M159">
            <v>9160.1200000000008</v>
          </cell>
          <cell r="N159">
            <v>0.21099999999999999</v>
          </cell>
          <cell r="O159">
            <v>77780</v>
          </cell>
          <cell r="P159">
            <v>84113.44</v>
          </cell>
          <cell r="Q159">
            <v>67201.710000000006</v>
          </cell>
        </row>
        <row r="160">
          <cell r="A160" t="str">
            <v>6219585583</v>
          </cell>
          <cell r="B160">
            <v>62195</v>
          </cell>
          <cell r="C160">
            <v>85583</v>
          </cell>
          <cell r="D160" t="str">
            <v>Bldg Admin-Office Exp.</v>
          </cell>
          <cell r="E160">
            <v>8030.6</v>
          </cell>
          <cell r="F160">
            <v>7521.36</v>
          </cell>
          <cell r="G160">
            <v>509.24000000000098</v>
          </cell>
          <cell r="H160">
            <v>6.7699999999999996E-2</v>
          </cell>
          <cell r="I160">
            <v>8132.44</v>
          </cell>
          <cell r="J160">
            <v>-101.83999999999899</v>
          </cell>
          <cell r="K160">
            <v>-1.2500000000000001E-2</v>
          </cell>
          <cell r="L160">
            <v>7221.14</v>
          </cell>
          <cell r="M160">
            <v>809.46</v>
          </cell>
          <cell r="N160">
            <v>0.11210000000000001</v>
          </cell>
          <cell r="O160">
            <v>11282</v>
          </cell>
          <cell r="P160">
            <v>11910.27</v>
          </cell>
          <cell r="Q160">
            <v>11237.35</v>
          </cell>
        </row>
        <row r="161">
          <cell r="A161" t="str">
            <v>6219585530</v>
          </cell>
          <cell r="B161">
            <v>62195</v>
          </cell>
          <cell r="C161">
            <v>85530</v>
          </cell>
          <cell r="D161" t="str">
            <v>Bldg Admin - Office Exp</v>
          </cell>
          <cell r="E161">
            <v>8030.6</v>
          </cell>
          <cell r="F161">
            <v>7521.36</v>
          </cell>
          <cell r="G161">
            <v>509.24000000000098</v>
          </cell>
          <cell r="H161">
            <v>6.7699999999999996E-2</v>
          </cell>
          <cell r="I161">
            <v>8132.44</v>
          </cell>
          <cell r="J161">
            <v>-101.83999999999899</v>
          </cell>
          <cell r="K161">
            <v>-1.2500000000000001E-2</v>
          </cell>
          <cell r="L161">
            <v>7221.14</v>
          </cell>
          <cell r="M161">
            <v>809.46</v>
          </cell>
          <cell r="N161">
            <v>0.11210000000000001</v>
          </cell>
          <cell r="O161">
            <v>11282</v>
          </cell>
          <cell r="P161">
            <v>11910.27</v>
          </cell>
          <cell r="Q161">
            <v>11237.35</v>
          </cell>
        </row>
        <row r="162">
          <cell r="A162" t="str">
            <v>6219586012</v>
          </cell>
          <cell r="B162">
            <v>62195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A163" t="str">
            <v>6219586037</v>
          </cell>
          <cell r="B163">
            <v>62195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A164" t="str">
            <v>6219583050</v>
          </cell>
          <cell r="B164">
            <v>62195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A165" t="str">
            <v>6219586510</v>
          </cell>
          <cell r="B165">
            <v>62195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A166" t="str">
            <v>6219586537</v>
          </cell>
          <cell r="B166">
            <v>62195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A167" t="str">
            <v>6219586566</v>
          </cell>
          <cell r="B167">
            <v>62195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A168" t="str">
            <v>6219586955</v>
          </cell>
          <cell r="B168">
            <v>62195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A169" t="str">
            <v>6219586985</v>
          </cell>
          <cell r="B169">
            <v>62195</v>
          </cell>
          <cell r="C169">
            <v>86985</v>
          </cell>
          <cell r="D169" t="str">
            <v>Purchased Svcs _ Other</v>
          </cell>
          <cell r="E169">
            <v>272.95999999999998</v>
          </cell>
          <cell r="F169">
            <v>0</v>
          </cell>
          <cell r="G169">
            <v>272.95999999999998</v>
          </cell>
          <cell r="H169">
            <v>0</v>
          </cell>
          <cell r="I169">
            <v>272.95999999999998</v>
          </cell>
          <cell r="J169">
            <v>0</v>
          </cell>
          <cell r="K169">
            <v>0</v>
          </cell>
          <cell r="L169">
            <v>0</v>
          </cell>
          <cell r="M169">
            <v>272.95999999999998</v>
          </cell>
          <cell r="N169">
            <v>0</v>
          </cell>
          <cell r="O169">
            <v>0</v>
          </cell>
          <cell r="P169">
            <v>-6890.04</v>
          </cell>
          <cell r="Q169">
            <v>0</v>
          </cell>
        </row>
        <row r="170">
          <cell r="A170" t="str">
            <v>6219586880</v>
          </cell>
          <cell r="B170">
            <v>62195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  <row r="171">
          <cell r="A171" t="str">
            <v>6219588710</v>
          </cell>
          <cell r="B171">
            <v>62195</v>
          </cell>
          <cell r="C171">
            <v>88710</v>
          </cell>
          <cell r="D171" t="str">
            <v>Losses-Bad Debts</v>
          </cell>
          <cell r="E171">
            <v>-30379.69</v>
          </cell>
          <cell r="F171">
            <v>61000</v>
          </cell>
          <cell r="G171">
            <v>-91379.69</v>
          </cell>
          <cell r="H171">
            <v>-1.498</v>
          </cell>
          <cell r="I171">
            <v>-27084.69</v>
          </cell>
          <cell r="J171">
            <v>-3295</v>
          </cell>
          <cell r="K171">
            <v>0.1217</v>
          </cell>
          <cell r="L171">
            <v>251534.99</v>
          </cell>
          <cell r="M171">
            <v>-281914.68</v>
          </cell>
          <cell r="N171">
            <v>-1.1208</v>
          </cell>
          <cell r="O171">
            <v>122000</v>
          </cell>
          <cell r="P171">
            <v>-27084.69</v>
          </cell>
          <cell r="Q171">
            <v>362857.99</v>
          </cell>
        </row>
        <row r="172">
          <cell r="A172" t="str">
            <v>6219588711</v>
          </cell>
          <cell r="B172">
            <v>62195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73">
          <cell r="A173" t="str">
            <v>6219588785</v>
          </cell>
          <cell r="B173">
            <v>62195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A174" t="str">
            <v>6219588847</v>
          </cell>
          <cell r="B174">
            <v>62195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</row>
        <row r="175">
          <cell r="A175" t="str">
            <v>6219588866</v>
          </cell>
          <cell r="B175">
            <v>62195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A176" t="str">
            <v>6219588870</v>
          </cell>
          <cell r="B176">
            <v>62195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</row>
        <row r="177">
          <cell r="A177" t="str">
            <v>6219588889</v>
          </cell>
          <cell r="B177">
            <v>62195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A178" t="str">
            <v>6219589776</v>
          </cell>
          <cell r="B178">
            <v>62195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</row>
        <row r="179">
          <cell r="A179" t="str">
            <v>6219589787</v>
          </cell>
          <cell r="B179">
            <v>62195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</row>
        <row r="180">
          <cell r="A180" t="str">
            <v>6219589510</v>
          </cell>
          <cell r="B180">
            <v>62195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557916</v>
          </cell>
          <cell r="G180">
            <v>-557916</v>
          </cell>
          <cell r="H180">
            <v>0</v>
          </cell>
          <cell r="I180">
            <v>157381</v>
          </cell>
          <cell r="J180">
            <v>-157381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557916</v>
          </cell>
          <cell r="P180">
            <v>157381</v>
          </cell>
          <cell r="Q180">
            <v>0</v>
          </cell>
        </row>
        <row r="181">
          <cell r="A181" t="str">
            <v>6219589511</v>
          </cell>
          <cell r="B181">
            <v>62195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2">
          <cell r="A182" t="str">
            <v>6219589512</v>
          </cell>
          <cell r="B182">
            <v>62195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</row>
        <row r="183">
          <cell r="A183" t="str">
            <v>6219589528</v>
          </cell>
          <cell r="B183">
            <v>62195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A184" t="str">
            <v>6219589529</v>
          </cell>
          <cell r="B184">
            <v>62195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21108</v>
          </cell>
          <cell r="G184">
            <v>-21108</v>
          </cell>
          <cell r="H184">
            <v>0</v>
          </cell>
          <cell r="I184">
            <v>11513</v>
          </cell>
          <cell r="J184">
            <v>-11513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21108</v>
          </cell>
          <cell r="P184">
            <v>11513</v>
          </cell>
          <cell r="Q184">
            <v>0</v>
          </cell>
        </row>
        <row r="185">
          <cell r="A185" t="str">
            <v>6219589567</v>
          </cell>
          <cell r="B185">
            <v>62195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A186" t="str">
            <v>6219585058</v>
          </cell>
          <cell r="B186">
            <v>62195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</row>
        <row r="187">
          <cell r="A187" t="str">
            <v>6219586513</v>
          </cell>
          <cell r="B187">
            <v>62195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204.02</v>
          </cell>
          <cell r="J187">
            <v>-204.02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474.71</v>
          </cell>
          <cell r="Q187">
            <v>0</v>
          </cell>
        </row>
        <row r="188">
          <cell r="A188" t="str">
            <v>6219586519</v>
          </cell>
          <cell r="B188">
            <v>62195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A189" t="str">
            <v>6219588770</v>
          </cell>
          <cell r="B189">
            <v>62195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A190" t="str">
            <v>6219588862</v>
          </cell>
          <cell r="B190">
            <v>62195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A191" t="str">
            <v>6219588874</v>
          </cell>
          <cell r="B191">
            <v>62195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A192" t="str">
            <v>6219589910</v>
          </cell>
          <cell r="B192">
            <v>62195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857133.1</v>
          </cell>
          <cell r="G192">
            <v>-857133.1</v>
          </cell>
          <cell r="H192">
            <v>0</v>
          </cell>
          <cell r="I192">
            <v>823919.39</v>
          </cell>
          <cell r="J192">
            <v>-823919.39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1279640.45</v>
          </cell>
          <cell r="P192">
            <v>1231292.18</v>
          </cell>
          <cell r="Q192">
            <v>0</v>
          </cell>
        </row>
        <row r="193">
          <cell r="A193" t="str">
            <v>6219589548</v>
          </cell>
          <cell r="B193">
            <v>62195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4">
          <cell r="A194" t="str">
            <v>6221541010</v>
          </cell>
          <cell r="B194">
            <v>62215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5">
          <cell r="A195" t="str">
            <v>6221541040</v>
          </cell>
          <cell r="B195">
            <v>62215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</row>
        <row r="196">
          <cell r="A196" t="str">
            <v>6221541050</v>
          </cell>
          <cell r="B196">
            <v>62215</v>
          </cell>
          <cell r="C196">
            <v>41050</v>
          </cell>
          <cell r="D196" t="str">
            <v>Rental Income - Fixed</v>
          </cell>
          <cell r="E196">
            <v>-871294.13</v>
          </cell>
          <cell r="F196">
            <v>-928767.35</v>
          </cell>
          <cell r="G196">
            <v>57473.22</v>
          </cell>
          <cell r="H196">
            <v>-6.1899999999999997E-2</v>
          </cell>
          <cell r="I196">
            <v>-908050.27</v>
          </cell>
          <cell r="J196">
            <v>36756.14</v>
          </cell>
          <cell r="K196">
            <v>-4.0500000000000001E-2</v>
          </cell>
          <cell r="L196">
            <v>-887956.99</v>
          </cell>
          <cell r="M196">
            <v>16662.86</v>
          </cell>
          <cell r="N196">
            <v>-1.8800000000000001E-2</v>
          </cell>
          <cell r="O196">
            <v>-1415061.77</v>
          </cell>
          <cell r="P196">
            <v>-1434058.81</v>
          </cell>
          <cell r="Q196">
            <v>-1361201.03</v>
          </cell>
        </row>
        <row r="197">
          <cell r="A197" t="str">
            <v>6221541074</v>
          </cell>
          <cell r="B197">
            <v>62215</v>
          </cell>
          <cell r="C197">
            <v>41074</v>
          </cell>
          <cell r="D197" t="str">
            <v>Rental Income - Percentage</v>
          </cell>
          <cell r="E197">
            <v>-9433.3799999999992</v>
          </cell>
          <cell r="F197">
            <v>-1405</v>
          </cell>
          <cell r="G197">
            <v>-8028.38</v>
          </cell>
          <cell r="H197">
            <v>5.7141000000000002</v>
          </cell>
          <cell r="I197">
            <v>-11206.95</v>
          </cell>
          <cell r="J197">
            <v>1773.57</v>
          </cell>
          <cell r="K197">
            <v>-0.1583</v>
          </cell>
          <cell r="L197">
            <v>-1376.17</v>
          </cell>
          <cell r="M197">
            <v>-8057.21</v>
          </cell>
          <cell r="N197">
            <v>5.8548</v>
          </cell>
          <cell r="O197">
            <v>-1405</v>
          </cell>
          <cell r="P197">
            <v>-11206.95</v>
          </cell>
          <cell r="Q197">
            <v>-1376.17</v>
          </cell>
        </row>
        <row r="198">
          <cell r="A198" t="str">
            <v>6221541082</v>
          </cell>
          <cell r="B198">
            <v>62215</v>
          </cell>
          <cell r="C198">
            <v>41082</v>
          </cell>
          <cell r="D198" t="str">
            <v>Rental Income - Operating Exp</v>
          </cell>
          <cell r="E198">
            <v>-217250.38</v>
          </cell>
          <cell r="F198">
            <v>-243714</v>
          </cell>
          <cell r="G198">
            <v>26463.62</v>
          </cell>
          <cell r="H198">
            <v>-0.1086</v>
          </cell>
          <cell r="I198">
            <v>-246759.65</v>
          </cell>
          <cell r="J198">
            <v>29509.27</v>
          </cell>
          <cell r="K198">
            <v>-0.1196</v>
          </cell>
          <cell r="L198">
            <v>-181291.3</v>
          </cell>
          <cell r="M198">
            <v>-35959.08</v>
          </cell>
          <cell r="N198">
            <v>0.1983</v>
          </cell>
          <cell r="O198">
            <v>-365571</v>
          </cell>
          <cell r="P198">
            <v>-375402.65</v>
          </cell>
          <cell r="Q198">
            <v>-209027.44</v>
          </cell>
        </row>
        <row r="199">
          <cell r="A199" t="str">
            <v>6221544610</v>
          </cell>
          <cell r="B199">
            <v>62215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A200" t="str">
            <v>6221545071</v>
          </cell>
          <cell r="B200">
            <v>62215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A201" t="str">
            <v>6221545010</v>
          </cell>
          <cell r="B201">
            <v>62215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02">
          <cell r="A202" t="str">
            <v>6221545046</v>
          </cell>
          <cell r="B202">
            <v>62215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 t="str">
            <v>6221545070</v>
          </cell>
          <cell r="B203">
            <v>62215</v>
          </cell>
          <cell r="C203">
            <v>45070</v>
          </cell>
          <cell r="D203" t="str">
            <v>Other Income</v>
          </cell>
          <cell r="E203">
            <v>-1299.92</v>
          </cell>
          <cell r="F203">
            <v>0</v>
          </cell>
          <cell r="G203">
            <v>-1299.92</v>
          </cell>
          <cell r="H203">
            <v>0</v>
          </cell>
          <cell r="I203">
            <v>-1000</v>
          </cell>
          <cell r="J203">
            <v>-299.92</v>
          </cell>
          <cell r="K203">
            <v>0.2999</v>
          </cell>
          <cell r="L203">
            <v>-523.33000000000004</v>
          </cell>
          <cell r="M203">
            <v>-776.59</v>
          </cell>
          <cell r="N203">
            <v>1.4839</v>
          </cell>
          <cell r="O203">
            <v>0</v>
          </cell>
          <cell r="P203">
            <v>-1000</v>
          </cell>
          <cell r="Q203">
            <v>-923.37</v>
          </cell>
        </row>
        <row r="204">
          <cell r="A204" t="str">
            <v>6221541060</v>
          </cell>
          <cell r="B204">
            <v>62215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20416</v>
          </cell>
          <cell r="G204">
            <v>-20416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30624</v>
          </cell>
          <cell r="P204">
            <v>0</v>
          </cell>
          <cell r="Q204">
            <v>0</v>
          </cell>
        </row>
        <row r="205">
          <cell r="A205" t="str">
            <v>6221544870</v>
          </cell>
          <cell r="B205">
            <v>62215</v>
          </cell>
          <cell r="C205">
            <v>44870</v>
          </cell>
          <cell r="D205" t="str">
            <v>Late Fees</v>
          </cell>
          <cell r="E205">
            <v>-3990.8</v>
          </cell>
          <cell r="F205">
            <v>-1333.36</v>
          </cell>
          <cell r="G205">
            <v>-2657.44</v>
          </cell>
          <cell r="H205">
            <v>1.9930000000000001</v>
          </cell>
          <cell r="I205">
            <v>-3657.04</v>
          </cell>
          <cell r="J205">
            <v>-333.76</v>
          </cell>
          <cell r="K205">
            <v>9.1300000000000006E-2</v>
          </cell>
          <cell r="L205">
            <v>-974.4</v>
          </cell>
          <cell r="M205">
            <v>-3016.4</v>
          </cell>
          <cell r="N205">
            <v>3.0956000000000001</v>
          </cell>
          <cell r="O205">
            <v>-2000</v>
          </cell>
          <cell r="P205">
            <v>-4323.68</v>
          </cell>
          <cell r="Q205">
            <v>-2373.2800000000002</v>
          </cell>
        </row>
        <row r="206">
          <cell r="A206" t="str">
            <v>6221552542</v>
          </cell>
          <cell r="B206">
            <v>62215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A207" t="str">
            <v>6221572710</v>
          </cell>
          <cell r="B207">
            <v>62215</v>
          </cell>
          <cell r="C207">
            <v>72710</v>
          </cell>
          <cell r="D207" t="str">
            <v>Utilities - Electricity</v>
          </cell>
          <cell r="E207">
            <v>13830.59</v>
          </cell>
          <cell r="F207">
            <v>15136</v>
          </cell>
          <cell r="G207">
            <v>-1305.4100000000001</v>
          </cell>
          <cell r="H207">
            <v>-8.6199999999999999E-2</v>
          </cell>
          <cell r="I207">
            <v>9867.34</v>
          </cell>
          <cell r="J207">
            <v>3963.25</v>
          </cell>
          <cell r="K207">
            <v>0.4017</v>
          </cell>
          <cell r="L207">
            <v>12495.75</v>
          </cell>
          <cell r="M207">
            <v>1334.84</v>
          </cell>
          <cell r="N207">
            <v>0.10680000000000001</v>
          </cell>
          <cell r="O207">
            <v>22704</v>
          </cell>
          <cell r="P207">
            <v>15867.34</v>
          </cell>
          <cell r="Q207">
            <v>17943.29</v>
          </cell>
        </row>
        <row r="208">
          <cell r="A208" t="str">
            <v>6221572740</v>
          </cell>
          <cell r="B208">
            <v>62215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A209" t="str">
            <v>6221572770</v>
          </cell>
          <cell r="B209">
            <v>62215</v>
          </cell>
          <cell r="C209">
            <v>72770</v>
          </cell>
          <cell r="D209" t="str">
            <v>Utilities - Water</v>
          </cell>
          <cell r="E209">
            <v>7896.13</v>
          </cell>
          <cell r="F209">
            <v>9800</v>
          </cell>
          <cell r="G209">
            <v>-1903.87</v>
          </cell>
          <cell r="H209">
            <v>-0.1943</v>
          </cell>
          <cell r="I209">
            <v>9076.01</v>
          </cell>
          <cell r="J209">
            <v>-1179.8800000000001</v>
          </cell>
          <cell r="K209">
            <v>-0.13</v>
          </cell>
          <cell r="L209">
            <v>8811.8700000000008</v>
          </cell>
          <cell r="M209">
            <v>-915.74000000000103</v>
          </cell>
          <cell r="N209">
            <v>-0.10390000000000001</v>
          </cell>
          <cell r="O209">
            <v>14700</v>
          </cell>
          <cell r="P209">
            <v>13976.01</v>
          </cell>
          <cell r="Q209">
            <v>12874.53</v>
          </cell>
        </row>
        <row r="210">
          <cell r="A210" t="str">
            <v>6221576000</v>
          </cell>
          <cell r="B210">
            <v>62215</v>
          </cell>
          <cell r="C210">
            <v>76000</v>
          </cell>
          <cell r="D210" t="str">
            <v>Bldg Maintenance &amp; Repair</v>
          </cell>
          <cell r="E210">
            <v>16262.35</v>
          </cell>
          <cell r="F210">
            <v>41861.360000000001</v>
          </cell>
          <cell r="G210">
            <v>-25599.01</v>
          </cell>
          <cell r="H210">
            <v>-0.61150000000000004</v>
          </cell>
          <cell r="I210">
            <v>36177.269999999997</v>
          </cell>
          <cell r="J210">
            <v>-19914.919999999998</v>
          </cell>
          <cell r="K210">
            <v>-0.55049999999999999</v>
          </cell>
          <cell r="L210">
            <v>19318.05</v>
          </cell>
          <cell r="M210">
            <v>-3055.7</v>
          </cell>
          <cell r="N210">
            <v>-0.15820000000000001</v>
          </cell>
          <cell r="O210">
            <v>59760</v>
          </cell>
          <cell r="P210">
            <v>59644.15</v>
          </cell>
          <cell r="Q210">
            <v>26952.87</v>
          </cell>
        </row>
        <row r="211">
          <cell r="A211" t="str">
            <v>6221576020</v>
          </cell>
          <cell r="B211">
            <v>62215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A212" t="str">
            <v>6221576034</v>
          </cell>
          <cell r="B212">
            <v>62215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</row>
        <row r="213">
          <cell r="A213" t="str">
            <v>6221576050</v>
          </cell>
          <cell r="B213">
            <v>62215</v>
          </cell>
          <cell r="C213">
            <v>76050</v>
          </cell>
          <cell r="D213" t="str">
            <v>Cleaning Expense</v>
          </cell>
          <cell r="E213">
            <v>14431.08</v>
          </cell>
          <cell r="F213">
            <v>14480</v>
          </cell>
          <cell r="G213">
            <v>-48.920000000000101</v>
          </cell>
          <cell r="H213">
            <v>-3.3999999999999998E-3</v>
          </cell>
          <cell r="I213">
            <v>14563.8</v>
          </cell>
          <cell r="J213">
            <v>-132.719999999999</v>
          </cell>
          <cell r="K213">
            <v>-9.1000000000000004E-3</v>
          </cell>
          <cell r="L213">
            <v>13566.22</v>
          </cell>
          <cell r="M213">
            <v>864.86000000000104</v>
          </cell>
          <cell r="N213">
            <v>6.3799999999999996E-2</v>
          </cell>
          <cell r="O213">
            <v>21720</v>
          </cell>
          <cell r="P213">
            <v>21803.8</v>
          </cell>
          <cell r="Q213">
            <v>20169.240000000002</v>
          </cell>
        </row>
        <row r="214">
          <cell r="A214" t="str">
            <v>6221576056</v>
          </cell>
          <cell r="B214">
            <v>62215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A215" t="str">
            <v>6221576070</v>
          </cell>
          <cell r="B215">
            <v>62215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6">
          <cell r="A216" t="str">
            <v>6221576091</v>
          </cell>
          <cell r="B216">
            <v>62215</v>
          </cell>
          <cell r="C216">
            <v>76091</v>
          </cell>
          <cell r="D216" t="str">
            <v>Parking Maintenance</v>
          </cell>
          <cell r="E216">
            <v>13422.75</v>
          </cell>
          <cell r="F216">
            <v>11356.64</v>
          </cell>
          <cell r="G216">
            <v>2066.11</v>
          </cell>
          <cell r="H216">
            <v>0.18190000000000001</v>
          </cell>
          <cell r="I216">
            <v>13370.49</v>
          </cell>
          <cell r="J216">
            <v>52.260000000000197</v>
          </cell>
          <cell r="K216">
            <v>3.8999999999999998E-3</v>
          </cell>
          <cell r="L216">
            <v>13739.31</v>
          </cell>
          <cell r="M216">
            <v>-316.55999999999898</v>
          </cell>
          <cell r="N216">
            <v>-2.3E-2</v>
          </cell>
          <cell r="O216">
            <v>17035</v>
          </cell>
          <cell r="P216">
            <v>19048.849999999999</v>
          </cell>
          <cell r="Q216">
            <v>20850.98</v>
          </cell>
        </row>
        <row r="217">
          <cell r="A217" t="str">
            <v>6221577000</v>
          </cell>
          <cell r="B217">
            <v>62215</v>
          </cell>
          <cell r="C217">
            <v>77000</v>
          </cell>
          <cell r="D217" t="str">
            <v>Grounds Maintenance</v>
          </cell>
          <cell r="E217">
            <v>10578.47</v>
          </cell>
          <cell r="F217">
            <v>19525.36</v>
          </cell>
          <cell r="G217">
            <v>-8946.89</v>
          </cell>
          <cell r="H217">
            <v>-0.4582</v>
          </cell>
          <cell r="I217">
            <v>14407.89</v>
          </cell>
          <cell r="J217">
            <v>-3829.42</v>
          </cell>
          <cell r="K217">
            <v>-0.26579999999999998</v>
          </cell>
          <cell r="L217">
            <v>13847.98</v>
          </cell>
          <cell r="M217">
            <v>-3269.51</v>
          </cell>
          <cell r="N217">
            <v>-0.2361</v>
          </cell>
          <cell r="O217">
            <v>24003</v>
          </cell>
          <cell r="P217">
            <v>19501.37</v>
          </cell>
          <cell r="Q217">
            <v>22510.91</v>
          </cell>
        </row>
        <row r="218">
          <cell r="A218" t="str">
            <v>6221577053</v>
          </cell>
          <cell r="B218">
            <v>62215</v>
          </cell>
          <cell r="C218">
            <v>77053</v>
          </cell>
          <cell r="D218" t="str">
            <v>Landscaping</v>
          </cell>
          <cell r="E218">
            <v>19028.490000000002</v>
          </cell>
          <cell r="F218">
            <v>31295</v>
          </cell>
          <cell r="G218">
            <v>-12266.51</v>
          </cell>
          <cell r="H218">
            <v>-0.39200000000000002</v>
          </cell>
          <cell r="I218">
            <v>22066.07</v>
          </cell>
          <cell r="J218">
            <v>-3037.58</v>
          </cell>
          <cell r="K218">
            <v>-0.13769999999999999</v>
          </cell>
          <cell r="L218">
            <v>15391.02</v>
          </cell>
          <cell r="M218">
            <v>3637.47</v>
          </cell>
          <cell r="N218">
            <v>0.23630000000000001</v>
          </cell>
          <cell r="O218">
            <v>40935</v>
          </cell>
          <cell r="P218">
            <v>35714.07</v>
          </cell>
          <cell r="Q218">
            <v>26932.61</v>
          </cell>
        </row>
        <row r="219">
          <cell r="A219" t="str">
            <v>6221578020</v>
          </cell>
          <cell r="B219">
            <v>62215</v>
          </cell>
          <cell r="C219">
            <v>78020</v>
          </cell>
          <cell r="D219" t="str">
            <v>Amortized CAM Exp</v>
          </cell>
          <cell r="E219">
            <v>-3702</v>
          </cell>
          <cell r="F219">
            <v>13333.36</v>
          </cell>
          <cell r="G219">
            <v>-17035.36</v>
          </cell>
          <cell r="H219">
            <v>-1.2776000000000001</v>
          </cell>
          <cell r="I219">
            <v>-2313.75</v>
          </cell>
          <cell r="J219">
            <v>-1388.25</v>
          </cell>
          <cell r="K219">
            <v>0.6</v>
          </cell>
          <cell r="L219">
            <v>7777.77</v>
          </cell>
          <cell r="M219">
            <v>-11479.77</v>
          </cell>
          <cell r="N219">
            <v>-1.476</v>
          </cell>
          <cell r="O219">
            <v>20000</v>
          </cell>
          <cell r="P219">
            <v>0.5</v>
          </cell>
          <cell r="Q219">
            <v>56111</v>
          </cell>
        </row>
        <row r="220">
          <cell r="A220" t="str">
            <v>6221584264</v>
          </cell>
          <cell r="B220">
            <v>62215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A221" t="str">
            <v>6221585555</v>
          </cell>
          <cell r="B221">
            <v>62215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</row>
        <row r="222">
          <cell r="A222" t="str">
            <v>6221585584</v>
          </cell>
          <cell r="B222">
            <v>62215</v>
          </cell>
          <cell r="C222">
            <v>85584</v>
          </cell>
          <cell r="D222" t="str">
            <v>Bldg Admin-Office Costs</v>
          </cell>
          <cell r="E222">
            <v>2371.44</v>
          </cell>
          <cell r="F222">
            <v>2256</v>
          </cell>
          <cell r="G222">
            <v>115.44</v>
          </cell>
          <cell r="H222">
            <v>5.1200000000000002E-2</v>
          </cell>
          <cell r="I222">
            <v>2325.46</v>
          </cell>
          <cell r="J222">
            <v>45.98</v>
          </cell>
          <cell r="K222">
            <v>1.9800000000000002E-2</v>
          </cell>
          <cell r="L222">
            <v>2259.73</v>
          </cell>
          <cell r="M222">
            <v>111.71</v>
          </cell>
          <cell r="N222">
            <v>4.9399999999999999E-2</v>
          </cell>
          <cell r="O222">
            <v>3384</v>
          </cell>
          <cell r="P222">
            <v>3436.69</v>
          </cell>
          <cell r="Q222">
            <v>3539.03</v>
          </cell>
        </row>
        <row r="223">
          <cell r="A223" t="str">
            <v>6221585582</v>
          </cell>
          <cell r="B223">
            <v>62215</v>
          </cell>
          <cell r="C223">
            <v>85582</v>
          </cell>
          <cell r="D223" t="str">
            <v>Bldg Admin-Salaries</v>
          </cell>
          <cell r="E223">
            <v>15340.75</v>
          </cell>
          <cell r="F223">
            <v>15216</v>
          </cell>
          <cell r="G223">
            <v>124.75</v>
          </cell>
          <cell r="H223">
            <v>8.2000000000000007E-3</v>
          </cell>
          <cell r="I223">
            <v>15533.48</v>
          </cell>
          <cell r="J223">
            <v>-192.73</v>
          </cell>
          <cell r="K223">
            <v>-1.24E-2</v>
          </cell>
          <cell r="L223">
            <v>13274.88</v>
          </cell>
          <cell r="M223">
            <v>2065.87</v>
          </cell>
          <cell r="N223">
            <v>0.15559999999999999</v>
          </cell>
          <cell r="O223">
            <v>22824</v>
          </cell>
          <cell r="P223">
            <v>23901.53</v>
          </cell>
          <cell r="Q223">
            <v>21597.45</v>
          </cell>
        </row>
        <row r="224">
          <cell r="A224" t="str">
            <v>6221586564</v>
          </cell>
          <cell r="B224">
            <v>62215</v>
          </cell>
          <cell r="C224">
            <v>86564</v>
          </cell>
          <cell r="D224" t="str">
            <v>Insurance</v>
          </cell>
          <cell r="E224">
            <v>10940.67</v>
          </cell>
          <cell r="F224">
            <v>15582</v>
          </cell>
          <cell r="G224">
            <v>-4641.33</v>
          </cell>
          <cell r="H224">
            <v>-0.2979</v>
          </cell>
          <cell r="I224">
            <v>10979.26</v>
          </cell>
          <cell r="J224">
            <v>-38.590000000000103</v>
          </cell>
          <cell r="K224">
            <v>-3.5000000000000001E-3</v>
          </cell>
          <cell r="L224">
            <v>13560</v>
          </cell>
          <cell r="M224">
            <v>-2619.33</v>
          </cell>
          <cell r="N224">
            <v>-0.19320000000000001</v>
          </cell>
          <cell r="O224">
            <v>23373</v>
          </cell>
          <cell r="P224">
            <v>16499.900000000001</v>
          </cell>
          <cell r="Q224">
            <v>20324</v>
          </cell>
        </row>
        <row r="225">
          <cell r="A225" t="str">
            <v>6221588846</v>
          </cell>
          <cell r="B225">
            <v>62215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11410</v>
          </cell>
          <cell r="Q225">
            <v>0</v>
          </cell>
        </row>
        <row r="226">
          <cell r="A226" t="str">
            <v>6221588890</v>
          </cell>
          <cell r="B226">
            <v>62215</v>
          </cell>
          <cell r="C226">
            <v>88890</v>
          </cell>
          <cell r="D226" t="str">
            <v>Security/Safety</v>
          </cell>
          <cell r="E226">
            <v>4460.2700000000004</v>
          </cell>
          <cell r="F226">
            <v>3600</v>
          </cell>
          <cell r="G226">
            <v>860.27</v>
          </cell>
          <cell r="H226">
            <v>0.23899999999999999</v>
          </cell>
          <cell r="I226">
            <v>4662.7700000000004</v>
          </cell>
          <cell r="J226">
            <v>-202.5</v>
          </cell>
          <cell r="K226">
            <v>-4.3400000000000001E-2</v>
          </cell>
          <cell r="L226">
            <v>2304.7399999999998</v>
          </cell>
          <cell r="M226">
            <v>2155.5300000000002</v>
          </cell>
          <cell r="N226">
            <v>0.93530000000000002</v>
          </cell>
          <cell r="O226">
            <v>5400</v>
          </cell>
          <cell r="P226">
            <v>6462.77</v>
          </cell>
          <cell r="Q226">
            <v>3983.43</v>
          </cell>
        </row>
        <row r="227">
          <cell r="A227" t="str">
            <v>6221589775</v>
          </cell>
          <cell r="B227">
            <v>62215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A228" t="str">
            <v>6221589729</v>
          </cell>
          <cell r="B228">
            <v>62215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 t="str">
            <v>6221589786</v>
          </cell>
          <cell r="B229">
            <v>62215</v>
          </cell>
          <cell r="C229">
            <v>89786</v>
          </cell>
          <cell r="D229" t="str">
            <v>Property Tax Exp</v>
          </cell>
          <cell r="E229">
            <v>15616</v>
          </cell>
          <cell r="F229">
            <v>32742.639999999999</v>
          </cell>
          <cell r="G229">
            <v>-17126.64</v>
          </cell>
          <cell r="H229">
            <v>-0.52310000000000001</v>
          </cell>
          <cell r="I229">
            <v>16177.66</v>
          </cell>
          <cell r="J229">
            <v>-561.66</v>
          </cell>
          <cell r="K229">
            <v>-3.4700000000000002E-2</v>
          </cell>
          <cell r="L229">
            <v>31994.720000000001</v>
          </cell>
          <cell r="M229">
            <v>-16378.72</v>
          </cell>
          <cell r="N229">
            <v>-0.51190000000000002</v>
          </cell>
          <cell r="O229">
            <v>49114</v>
          </cell>
          <cell r="P229">
            <v>34795.46</v>
          </cell>
          <cell r="Q229">
            <v>-97126.02</v>
          </cell>
        </row>
        <row r="230">
          <cell r="A230" t="str">
            <v>6221571040</v>
          </cell>
          <cell r="B230">
            <v>62215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A231" t="str">
            <v>6221572701</v>
          </cell>
          <cell r="B231">
            <v>62215</v>
          </cell>
          <cell r="C231">
            <v>72701</v>
          </cell>
          <cell r="D231" t="str">
            <v>Utilities</v>
          </cell>
          <cell r="E231">
            <v>155.1</v>
          </cell>
          <cell r="F231">
            <v>0</v>
          </cell>
          <cell r="G231">
            <v>155.1</v>
          </cell>
          <cell r="H231">
            <v>0</v>
          </cell>
          <cell r="I231">
            <v>980.1</v>
          </cell>
          <cell r="J231">
            <v>-825</v>
          </cell>
          <cell r="K231">
            <v>-0.84179999999999999</v>
          </cell>
          <cell r="L231">
            <v>640.45000000000005</v>
          </cell>
          <cell r="M231">
            <v>-485.35</v>
          </cell>
          <cell r="N231">
            <v>-0.75780000000000003</v>
          </cell>
          <cell r="O231">
            <v>0</v>
          </cell>
          <cell r="P231">
            <v>2080.1</v>
          </cell>
          <cell r="Q231">
            <v>1054.42</v>
          </cell>
        </row>
        <row r="232">
          <cell r="A232" t="str">
            <v>6221572855</v>
          </cell>
          <cell r="B232">
            <v>62215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A233" t="str">
            <v>6221572870</v>
          </cell>
          <cell r="B233">
            <v>62215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A234" t="str">
            <v>6221576010</v>
          </cell>
          <cell r="B234">
            <v>62215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96.98</v>
          </cell>
          <cell r="M234">
            <v>-96.98</v>
          </cell>
          <cell r="N234">
            <v>0</v>
          </cell>
          <cell r="O234">
            <v>0</v>
          </cell>
          <cell r="P234">
            <v>0</v>
          </cell>
          <cell r="Q234">
            <v>96.98</v>
          </cell>
        </row>
        <row r="235">
          <cell r="A235" t="str">
            <v>6221576040</v>
          </cell>
          <cell r="B235">
            <v>62215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A236" t="str">
            <v>6221576051</v>
          </cell>
          <cell r="B236">
            <v>62215</v>
          </cell>
          <cell r="C236">
            <v>76051</v>
          </cell>
          <cell r="D236" t="str">
            <v>Cleaning</v>
          </cell>
          <cell r="E236">
            <v>376.32</v>
          </cell>
          <cell r="F236">
            <v>0</v>
          </cell>
          <cell r="G236">
            <v>376.32</v>
          </cell>
          <cell r="H236">
            <v>0</v>
          </cell>
          <cell r="I236">
            <v>0</v>
          </cell>
          <cell r="J236">
            <v>376.32</v>
          </cell>
          <cell r="K236">
            <v>0</v>
          </cell>
          <cell r="L236">
            <v>0</v>
          </cell>
          <cell r="M236">
            <v>376.32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</row>
        <row r="237">
          <cell r="A237" t="str">
            <v>6221576054</v>
          </cell>
          <cell r="B237">
            <v>62215</v>
          </cell>
          <cell r="C237">
            <v>76054</v>
          </cell>
          <cell r="D237" t="str">
            <v>Bldg Maintenance &amp; Repair</v>
          </cell>
          <cell r="E237">
            <v>24450.3</v>
          </cell>
          <cell r="F237">
            <v>1700</v>
          </cell>
          <cell r="G237">
            <v>22750.3</v>
          </cell>
          <cell r="H237">
            <v>13.3825</v>
          </cell>
          <cell r="I237">
            <v>5793.97</v>
          </cell>
          <cell r="J237">
            <v>18656.330000000002</v>
          </cell>
          <cell r="K237">
            <v>3.22</v>
          </cell>
          <cell r="L237">
            <v>5770.75</v>
          </cell>
          <cell r="M237">
            <v>18679.55</v>
          </cell>
          <cell r="N237">
            <v>3.2368999999999999</v>
          </cell>
          <cell r="O237">
            <v>51900</v>
          </cell>
          <cell r="P237">
            <v>55993.97</v>
          </cell>
          <cell r="Q237">
            <v>-19236.53</v>
          </cell>
        </row>
        <row r="238">
          <cell r="A238" t="str">
            <v>6221576060</v>
          </cell>
          <cell r="B238">
            <v>62215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A239" t="str">
            <v>6221576071</v>
          </cell>
          <cell r="B239">
            <v>62215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</row>
        <row r="240">
          <cell r="A240" t="str">
            <v>6221576090</v>
          </cell>
          <cell r="B240">
            <v>62215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A241" t="str">
            <v>6221577001</v>
          </cell>
          <cell r="B241">
            <v>62215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</row>
        <row r="242">
          <cell r="A242" t="str">
            <v>6221577022</v>
          </cell>
          <cell r="B242">
            <v>62215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A243" t="str">
            <v>6221584200</v>
          </cell>
          <cell r="B243">
            <v>62215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A244" t="str">
            <v>6221584240</v>
          </cell>
          <cell r="B244">
            <v>62215</v>
          </cell>
          <cell r="C244">
            <v>84240</v>
          </cell>
          <cell r="D244" t="str">
            <v>Marketing Leasing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3313.32</v>
          </cell>
          <cell r="M244">
            <v>-3313.32</v>
          </cell>
          <cell r="N244">
            <v>0</v>
          </cell>
          <cell r="O244">
            <v>0</v>
          </cell>
          <cell r="P244">
            <v>0</v>
          </cell>
          <cell r="Q244">
            <v>5211.68</v>
          </cell>
        </row>
        <row r="245">
          <cell r="A245" t="str">
            <v>6221584242</v>
          </cell>
          <cell r="B245">
            <v>62215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A246" t="str">
            <v>6221584243</v>
          </cell>
          <cell r="B246">
            <v>62215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-11735.75</v>
          </cell>
        </row>
        <row r="247">
          <cell r="A247" t="str">
            <v>6221584244</v>
          </cell>
          <cell r="B247">
            <v>62215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A248" t="str">
            <v>6221584265</v>
          </cell>
          <cell r="B248">
            <v>62215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A249" t="str">
            <v>6221588037</v>
          </cell>
          <cell r="B249">
            <v>62215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A250" t="str">
            <v>6221585016</v>
          </cell>
          <cell r="B250">
            <v>62215</v>
          </cell>
          <cell r="C250">
            <v>85016</v>
          </cell>
          <cell r="D250" t="str">
            <v>Prof Svc-Attorney Outside</v>
          </cell>
          <cell r="E250">
            <v>-1098</v>
          </cell>
          <cell r="F250">
            <v>2250</v>
          </cell>
          <cell r="G250">
            <v>-3348</v>
          </cell>
          <cell r="H250">
            <v>-1.488</v>
          </cell>
          <cell r="I250">
            <v>-2202</v>
          </cell>
          <cell r="J250">
            <v>1104</v>
          </cell>
          <cell r="K250">
            <v>-0.50139999999999996</v>
          </cell>
          <cell r="L250">
            <v>5344.68</v>
          </cell>
          <cell r="M250">
            <v>-6442.68</v>
          </cell>
          <cell r="N250">
            <v>-1.2054</v>
          </cell>
          <cell r="O250">
            <v>3000</v>
          </cell>
          <cell r="P250">
            <v>-1452</v>
          </cell>
          <cell r="Q250">
            <v>3844.68</v>
          </cell>
        </row>
        <row r="251">
          <cell r="A251" t="str">
            <v>6221585022</v>
          </cell>
          <cell r="B251">
            <v>62215</v>
          </cell>
          <cell r="C251">
            <v>85022</v>
          </cell>
          <cell r="D251" t="str">
            <v>Prof Svc-Audit/Acctng</v>
          </cell>
          <cell r="E251">
            <v>-1350</v>
          </cell>
          <cell r="F251">
            <v>750</v>
          </cell>
          <cell r="G251">
            <v>-2100</v>
          </cell>
          <cell r="H251">
            <v>-2.8</v>
          </cell>
          <cell r="I251">
            <v>-600</v>
          </cell>
          <cell r="J251">
            <v>-750</v>
          </cell>
          <cell r="K251">
            <v>1.25</v>
          </cell>
          <cell r="L251">
            <v>-600</v>
          </cell>
          <cell r="M251">
            <v>-750</v>
          </cell>
          <cell r="N251">
            <v>1.25</v>
          </cell>
          <cell r="O251">
            <v>750</v>
          </cell>
          <cell r="P251">
            <v>-600</v>
          </cell>
          <cell r="Q251">
            <v>1425</v>
          </cell>
        </row>
        <row r="252">
          <cell r="A252" t="str">
            <v>6221585065</v>
          </cell>
          <cell r="B252">
            <v>62215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A253" t="str">
            <v>6221585500</v>
          </cell>
          <cell r="B253">
            <v>62215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290</v>
          </cell>
          <cell r="M253">
            <v>-290</v>
          </cell>
          <cell r="N253">
            <v>0</v>
          </cell>
          <cell r="O253">
            <v>0</v>
          </cell>
          <cell r="P253">
            <v>0</v>
          </cell>
          <cell r="Q253">
            <v>1740</v>
          </cell>
        </row>
        <row r="254">
          <cell r="A254" t="str">
            <v>6221585566</v>
          </cell>
          <cell r="B254">
            <v>62215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</row>
        <row r="255">
          <cell r="A255" t="str">
            <v>6221585581</v>
          </cell>
          <cell r="B255">
            <v>62215</v>
          </cell>
          <cell r="C255">
            <v>85581</v>
          </cell>
          <cell r="D255" t="str">
            <v>Bldg Admin- Salaries</v>
          </cell>
          <cell r="E255">
            <v>8690.42</v>
          </cell>
          <cell r="F255">
            <v>9096.64</v>
          </cell>
          <cell r="G255">
            <v>-406.219999999999</v>
          </cell>
          <cell r="H255">
            <v>-4.4699999999999997E-2</v>
          </cell>
          <cell r="I255">
            <v>8828.0300000000007</v>
          </cell>
          <cell r="J255">
            <v>-137.61000000000101</v>
          </cell>
          <cell r="K255">
            <v>-1.5599999999999999E-2</v>
          </cell>
          <cell r="L255">
            <v>6477.09</v>
          </cell>
          <cell r="M255">
            <v>2213.33</v>
          </cell>
          <cell r="N255">
            <v>0.3417</v>
          </cell>
          <cell r="O255">
            <v>13645</v>
          </cell>
          <cell r="P255">
            <v>13806.27</v>
          </cell>
          <cell r="Q255">
            <v>10197.43</v>
          </cell>
        </row>
        <row r="256">
          <cell r="A256" t="str">
            <v>6221585583</v>
          </cell>
          <cell r="B256">
            <v>62215</v>
          </cell>
          <cell r="C256">
            <v>85583</v>
          </cell>
          <cell r="D256" t="str">
            <v>Bldg Admin-Office Exp.</v>
          </cell>
          <cell r="E256">
            <v>2057.6799999999998</v>
          </cell>
          <cell r="F256">
            <v>1543.64</v>
          </cell>
          <cell r="G256">
            <v>514.04</v>
          </cell>
          <cell r="H256">
            <v>0.33300000000000002</v>
          </cell>
          <cell r="I256">
            <v>2286.2800000000002</v>
          </cell>
          <cell r="J256">
            <v>-228.6</v>
          </cell>
          <cell r="K256">
            <v>-0.1</v>
          </cell>
          <cell r="L256">
            <v>1319.01</v>
          </cell>
          <cell r="M256">
            <v>738.67</v>
          </cell>
          <cell r="N256">
            <v>0.56000000000000005</v>
          </cell>
          <cell r="O256">
            <v>2253</v>
          </cell>
          <cell r="P256">
            <v>3352.18</v>
          </cell>
          <cell r="Q256">
            <v>2023.99</v>
          </cell>
        </row>
        <row r="257">
          <cell r="A257" t="str">
            <v>6221585530</v>
          </cell>
          <cell r="B257">
            <v>62215</v>
          </cell>
          <cell r="C257">
            <v>85530</v>
          </cell>
          <cell r="D257" t="str">
            <v>Bldg Admin - Office Exp</v>
          </cell>
          <cell r="E257">
            <v>2057.6799999999998</v>
          </cell>
          <cell r="F257">
            <v>1543.64</v>
          </cell>
          <cell r="G257">
            <v>514.04</v>
          </cell>
          <cell r="H257">
            <v>0.33300000000000002</v>
          </cell>
          <cell r="I257">
            <v>2286.2800000000002</v>
          </cell>
          <cell r="J257">
            <v>-228.6</v>
          </cell>
          <cell r="K257">
            <v>-0.1</v>
          </cell>
          <cell r="L257">
            <v>1319.01</v>
          </cell>
          <cell r="M257">
            <v>738.67</v>
          </cell>
          <cell r="N257">
            <v>0.56000000000000005</v>
          </cell>
          <cell r="O257">
            <v>2253</v>
          </cell>
          <cell r="P257">
            <v>3352.18</v>
          </cell>
          <cell r="Q257">
            <v>2023.99</v>
          </cell>
        </row>
        <row r="258">
          <cell r="A258" t="str">
            <v>6221586012</v>
          </cell>
          <cell r="B258">
            <v>62215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A259" t="str">
            <v>6221586037</v>
          </cell>
          <cell r="B259">
            <v>62215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A260" t="str">
            <v>6221583050</v>
          </cell>
          <cell r="B260">
            <v>62215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</row>
        <row r="261">
          <cell r="A261" t="str">
            <v>6221586510</v>
          </cell>
          <cell r="B261">
            <v>62215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A262" t="str">
            <v>6221586537</v>
          </cell>
          <cell r="B262">
            <v>62215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3">
          <cell r="A263" t="str">
            <v>6221586566</v>
          </cell>
          <cell r="B263">
            <v>62215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A264" t="str">
            <v>6221586955</v>
          </cell>
          <cell r="B264">
            <v>62215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</row>
        <row r="265">
          <cell r="A265" t="str">
            <v>6221586985</v>
          </cell>
          <cell r="B265">
            <v>62215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-441</v>
          </cell>
          <cell r="Q265">
            <v>0</v>
          </cell>
        </row>
        <row r="266">
          <cell r="A266" t="str">
            <v>6221586880</v>
          </cell>
          <cell r="B266">
            <v>62215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A267" t="str">
            <v>6221588710</v>
          </cell>
          <cell r="B267">
            <v>62215</v>
          </cell>
          <cell r="C267">
            <v>88710</v>
          </cell>
          <cell r="D267" t="str">
            <v>Losses-Bad Debts</v>
          </cell>
          <cell r="E267">
            <v>-26739.74</v>
          </cell>
          <cell r="F267">
            <v>0</v>
          </cell>
          <cell r="G267">
            <v>-26739.74</v>
          </cell>
          <cell r="H267">
            <v>0</v>
          </cell>
          <cell r="I267">
            <v>-11408</v>
          </cell>
          <cell r="J267">
            <v>-15331.74</v>
          </cell>
          <cell r="K267">
            <v>1.3439000000000001</v>
          </cell>
          <cell r="L267">
            <v>-9901.2000000000007</v>
          </cell>
          <cell r="M267">
            <v>-16838.54</v>
          </cell>
          <cell r="N267">
            <v>1.7007000000000001</v>
          </cell>
          <cell r="O267">
            <v>0</v>
          </cell>
          <cell r="P267">
            <v>-11408</v>
          </cell>
          <cell r="Q267">
            <v>42123.8</v>
          </cell>
        </row>
        <row r="268">
          <cell r="A268" t="str">
            <v>6221588711</v>
          </cell>
          <cell r="B268">
            <v>62215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A269" t="str">
            <v>6221588785</v>
          </cell>
          <cell r="B269">
            <v>62215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</row>
        <row r="270">
          <cell r="A270" t="str">
            <v>6221588847</v>
          </cell>
          <cell r="B270">
            <v>62215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A271" t="str">
            <v>6221588866</v>
          </cell>
          <cell r="B271">
            <v>62215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A272" t="str">
            <v>6221588870</v>
          </cell>
          <cell r="B272">
            <v>62215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</row>
        <row r="273">
          <cell r="A273" t="str">
            <v>6221588889</v>
          </cell>
          <cell r="B273">
            <v>62215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A274" t="str">
            <v>6221589776</v>
          </cell>
          <cell r="B274">
            <v>62215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</row>
        <row r="275">
          <cell r="A275" t="str">
            <v>6221589787</v>
          </cell>
          <cell r="B275">
            <v>62215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A276" t="str">
            <v>6221589510</v>
          </cell>
          <cell r="B276">
            <v>62215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A277" t="str">
            <v>6221589511</v>
          </cell>
          <cell r="B277">
            <v>62215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</row>
        <row r="278">
          <cell r="A278" t="str">
            <v>6221589512</v>
          </cell>
          <cell r="B278">
            <v>62215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A279" t="str">
            <v>6221589528</v>
          </cell>
          <cell r="B279">
            <v>62215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A280" t="str">
            <v>6221589529</v>
          </cell>
          <cell r="B280">
            <v>62215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1">
          <cell r="A281" t="str">
            <v>6221589567</v>
          </cell>
          <cell r="B281">
            <v>62215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A282" t="str">
            <v>6221585058</v>
          </cell>
          <cell r="B282">
            <v>62215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A283" t="str">
            <v>6221586513</v>
          </cell>
          <cell r="B283">
            <v>62215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964.75</v>
          </cell>
          <cell r="G283">
            <v>-964.75</v>
          </cell>
          <cell r="H283">
            <v>0</v>
          </cell>
          <cell r="I283">
            <v>430.74</v>
          </cell>
          <cell r="J283">
            <v>-430.74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1801.31</v>
          </cell>
          <cell r="P283">
            <v>1005.06</v>
          </cell>
          <cell r="Q283">
            <v>0</v>
          </cell>
        </row>
        <row r="284">
          <cell r="A284" t="str">
            <v>6221586519</v>
          </cell>
          <cell r="B284">
            <v>62215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A285" t="str">
            <v>6221588770</v>
          </cell>
          <cell r="B285">
            <v>62215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A286" t="str">
            <v>6221588862</v>
          </cell>
          <cell r="B286">
            <v>62215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</row>
        <row r="287">
          <cell r="A287" t="str">
            <v>6221588874</v>
          </cell>
          <cell r="B287">
            <v>62215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A288" t="str">
            <v>6221589910</v>
          </cell>
          <cell r="B288">
            <v>62215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152509.74</v>
          </cell>
          <cell r="G288">
            <v>-152509.74</v>
          </cell>
          <cell r="H288">
            <v>0</v>
          </cell>
          <cell r="I288">
            <v>125518.9</v>
          </cell>
          <cell r="J288">
            <v>-125518.9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225611.59</v>
          </cell>
          <cell r="P288">
            <v>188278.32</v>
          </cell>
          <cell r="Q288">
            <v>0</v>
          </cell>
        </row>
        <row r="289">
          <cell r="A289" t="str">
            <v>6221589548</v>
          </cell>
          <cell r="B289">
            <v>62215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 t="str">
            <v>6221741010</v>
          </cell>
          <cell r="B290">
            <v>62217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A291" t="str">
            <v>6221741040</v>
          </cell>
          <cell r="B291">
            <v>62217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A292" t="str">
            <v>6221741050</v>
          </cell>
          <cell r="B292">
            <v>62217</v>
          </cell>
          <cell r="C292">
            <v>41050</v>
          </cell>
          <cell r="D292" t="str">
            <v>Rental Income - Fixed</v>
          </cell>
          <cell r="E292">
            <v>-2416593.27</v>
          </cell>
          <cell r="F292">
            <v>-2628153.11</v>
          </cell>
          <cell r="G292">
            <v>211559.84</v>
          </cell>
          <cell r="H292">
            <v>-8.0500000000000002E-2</v>
          </cell>
          <cell r="I292">
            <v>-2455236.7200000002</v>
          </cell>
          <cell r="J292">
            <v>38643.450000000201</v>
          </cell>
          <cell r="K292">
            <v>-1.5699999999999999E-2</v>
          </cell>
          <cell r="L292">
            <v>-1938141.24</v>
          </cell>
          <cell r="M292">
            <v>-478452.03</v>
          </cell>
          <cell r="N292">
            <v>0.24690000000000001</v>
          </cell>
          <cell r="O292">
            <v>-3959279.32</v>
          </cell>
          <cell r="P292">
            <v>-3851235</v>
          </cell>
          <cell r="Q292">
            <v>-3057904.29</v>
          </cell>
        </row>
        <row r="293">
          <cell r="A293" t="str">
            <v>6221741074</v>
          </cell>
          <cell r="B293">
            <v>62217</v>
          </cell>
          <cell r="C293">
            <v>41074</v>
          </cell>
          <cell r="D293" t="str">
            <v>Rental Income - Percentage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A294" t="str">
            <v>6221741082</v>
          </cell>
          <cell r="B294">
            <v>62217</v>
          </cell>
          <cell r="C294">
            <v>41082</v>
          </cell>
          <cell r="D294" t="str">
            <v>Rental Income - Operating Exp</v>
          </cell>
          <cell r="E294">
            <v>-310221.13</v>
          </cell>
          <cell r="F294">
            <v>-746228.08</v>
          </cell>
          <cell r="G294">
            <v>436006.95</v>
          </cell>
          <cell r="H294">
            <v>-0.58430000000000004</v>
          </cell>
          <cell r="I294">
            <v>-270456.88</v>
          </cell>
          <cell r="J294">
            <v>-39764.25</v>
          </cell>
          <cell r="K294">
            <v>0.14699999999999999</v>
          </cell>
          <cell r="L294">
            <v>-579787.29</v>
          </cell>
          <cell r="M294">
            <v>269566.15999999997</v>
          </cell>
          <cell r="N294">
            <v>-0.46489999999999998</v>
          </cell>
          <cell r="O294">
            <v>-1119342.1200000001</v>
          </cell>
          <cell r="P294">
            <v>-665504.36</v>
          </cell>
          <cell r="Q294">
            <v>-936918.55</v>
          </cell>
        </row>
        <row r="295">
          <cell r="A295" t="str">
            <v>6221744610</v>
          </cell>
          <cell r="B295">
            <v>62217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A296" t="str">
            <v>6221745071</v>
          </cell>
          <cell r="B296">
            <v>62217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A297" t="str">
            <v>6221745010</v>
          </cell>
          <cell r="B297">
            <v>62217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A298" t="str">
            <v>6221745046</v>
          </cell>
          <cell r="B298">
            <v>62217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</row>
        <row r="299">
          <cell r="A299" t="str">
            <v>6221745070</v>
          </cell>
          <cell r="B299">
            <v>62217</v>
          </cell>
          <cell r="C299">
            <v>45070</v>
          </cell>
          <cell r="D299" t="str">
            <v>Other Income</v>
          </cell>
          <cell r="E299">
            <v>-98125.42</v>
          </cell>
          <cell r="F299">
            <v>0</v>
          </cell>
          <cell r="G299">
            <v>-98125.42</v>
          </cell>
          <cell r="H299">
            <v>0</v>
          </cell>
          <cell r="I299">
            <v>0.11</v>
          </cell>
          <cell r="J299">
            <v>-98125.53</v>
          </cell>
          <cell r="K299">
            <v>-892050.27269999997</v>
          </cell>
          <cell r="L299">
            <v>-941.48</v>
          </cell>
          <cell r="M299">
            <v>-97183.94</v>
          </cell>
          <cell r="N299">
            <v>103.2246</v>
          </cell>
          <cell r="O299">
            <v>0</v>
          </cell>
          <cell r="P299">
            <v>0.11</v>
          </cell>
          <cell r="Q299">
            <v>-942.42</v>
          </cell>
        </row>
        <row r="300">
          <cell r="A300" t="str">
            <v>6221741060</v>
          </cell>
          <cell r="B300">
            <v>62217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176664</v>
          </cell>
          <cell r="G300">
            <v>-176664</v>
          </cell>
          <cell r="H300">
            <v>0</v>
          </cell>
          <cell r="I300">
            <v>35314.14</v>
          </cell>
          <cell r="J300">
            <v>-35314.14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264996</v>
          </cell>
          <cell r="P300">
            <v>82399.62</v>
          </cell>
          <cell r="Q300">
            <v>0</v>
          </cell>
        </row>
        <row r="301">
          <cell r="A301" t="str">
            <v>6221744870</v>
          </cell>
          <cell r="B301">
            <v>62217</v>
          </cell>
          <cell r="C301">
            <v>44870</v>
          </cell>
          <cell r="D301" t="str">
            <v>Late Fees</v>
          </cell>
          <cell r="E301">
            <v>-15610.78</v>
          </cell>
          <cell r="F301">
            <v>-1333.36</v>
          </cell>
          <cell r="G301">
            <v>-14277.42</v>
          </cell>
          <cell r="H301">
            <v>10.7079</v>
          </cell>
          <cell r="I301">
            <v>-11993.86</v>
          </cell>
          <cell r="J301">
            <v>-3616.92</v>
          </cell>
          <cell r="K301">
            <v>0.30159999999999998</v>
          </cell>
          <cell r="L301">
            <v>-1525</v>
          </cell>
          <cell r="M301">
            <v>-14085.78</v>
          </cell>
          <cell r="N301">
            <v>9.2365999999999993</v>
          </cell>
          <cell r="O301">
            <v>-2000</v>
          </cell>
          <cell r="P301">
            <v>-15660.5</v>
          </cell>
          <cell r="Q301">
            <v>-5809.48</v>
          </cell>
        </row>
        <row r="302">
          <cell r="A302" t="str">
            <v>6221752542</v>
          </cell>
          <cell r="B302">
            <v>62217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A303" t="str">
            <v>6221772710</v>
          </cell>
          <cell r="B303">
            <v>62217</v>
          </cell>
          <cell r="C303">
            <v>72710</v>
          </cell>
          <cell r="D303" t="str">
            <v>Utilities - Electricity</v>
          </cell>
          <cell r="E303">
            <v>44601.3</v>
          </cell>
          <cell r="F303">
            <v>38336</v>
          </cell>
          <cell r="G303">
            <v>6265.3</v>
          </cell>
          <cell r="H303">
            <v>0.16339999999999999</v>
          </cell>
          <cell r="I303">
            <v>47530.94</v>
          </cell>
          <cell r="J303">
            <v>-2929.64</v>
          </cell>
          <cell r="K303">
            <v>-6.1600000000000002E-2</v>
          </cell>
          <cell r="L303">
            <v>48989.43</v>
          </cell>
          <cell r="M303">
            <v>-4388.13</v>
          </cell>
          <cell r="N303">
            <v>-8.9599999999999999E-2</v>
          </cell>
          <cell r="O303">
            <v>57504</v>
          </cell>
          <cell r="P303">
            <v>72530.94</v>
          </cell>
          <cell r="Q303">
            <v>64974.87</v>
          </cell>
        </row>
        <row r="304">
          <cell r="A304" t="str">
            <v>6221772740</v>
          </cell>
          <cell r="B304">
            <v>62217</v>
          </cell>
          <cell r="C304">
            <v>72740</v>
          </cell>
          <cell r="D304" t="str">
            <v>Utilities - Gas</v>
          </cell>
          <cell r="E304">
            <v>997.96</v>
          </cell>
          <cell r="F304">
            <v>0</v>
          </cell>
          <cell r="G304">
            <v>997.96</v>
          </cell>
          <cell r="H304">
            <v>0</v>
          </cell>
          <cell r="I304">
            <v>293.56</v>
          </cell>
          <cell r="J304">
            <v>704.4</v>
          </cell>
          <cell r="K304">
            <v>2.3995000000000002</v>
          </cell>
          <cell r="L304">
            <v>1074.26</v>
          </cell>
          <cell r="M304">
            <v>-76.3</v>
          </cell>
          <cell r="N304">
            <v>-7.0999999999999994E-2</v>
          </cell>
          <cell r="O304">
            <v>0</v>
          </cell>
          <cell r="P304">
            <v>493.56</v>
          </cell>
          <cell r="Q304">
            <v>1803.86</v>
          </cell>
        </row>
        <row r="305">
          <cell r="A305" t="str">
            <v>6221772770</v>
          </cell>
          <cell r="B305">
            <v>62217</v>
          </cell>
          <cell r="C305">
            <v>72770</v>
          </cell>
          <cell r="D305" t="str">
            <v>Utilities - Water</v>
          </cell>
          <cell r="E305">
            <v>9031.74</v>
          </cell>
          <cell r="F305">
            <v>8000</v>
          </cell>
          <cell r="G305">
            <v>1031.74</v>
          </cell>
          <cell r="H305">
            <v>0.129</v>
          </cell>
          <cell r="I305">
            <v>9848.2000000000007</v>
          </cell>
          <cell r="J305">
            <v>-816.46000000000095</v>
          </cell>
          <cell r="K305">
            <v>-8.2900000000000001E-2</v>
          </cell>
          <cell r="L305">
            <v>9040.0300000000007</v>
          </cell>
          <cell r="M305">
            <v>-8.2900000000008696</v>
          </cell>
          <cell r="N305">
            <v>-8.9999999999999998E-4</v>
          </cell>
          <cell r="O305">
            <v>12000</v>
          </cell>
          <cell r="P305">
            <v>14048.2</v>
          </cell>
          <cell r="Q305">
            <v>11550.5</v>
          </cell>
        </row>
        <row r="306">
          <cell r="A306" t="str">
            <v>6221776000</v>
          </cell>
          <cell r="B306">
            <v>62217</v>
          </cell>
          <cell r="C306">
            <v>76000</v>
          </cell>
          <cell r="D306" t="str">
            <v>Bldg Maintenance &amp; Repair</v>
          </cell>
          <cell r="E306">
            <v>63040.95</v>
          </cell>
          <cell r="F306">
            <v>80903.360000000001</v>
          </cell>
          <cell r="G306">
            <v>-17862.41</v>
          </cell>
          <cell r="H306">
            <v>-0.2208</v>
          </cell>
          <cell r="I306">
            <v>76336.990000000005</v>
          </cell>
          <cell r="J306">
            <v>-13296.04</v>
          </cell>
          <cell r="K306">
            <v>-0.17419999999999999</v>
          </cell>
          <cell r="L306">
            <v>42889.17</v>
          </cell>
          <cell r="M306">
            <v>20151.78</v>
          </cell>
          <cell r="N306">
            <v>0.46989999999999998</v>
          </cell>
          <cell r="O306">
            <v>115935</v>
          </cell>
          <cell r="P306">
            <v>112642.82</v>
          </cell>
          <cell r="Q306">
            <v>66051.27</v>
          </cell>
        </row>
        <row r="307">
          <cell r="A307" t="str">
            <v>6221776020</v>
          </cell>
          <cell r="B307">
            <v>62217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8">
          <cell r="A308" t="str">
            <v>6221776034</v>
          </cell>
          <cell r="B308">
            <v>62217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</row>
        <row r="309">
          <cell r="A309" t="str">
            <v>6221776050</v>
          </cell>
          <cell r="B309">
            <v>62217</v>
          </cell>
          <cell r="C309">
            <v>76050</v>
          </cell>
          <cell r="D309" t="str">
            <v>Cleaning Expense</v>
          </cell>
          <cell r="E309">
            <v>70053.06</v>
          </cell>
          <cell r="F309">
            <v>64288</v>
          </cell>
          <cell r="G309">
            <v>5765.06</v>
          </cell>
          <cell r="H309">
            <v>8.9700000000000002E-2</v>
          </cell>
          <cell r="I309">
            <v>72473.64</v>
          </cell>
          <cell r="J309">
            <v>-2420.58</v>
          </cell>
          <cell r="K309">
            <v>-3.3399999999999999E-2</v>
          </cell>
          <cell r="L309">
            <v>60563.69</v>
          </cell>
          <cell r="M309">
            <v>9489.3700000000008</v>
          </cell>
          <cell r="N309">
            <v>0.15670000000000001</v>
          </cell>
          <cell r="O309">
            <v>96532</v>
          </cell>
          <cell r="P309">
            <v>109477.64</v>
          </cell>
          <cell r="Q309">
            <v>92635.66</v>
          </cell>
        </row>
        <row r="310">
          <cell r="A310" t="str">
            <v>6221776056</v>
          </cell>
          <cell r="B310">
            <v>62217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 t="str">
            <v>6221776070</v>
          </cell>
          <cell r="B311">
            <v>62217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A312" t="str">
            <v>6221776091</v>
          </cell>
          <cell r="B312">
            <v>62217</v>
          </cell>
          <cell r="C312">
            <v>76091</v>
          </cell>
          <cell r="D312" t="str">
            <v>Parking Maintenance</v>
          </cell>
          <cell r="E312">
            <v>31717</v>
          </cell>
          <cell r="F312">
            <v>40837.360000000001</v>
          </cell>
          <cell r="G312">
            <v>-9120.36</v>
          </cell>
          <cell r="H312">
            <v>-0.2233</v>
          </cell>
          <cell r="I312">
            <v>33774.01</v>
          </cell>
          <cell r="J312">
            <v>-2057.0100000000002</v>
          </cell>
          <cell r="K312">
            <v>-6.0900000000000003E-2</v>
          </cell>
          <cell r="L312">
            <v>35656.550000000003</v>
          </cell>
          <cell r="M312">
            <v>-3939.55</v>
          </cell>
          <cell r="N312">
            <v>-0.1105</v>
          </cell>
          <cell r="O312">
            <v>56756</v>
          </cell>
          <cell r="P312">
            <v>53622.65</v>
          </cell>
          <cell r="Q312">
            <v>50315.93</v>
          </cell>
        </row>
        <row r="313">
          <cell r="A313" t="str">
            <v>6221777000</v>
          </cell>
          <cell r="B313">
            <v>62217</v>
          </cell>
          <cell r="C313">
            <v>77000</v>
          </cell>
          <cell r="D313" t="str">
            <v>Grounds Maintenance</v>
          </cell>
          <cell r="E313">
            <v>46767.83</v>
          </cell>
          <cell r="F313">
            <v>60870</v>
          </cell>
          <cell r="G313">
            <v>-14102.17</v>
          </cell>
          <cell r="H313">
            <v>-0.23169999999999999</v>
          </cell>
          <cell r="I313">
            <v>45214.39</v>
          </cell>
          <cell r="J313">
            <v>1553.44</v>
          </cell>
          <cell r="K313">
            <v>3.44E-2</v>
          </cell>
          <cell r="L313">
            <v>42495.02</v>
          </cell>
          <cell r="M313">
            <v>4272.8100000000004</v>
          </cell>
          <cell r="N313">
            <v>0.10050000000000001</v>
          </cell>
          <cell r="O313">
            <v>71005</v>
          </cell>
          <cell r="P313">
            <v>63631.87</v>
          </cell>
          <cell r="Q313">
            <v>58664.09</v>
          </cell>
        </row>
        <row r="314">
          <cell r="A314" t="str">
            <v>6221777053</v>
          </cell>
          <cell r="B314">
            <v>62217</v>
          </cell>
          <cell r="C314">
            <v>77053</v>
          </cell>
          <cell r="D314" t="str">
            <v>Landscaping</v>
          </cell>
          <cell r="E314">
            <v>47170.75</v>
          </cell>
          <cell r="F314">
            <v>52245</v>
          </cell>
          <cell r="G314">
            <v>-5074.25</v>
          </cell>
          <cell r="H314">
            <v>-9.7100000000000006E-2</v>
          </cell>
          <cell r="I314">
            <v>44068</v>
          </cell>
          <cell r="J314">
            <v>3102.75</v>
          </cell>
          <cell r="K314">
            <v>7.0400000000000004E-2</v>
          </cell>
          <cell r="L314">
            <v>20790</v>
          </cell>
          <cell r="M314">
            <v>26380.75</v>
          </cell>
          <cell r="N314">
            <v>1.2688999999999999</v>
          </cell>
          <cell r="O314">
            <v>81216</v>
          </cell>
          <cell r="P314">
            <v>91516</v>
          </cell>
          <cell r="Q314">
            <v>73432.789999999994</v>
          </cell>
        </row>
        <row r="315">
          <cell r="A315" t="str">
            <v>6221778020</v>
          </cell>
          <cell r="B315">
            <v>62217</v>
          </cell>
          <cell r="C315">
            <v>78020</v>
          </cell>
          <cell r="D315" t="str">
            <v>Amortized CAM Exp</v>
          </cell>
          <cell r="E315">
            <v>17777.759999999998</v>
          </cell>
          <cell r="F315">
            <v>17778</v>
          </cell>
          <cell r="G315">
            <v>-0.24000000000160099</v>
          </cell>
          <cell r="H315">
            <v>0</v>
          </cell>
          <cell r="I315">
            <v>17777.91</v>
          </cell>
          <cell r="J315">
            <v>-0.150000000001455</v>
          </cell>
          <cell r="K315">
            <v>0</v>
          </cell>
          <cell r="L315">
            <v>0</v>
          </cell>
          <cell r="M315">
            <v>17777.759999999998</v>
          </cell>
          <cell r="N315">
            <v>0</v>
          </cell>
          <cell r="O315">
            <v>26667</v>
          </cell>
          <cell r="P315">
            <v>26666.95</v>
          </cell>
          <cell r="Q315">
            <v>0</v>
          </cell>
        </row>
        <row r="316">
          <cell r="A316" t="str">
            <v>6221784264</v>
          </cell>
          <cell r="B316">
            <v>62217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 t="str">
            <v>6221785555</v>
          </cell>
          <cell r="B317">
            <v>62217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</row>
        <row r="318">
          <cell r="A318" t="str">
            <v>6221785584</v>
          </cell>
          <cell r="B318">
            <v>62217</v>
          </cell>
          <cell r="C318">
            <v>85584</v>
          </cell>
          <cell r="D318" t="str">
            <v>Bldg Admin-Office Costs</v>
          </cell>
          <cell r="E318">
            <v>7215.42</v>
          </cell>
          <cell r="F318">
            <v>6824</v>
          </cell>
          <cell r="G318">
            <v>391.42</v>
          </cell>
          <cell r="H318">
            <v>5.74E-2</v>
          </cell>
          <cell r="I318">
            <v>6862.04</v>
          </cell>
          <cell r="J318">
            <v>353.38</v>
          </cell>
          <cell r="K318">
            <v>5.1499999999999997E-2</v>
          </cell>
          <cell r="L318">
            <v>6744.97</v>
          </cell>
          <cell r="M318">
            <v>470.45</v>
          </cell>
          <cell r="N318">
            <v>6.9699999999999998E-2</v>
          </cell>
          <cell r="O318">
            <v>10236</v>
          </cell>
          <cell r="P318">
            <v>9957.75</v>
          </cell>
          <cell r="Q318">
            <v>10614.42</v>
          </cell>
        </row>
        <row r="319">
          <cell r="A319" t="str">
            <v>6221785582</v>
          </cell>
          <cell r="B319">
            <v>62217</v>
          </cell>
          <cell r="C319">
            <v>85582</v>
          </cell>
          <cell r="D319" t="str">
            <v>Bldg Admin-Salaries</v>
          </cell>
          <cell r="E319">
            <v>46677.599999999999</v>
          </cell>
          <cell r="F319">
            <v>45976</v>
          </cell>
          <cell r="G319">
            <v>701.599999999999</v>
          </cell>
          <cell r="H319">
            <v>1.5299999999999999E-2</v>
          </cell>
          <cell r="I319">
            <v>45762.93</v>
          </cell>
          <cell r="J319">
            <v>914.66999999999803</v>
          </cell>
          <cell r="K319">
            <v>0.02</v>
          </cell>
          <cell r="L319">
            <v>40149.08</v>
          </cell>
          <cell r="M319">
            <v>6528.52</v>
          </cell>
          <cell r="N319">
            <v>0.16259999999999999</v>
          </cell>
          <cell r="O319">
            <v>68964</v>
          </cell>
          <cell r="P319">
            <v>69230.37</v>
          </cell>
          <cell r="Q319">
            <v>65321.31</v>
          </cell>
        </row>
        <row r="320">
          <cell r="A320" t="str">
            <v>6221786564</v>
          </cell>
          <cell r="B320">
            <v>62217</v>
          </cell>
          <cell r="C320">
            <v>86564</v>
          </cell>
          <cell r="D320" t="str">
            <v>Insurance</v>
          </cell>
          <cell r="E320">
            <v>38239.32</v>
          </cell>
          <cell r="F320">
            <v>55136.639999999999</v>
          </cell>
          <cell r="G320">
            <v>-16897.32</v>
          </cell>
          <cell r="H320">
            <v>-0.30649999999999999</v>
          </cell>
          <cell r="I320">
            <v>35019.269999999997</v>
          </cell>
          <cell r="J320">
            <v>3220.05</v>
          </cell>
          <cell r="K320">
            <v>9.1999999999999998E-2</v>
          </cell>
          <cell r="L320">
            <v>46744</v>
          </cell>
          <cell r="M320">
            <v>-8504.68</v>
          </cell>
          <cell r="N320">
            <v>-0.18190000000000001</v>
          </cell>
          <cell r="O320">
            <v>82705</v>
          </cell>
          <cell r="P320">
            <v>49841.59</v>
          </cell>
          <cell r="Q320">
            <v>70108</v>
          </cell>
        </row>
        <row r="321">
          <cell r="A321" t="str">
            <v>6221788846</v>
          </cell>
          <cell r="B321">
            <v>62217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15088</v>
          </cell>
          <cell r="Q321">
            <v>0</v>
          </cell>
        </row>
        <row r="322">
          <cell r="A322" t="str">
            <v>6221788890</v>
          </cell>
          <cell r="B322">
            <v>62217</v>
          </cell>
          <cell r="C322">
            <v>88890</v>
          </cell>
          <cell r="D322" t="str">
            <v>Security/Safety</v>
          </cell>
          <cell r="E322">
            <v>30990.15</v>
          </cell>
          <cell r="F322">
            <v>30480</v>
          </cell>
          <cell r="G322">
            <v>510.150000000001</v>
          </cell>
          <cell r="H322">
            <v>1.67E-2</v>
          </cell>
          <cell r="I322">
            <v>30816.15</v>
          </cell>
          <cell r="J322">
            <v>174</v>
          </cell>
          <cell r="K322">
            <v>5.5999999999999999E-3</v>
          </cell>
          <cell r="L322">
            <v>29248.400000000001</v>
          </cell>
          <cell r="M322">
            <v>1741.75</v>
          </cell>
          <cell r="N322">
            <v>5.96E-2</v>
          </cell>
          <cell r="O322">
            <v>45720</v>
          </cell>
          <cell r="P322">
            <v>46056.15</v>
          </cell>
          <cell r="Q322">
            <v>44755.15</v>
          </cell>
        </row>
        <row r="323">
          <cell r="A323" t="str">
            <v>6221789775</v>
          </cell>
          <cell r="B323">
            <v>62217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</row>
        <row r="324">
          <cell r="A324" t="str">
            <v>6221789729</v>
          </cell>
          <cell r="B324">
            <v>62217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A325" t="str">
            <v>6221789786</v>
          </cell>
          <cell r="B325">
            <v>62217</v>
          </cell>
          <cell r="C325">
            <v>89786</v>
          </cell>
          <cell r="D325" t="str">
            <v>Property Tax Exp</v>
          </cell>
          <cell r="E325">
            <v>-141504.34</v>
          </cell>
          <cell r="F325">
            <v>186852.64</v>
          </cell>
          <cell r="G325">
            <v>-328356.98</v>
          </cell>
          <cell r="H325">
            <v>-1.7573000000000001</v>
          </cell>
          <cell r="I325">
            <v>-184475.25</v>
          </cell>
          <cell r="J325">
            <v>42970.91</v>
          </cell>
          <cell r="K325">
            <v>-0.2329</v>
          </cell>
          <cell r="L325">
            <v>170112.72</v>
          </cell>
          <cell r="M325">
            <v>-311617.06</v>
          </cell>
          <cell r="N325">
            <v>-1.8318000000000001</v>
          </cell>
          <cell r="O325">
            <v>280279</v>
          </cell>
          <cell r="P325">
            <v>-117284.34</v>
          </cell>
          <cell r="Q325">
            <v>255169</v>
          </cell>
        </row>
        <row r="326">
          <cell r="A326" t="str">
            <v>6221771040</v>
          </cell>
          <cell r="B326">
            <v>62217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A327" t="str">
            <v>6221772701</v>
          </cell>
          <cell r="B327">
            <v>62217</v>
          </cell>
          <cell r="C327">
            <v>72701</v>
          </cell>
          <cell r="D327" t="str">
            <v>Utilities</v>
          </cell>
          <cell r="E327">
            <v>2.5</v>
          </cell>
          <cell r="F327">
            <v>0</v>
          </cell>
          <cell r="G327">
            <v>2.5</v>
          </cell>
          <cell r="H327">
            <v>0</v>
          </cell>
          <cell r="I327">
            <v>2.5</v>
          </cell>
          <cell r="J327">
            <v>0</v>
          </cell>
          <cell r="K327">
            <v>0</v>
          </cell>
          <cell r="L327">
            <v>0</v>
          </cell>
          <cell r="M327">
            <v>2.5</v>
          </cell>
          <cell r="N327">
            <v>0</v>
          </cell>
          <cell r="O327">
            <v>0</v>
          </cell>
          <cell r="P327">
            <v>2.5</v>
          </cell>
          <cell r="Q327">
            <v>396.02</v>
          </cell>
        </row>
        <row r="328">
          <cell r="A328" t="str">
            <v>6221772855</v>
          </cell>
          <cell r="B328">
            <v>62217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</row>
        <row r="329">
          <cell r="A329" t="str">
            <v>6221772870</v>
          </cell>
          <cell r="B329">
            <v>62217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A330" t="str">
            <v>6221776010</v>
          </cell>
          <cell r="B330">
            <v>62217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132.13999999999999</v>
          </cell>
          <cell r="M330">
            <v>-132.13999999999999</v>
          </cell>
          <cell r="N330">
            <v>0</v>
          </cell>
          <cell r="O330">
            <v>0</v>
          </cell>
          <cell r="P330">
            <v>0</v>
          </cell>
          <cell r="Q330">
            <v>156.97</v>
          </cell>
        </row>
        <row r="331">
          <cell r="A331" t="str">
            <v>6221776040</v>
          </cell>
          <cell r="B331">
            <v>62217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A332" t="str">
            <v>6221776051</v>
          </cell>
          <cell r="B332">
            <v>62217</v>
          </cell>
          <cell r="C332">
            <v>76051</v>
          </cell>
          <cell r="D332" t="str">
            <v>Cleaning</v>
          </cell>
          <cell r="E332">
            <v>766.65</v>
          </cell>
          <cell r="F332">
            <v>0</v>
          </cell>
          <cell r="G332">
            <v>766.65</v>
          </cell>
          <cell r="H332">
            <v>0</v>
          </cell>
          <cell r="I332">
            <v>0</v>
          </cell>
          <cell r="J332">
            <v>766.65</v>
          </cell>
          <cell r="K332">
            <v>0</v>
          </cell>
          <cell r="L332">
            <v>0</v>
          </cell>
          <cell r="M332">
            <v>766.65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</row>
        <row r="333">
          <cell r="A333" t="str">
            <v>6221776054</v>
          </cell>
          <cell r="B333">
            <v>62217</v>
          </cell>
          <cell r="C333">
            <v>76054</v>
          </cell>
          <cell r="D333" t="str">
            <v>Bldg Maintenance &amp; Repair</v>
          </cell>
          <cell r="E333">
            <v>774</v>
          </cell>
          <cell r="F333">
            <v>1750</v>
          </cell>
          <cell r="G333">
            <v>-976</v>
          </cell>
          <cell r="H333">
            <v>-0.55769999999999997</v>
          </cell>
          <cell r="I333">
            <v>8932</v>
          </cell>
          <cell r="J333">
            <v>-8158</v>
          </cell>
          <cell r="K333">
            <v>-0.9133</v>
          </cell>
          <cell r="L333">
            <v>1596.52</v>
          </cell>
          <cell r="M333">
            <v>-822.52</v>
          </cell>
          <cell r="N333">
            <v>-0.51519999999999999</v>
          </cell>
          <cell r="O333">
            <v>2000</v>
          </cell>
          <cell r="P333">
            <v>9182</v>
          </cell>
          <cell r="Q333">
            <v>1360.29</v>
          </cell>
        </row>
        <row r="334">
          <cell r="A334" t="str">
            <v>6221776060</v>
          </cell>
          <cell r="B334">
            <v>62217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A335" t="str">
            <v>6221776071</v>
          </cell>
          <cell r="B335">
            <v>62217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A336" t="str">
            <v>6221776090</v>
          </cell>
          <cell r="B336">
            <v>62217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A337" t="str">
            <v>6221777001</v>
          </cell>
          <cell r="B337">
            <v>62217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A338" t="str">
            <v>6221777022</v>
          </cell>
          <cell r="B338">
            <v>62217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A339" t="str">
            <v>6221784200</v>
          </cell>
          <cell r="B339">
            <v>62217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</row>
        <row r="340">
          <cell r="A340" t="str">
            <v>6221784240</v>
          </cell>
          <cell r="B340">
            <v>62217</v>
          </cell>
          <cell r="C340">
            <v>84240</v>
          </cell>
          <cell r="D340" t="str">
            <v>Marketing Leasing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5391.61</v>
          </cell>
          <cell r="M340">
            <v>-5391.61</v>
          </cell>
          <cell r="N340">
            <v>0</v>
          </cell>
          <cell r="O340">
            <v>0</v>
          </cell>
          <cell r="P340">
            <v>0</v>
          </cell>
          <cell r="Q340">
            <v>8474.73</v>
          </cell>
        </row>
        <row r="341">
          <cell r="A341" t="str">
            <v>6221784242</v>
          </cell>
          <cell r="B341">
            <v>62217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A342" t="str">
            <v>6221784243</v>
          </cell>
          <cell r="B342">
            <v>62217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-15488.72</v>
          </cell>
        </row>
        <row r="343">
          <cell r="A343" t="str">
            <v>6221784244</v>
          </cell>
          <cell r="B343">
            <v>62217</v>
          </cell>
          <cell r="C343">
            <v>84244</v>
          </cell>
          <cell r="D343" t="str">
            <v>Marketing-Net Required</v>
          </cell>
          <cell r="E343">
            <v>45000</v>
          </cell>
          <cell r="F343">
            <v>33333.360000000001</v>
          </cell>
          <cell r="G343">
            <v>11666.64</v>
          </cell>
          <cell r="H343">
            <v>0.35</v>
          </cell>
          <cell r="I343">
            <v>33333.339999999997</v>
          </cell>
          <cell r="J343">
            <v>11666.66</v>
          </cell>
          <cell r="K343">
            <v>0.35</v>
          </cell>
          <cell r="L343">
            <v>0</v>
          </cell>
          <cell r="M343">
            <v>45000</v>
          </cell>
          <cell r="N343">
            <v>0</v>
          </cell>
          <cell r="O343">
            <v>50000</v>
          </cell>
          <cell r="P343">
            <v>49999.99</v>
          </cell>
          <cell r="Q343">
            <v>0</v>
          </cell>
        </row>
        <row r="344">
          <cell r="A344" t="str">
            <v>6221784265</v>
          </cell>
          <cell r="B344">
            <v>62217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  <row r="345">
          <cell r="A345" t="str">
            <v>6221788037</v>
          </cell>
          <cell r="B345">
            <v>62217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</row>
        <row r="346">
          <cell r="A346" t="str">
            <v>6221785016</v>
          </cell>
          <cell r="B346">
            <v>62217</v>
          </cell>
          <cell r="C346">
            <v>85016</v>
          </cell>
          <cell r="D346" t="str">
            <v>Prof Svc-Attorney Outside</v>
          </cell>
          <cell r="E346">
            <v>6085.57</v>
          </cell>
          <cell r="F346">
            <v>2250</v>
          </cell>
          <cell r="G346">
            <v>3835.57</v>
          </cell>
          <cell r="H346">
            <v>1.7047000000000001</v>
          </cell>
          <cell r="I346">
            <v>4042.09</v>
          </cell>
          <cell r="J346">
            <v>2043.48</v>
          </cell>
          <cell r="K346">
            <v>0.50560000000000005</v>
          </cell>
          <cell r="L346">
            <v>3675.6</v>
          </cell>
          <cell r="M346">
            <v>2409.9699999999998</v>
          </cell>
          <cell r="N346">
            <v>0.65569999999999995</v>
          </cell>
          <cell r="O346">
            <v>3000</v>
          </cell>
          <cell r="P346">
            <v>4792.09</v>
          </cell>
          <cell r="Q346">
            <v>5872.39</v>
          </cell>
        </row>
        <row r="347">
          <cell r="A347" t="str">
            <v>6221785022</v>
          </cell>
          <cell r="B347">
            <v>62217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</row>
        <row r="348">
          <cell r="A348" t="str">
            <v>6221785065</v>
          </cell>
          <cell r="B348">
            <v>62217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</row>
        <row r="349">
          <cell r="A349" t="str">
            <v>6221785500</v>
          </cell>
          <cell r="B349">
            <v>62217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</row>
        <row r="350">
          <cell r="A350" t="str">
            <v>6221785566</v>
          </cell>
          <cell r="B350">
            <v>62217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</row>
        <row r="351">
          <cell r="A351" t="str">
            <v>6221785581</v>
          </cell>
          <cell r="B351">
            <v>62217</v>
          </cell>
          <cell r="C351">
            <v>85581</v>
          </cell>
          <cell r="D351" t="str">
            <v>Bldg Admin- Salaries</v>
          </cell>
          <cell r="E351">
            <v>26441.56</v>
          </cell>
          <cell r="F351">
            <v>27476</v>
          </cell>
          <cell r="G351">
            <v>-1034.44</v>
          </cell>
          <cell r="H351">
            <v>-3.7600000000000001E-2</v>
          </cell>
          <cell r="I351">
            <v>25980.78</v>
          </cell>
          <cell r="J351">
            <v>460.78000000000202</v>
          </cell>
          <cell r="K351">
            <v>1.77E-2</v>
          </cell>
          <cell r="L351">
            <v>24217.21</v>
          </cell>
          <cell r="M351">
            <v>2224.35</v>
          </cell>
          <cell r="N351">
            <v>9.1800000000000007E-2</v>
          </cell>
          <cell r="O351">
            <v>41212</v>
          </cell>
          <cell r="P351">
            <v>39960.239999999998</v>
          </cell>
          <cell r="Q351">
            <v>38128.28</v>
          </cell>
        </row>
        <row r="352">
          <cell r="A352" t="str">
            <v>6221785583</v>
          </cell>
          <cell r="B352">
            <v>62217</v>
          </cell>
          <cell r="C352">
            <v>85583</v>
          </cell>
          <cell r="D352" t="str">
            <v>Bldg Admin-Office Exp.</v>
          </cell>
          <cell r="E352">
            <v>3971.2</v>
          </cell>
          <cell r="F352">
            <v>4195.3599999999997</v>
          </cell>
          <cell r="G352">
            <v>-224.16</v>
          </cell>
          <cell r="H352">
            <v>-5.3400000000000003E-2</v>
          </cell>
          <cell r="I352">
            <v>4096</v>
          </cell>
          <cell r="J352">
            <v>-124.8</v>
          </cell>
          <cell r="K352">
            <v>-3.0499999999999999E-2</v>
          </cell>
          <cell r="L352">
            <v>4181.8100000000004</v>
          </cell>
          <cell r="M352">
            <v>-210.61000000000101</v>
          </cell>
          <cell r="N352">
            <v>-5.04E-2</v>
          </cell>
          <cell r="O352">
            <v>6283</v>
          </cell>
          <cell r="P352">
            <v>5905.36</v>
          </cell>
          <cell r="Q352">
            <v>6443.31</v>
          </cell>
        </row>
        <row r="353">
          <cell r="A353" t="str">
            <v>6221785530</v>
          </cell>
          <cell r="B353">
            <v>62217</v>
          </cell>
          <cell r="C353">
            <v>85530</v>
          </cell>
          <cell r="D353" t="str">
            <v>Bldg Admin - Office Exp</v>
          </cell>
          <cell r="E353">
            <v>3971.2</v>
          </cell>
          <cell r="F353">
            <v>4195.3599999999997</v>
          </cell>
          <cell r="G353">
            <v>-224.16</v>
          </cell>
          <cell r="H353">
            <v>-5.3400000000000003E-2</v>
          </cell>
          <cell r="I353">
            <v>4096</v>
          </cell>
          <cell r="J353">
            <v>-124.8</v>
          </cell>
          <cell r="K353">
            <v>-3.0499999999999999E-2</v>
          </cell>
          <cell r="L353">
            <v>4181.8100000000004</v>
          </cell>
          <cell r="M353">
            <v>-210.61000000000101</v>
          </cell>
          <cell r="N353">
            <v>-5.04E-2</v>
          </cell>
          <cell r="O353">
            <v>6283</v>
          </cell>
          <cell r="P353">
            <v>5905.36</v>
          </cell>
          <cell r="Q353">
            <v>6443.31</v>
          </cell>
        </row>
        <row r="354">
          <cell r="A354" t="str">
            <v>6221786012</v>
          </cell>
          <cell r="B354">
            <v>62217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</row>
        <row r="355">
          <cell r="A355" t="str">
            <v>6221786037</v>
          </cell>
          <cell r="B355">
            <v>62217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A356" t="str">
            <v>6221783050</v>
          </cell>
          <cell r="B356">
            <v>62217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</row>
        <row r="357">
          <cell r="A357" t="str">
            <v>6221786510</v>
          </cell>
          <cell r="B357">
            <v>62217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</row>
        <row r="358">
          <cell r="A358" t="str">
            <v>6221786537</v>
          </cell>
          <cell r="B358">
            <v>62217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</row>
        <row r="359">
          <cell r="A359" t="str">
            <v>6221786566</v>
          </cell>
          <cell r="B359">
            <v>62217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</row>
        <row r="360">
          <cell r="A360" t="str">
            <v>6221786955</v>
          </cell>
          <cell r="B360">
            <v>62217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</row>
        <row r="361">
          <cell r="A361" t="str">
            <v>6221786985</v>
          </cell>
          <cell r="B361">
            <v>62217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-517</v>
          </cell>
          <cell r="Q361">
            <v>0</v>
          </cell>
        </row>
        <row r="362">
          <cell r="A362" t="str">
            <v>6221786880</v>
          </cell>
          <cell r="B362">
            <v>62217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3">
          <cell r="A363" t="str">
            <v>6221788710</v>
          </cell>
          <cell r="B363">
            <v>62217</v>
          </cell>
          <cell r="C363">
            <v>88710</v>
          </cell>
          <cell r="D363" t="str">
            <v>Losses-Bad Debts</v>
          </cell>
          <cell r="E363">
            <v>29098.09</v>
          </cell>
          <cell r="F363">
            <v>35700</v>
          </cell>
          <cell r="G363">
            <v>-6601.91</v>
          </cell>
          <cell r="H363">
            <v>-0.18490000000000001</v>
          </cell>
          <cell r="I363">
            <v>-3705.61</v>
          </cell>
          <cell r="J363">
            <v>32803.699999999997</v>
          </cell>
          <cell r="K363">
            <v>-8.8523999999999994</v>
          </cell>
          <cell r="L363">
            <v>60117</v>
          </cell>
          <cell r="M363">
            <v>-31018.91</v>
          </cell>
          <cell r="N363">
            <v>-0.51600000000000001</v>
          </cell>
          <cell r="O363">
            <v>71400</v>
          </cell>
          <cell r="P363">
            <v>-3705.13</v>
          </cell>
          <cell r="Q363">
            <v>28179</v>
          </cell>
        </row>
        <row r="364">
          <cell r="A364" t="str">
            <v>6221788711</v>
          </cell>
          <cell r="B364">
            <v>62217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65">
          <cell r="A365" t="str">
            <v>6221788785</v>
          </cell>
          <cell r="B365">
            <v>62217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</row>
        <row r="366">
          <cell r="A366" t="str">
            <v>6221788847</v>
          </cell>
          <cell r="B366">
            <v>62217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A367" t="str">
            <v>6221788866</v>
          </cell>
          <cell r="B367">
            <v>62217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</row>
        <row r="368">
          <cell r="A368" t="str">
            <v>6221788870</v>
          </cell>
          <cell r="B368">
            <v>62217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</row>
        <row r="369">
          <cell r="A369" t="str">
            <v>6221788889</v>
          </cell>
          <cell r="B369">
            <v>62217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</row>
        <row r="370">
          <cell r="A370" t="str">
            <v>6221789776</v>
          </cell>
          <cell r="B370">
            <v>62217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</row>
        <row r="371">
          <cell r="A371" t="str">
            <v>6221789787</v>
          </cell>
          <cell r="B371">
            <v>62217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2">
          <cell r="A372" t="str">
            <v>6221789510</v>
          </cell>
          <cell r="B372">
            <v>62217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</row>
        <row r="373">
          <cell r="A373" t="str">
            <v>6221789511</v>
          </cell>
          <cell r="B373">
            <v>62217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</row>
        <row r="374">
          <cell r="A374" t="str">
            <v>6221789512</v>
          </cell>
          <cell r="B374">
            <v>62217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</row>
        <row r="375">
          <cell r="A375" t="str">
            <v>6221789528</v>
          </cell>
          <cell r="B375">
            <v>62217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</row>
        <row r="376">
          <cell r="A376" t="str">
            <v>6221789529</v>
          </cell>
          <cell r="B376">
            <v>62217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</row>
        <row r="377">
          <cell r="A377" t="str">
            <v>6221789567</v>
          </cell>
          <cell r="B377">
            <v>62217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</row>
        <row r="378">
          <cell r="A378" t="str">
            <v>6221785058</v>
          </cell>
          <cell r="B378">
            <v>62217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</row>
        <row r="379">
          <cell r="A379" t="str">
            <v>6221786513</v>
          </cell>
          <cell r="B379">
            <v>62217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1132.51</v>
          </cell>
          <cell r="J379">
            <v>-1132.51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4176.05</v>
          </cell>
          <cell r="Q379">
            <v>0</v>
          </cell>
        </row>
        <row r="380">
          <cell r="A380" t="str">
            <v>6221786519</v>
          </cell>
          <cell r="B380">
            <v>62217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</row>
        <row r="381">
          <cell r="A381" t="str">
            <v>6221788770</v>
          </cell>
          <cell r="B381">
            <v>62217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</row>
        <row r="382">
          <cell r="A382" t="str">
            <v>6221788862</v>
          </cell>
          <cell r="B382">
            <v>62217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</row>
        <row r="383">
          <cell r="A383" t="str">
            <v>6221788874</v>
          </cell>
          <cell r="B383">
            <v>62217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</row>
        <row r="384">
          <cell r="A384" t="str">
            <v>6221789910</v>
          </cell>
          <cell r="B384">
            <v>62217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534288.02</v>
          </cell>
          <cell r="G384">
            <v>-534288.02</v>
          </cell>
          <cell r="H384">
            <v>0</v>
          </cell>
          <cell r="I384">
            <v>478056.11</v>
          </cell>
          <cell r="J384">
            <v>-478056.11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801432.06</v>
          </cell>
          <cell r="P384">
            <v>728191.32</v>
          </cell>
          <cell r="Q384">
            <v>0</v>
          </cell>
        </row>
        <row r="385">
          <cell r="A385" t="str">
            <v>6221789548</v>
          </cell>
          <cell r="B385">
            <v>62217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</row>
        <row r="386">
          <cell r="A386" t="str">
            <v>6222041010</v>
          </cell>
          <cell r="B386">
            <v>62220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87">
          <cell r="A387" t="str">
            <v>6222041040</v>
          </cell>
          <cell r="B387">
            <v>62220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</row>
        <row r="388">
          <cell r="A388" t="str">
            <v>6222041050</v>
          </cell>
          <cell r="B388">
            <v>62220</v>
          </cell>
          <cell r="C388">
            <v>41050</v>
          </cell>
          <cell r="D388" t="str">
            <v>Rental Income - Fixed</v>
          </cell>
          <cell r="E388">
            <v>-2022265.26</v>
          </cell>
          <cell r="F388">
            <v>-2168150.0299999998</v>
          </cell>
          <cell r="G388">
            <v>145884.76999999999</v>
          </cell>
          <cell r="H388">
            <v>-6.7299999999999999E-2</v>
          </cell>
          <cell r="I388">
            <v>-2077820.39</v>
          </cell>
          <cell r="J388">
            <v>55555.129999999903</v>
          </cell>
          <cell r="K388">
            <v>-2.6700000000000002E-2</v>
          </cell>
          <cell r="L388">
            <v>-1553537.94</v>
          </cell>
          <cell r="M388">
            <v>-468727.32</v>
          </cell>
          <cell r="N388">
            <v>0.30170000000000002</v>
          </cell>
          <cell r="O388">
            <v>-3298330.87</v>
          </cell>
          <cell r="P388">
            <v>-3228283.84</v>
          </cell>
          <cell r="Q388">
            <v>-2484300.81</v>
          </cell>
        </row>
        <row r="389">
          <cell r="A389" t="str">
            <v>6222041074</v>
          </cell>
          <cell r="B389">
            <v>62220</v>
          </cell>
          <cell r="C389">
            <v>41074</v>
          </cell>
          <cell r="D389" t="str">
            <v>Rental Income - Percentage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</row>
        <row r="390">
          <cell r="A390" t="str">
            <v>6222041082</v>
          </cell>
          <cell r="B390">
            <v>62220</v>
          </cell>
          <cell r="C390">
            <v>41082</v>
          </cell>
          <cell r="D390" t="str">
            <v>Rental Income - Operating Exp</v>
          </cell>
          <cell r="E390">
            <v>-600379.23</v>
          </cell>
          <cell r="F390">
            <v>-626920.24</v>
          </cell>
          <cell r="G390">
            <v>26541.01</v>
          </cell>
          <cell r="H390">
            <v>-4.2299999999999997E-2</v>
          </cell>
          <cell r="I390">
            <v>-600177.11</v>
          </cell>
          <cell r="J390">
            <v>-202.119999999995</v>
          </cell>
          <cell r="K390">
            <v>2.9999999999999997E-4</v>
          </cell>
          <cell r="L390">
            <v>-460679.38</v>
          </cell>
          <cell r="M390">
            <v>-139699.85</v>
          </cell>
          <cell r="N390">
            <v>0.30320000000000003</v>
          </cell>
          <cell r="O390">
            <v>-940380.36</v>
          </cell>
          <cell r="P390">
            <v>-1018244.11</v>
          </cell>
          <cell r="Q390">
            <v>-682382.73</v>
          </cell>
        </row>
        <row r="391">
          <cell r="A391" t="str">
            <v>6222044610</v>
          </cell>
          <cell r="B391">
            <v>62220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</row>
        <row r="392">
          <cell r="A392" t="str">
            <v>6222045071</v>
          </cell>
          <cell r="B392">
            <v>62220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-50000</v>
          </cell>
        </row>
        <row r="393">
          <cell r="A393" t="str">
            <v>6222045010</v>
          </cell>
          <cell r="B393">
            <v>62220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</row>
        <row r="394">
          <cell r="A394" t="str">
            <v>6222045046</v>
          </cell>
          <cell r="B394">
            <v>62220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</row>
        <row r="395">
          <cell r="A395" t="str">
            <v>6222045070</v>
          </cell>
          <cell r="B395">
            <v>62220</v>
          </cell>
          <cell r="C395">
            <v>45070</v>
          </cell>
          <cell r="D395" t="str">
            <v>Other Income</v>
          </cell>
          <cell r="E395">
            <v>-108273.54</v>
          </cell>
          <cell r="F395">
            <v>0</v>
          </cell>
          <cell r="G395">
            <v>-108273.54</v>
          </cell>
          <cell r="H395">
            <v>0</v>
          </cell>
          <cell r="I395">
            <v>-0.4</v>
          </cell>
          <cell r="J395">
            <v>-108273.14</v>
          </cell>
          <cell r="K395">
            <v>270682.84999999998</v>
          </cell>
          <cell r="L395">
            <v>-0.09</v>
          </cell>
          <cell r="M395">
            <v>-108273.45</v>
          </cell>
          <cell r="N395">
            <v>1203038.3333000001</v>
          </cell>
          <cell r="O395">
            <v>-902</v>
          </cell>
          <cell r="P395">
            <v>-902.4</v>
          </cell>
          <cell r="Q395">
            <v>-2.65</v>
          </cell>
        </row>
        <row r="396">
          <cell r="A396" t="str">
            <v>6222041060</v>
          </cell>
          <cell r="B396">
            <v>62220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80000</v>
          </cell>
          <cell r="G396">
            <v>-80000</v>
          </cell>
          <cell r="H396">
            <v>0</v>
          </cell>
          <cell r="I396">
            <v>75750</v>
          </cell>
          <cell r="J396">
            <v>-75750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120000</v>
          </cell>
          <cell r="P396">
            <v>176750</v>
          </cell>
          <cell r="Q396">
            <v>0</v>
          </cell>
        </row>
        <row r="397">
          <cell r="A397" t="str">
            <v>6222044870</v>
          </cell>
          <cell r="B397">
            <v>62220</v>
          </cell>
          <cell r="C397">
            <v>44870</v>
          </cell>
          <cell r="D397" t="str">
            <v>Late Fees</v>
          </cell>
          <cell r="E397">
            <v>-8472.91</v>
          </cell>
          <cell r="F397">
            <v>0</v>
          </cell>
          <cell r="G397">
            <v>-8472.91</v>
          </cell>
          <cell r="H397">
            <v>0</v>
          </cell>
          <cell r="I397">
            <v>-6952.54</v>
          </cell>
          <cell r="J397">
            <v>-1520.37</v>
          </cell>
          <cell r="K397">
            <v>0.21870000000000001</v>
          </cell>
          <cell r="L397">
            <v>0</v>
          </cell>
          <cell r="M397">
            <v>-8472.91</v>
          </cell>
          <cell r="N397">
            <v>0</v>
          </cell>
          <cell r="O397">
            <v>0</v>
          </cell>
          <cell r="P397">
            <v>-6952.54</v>
          </cell>
          <cell r="Q397">
            <v>-8627.2900000000009</v>
          </cell>
        </row>
        <row r="398">
          <cell r="A398" t="str">
            <v>6222052542</v>
          </cell>
          <cell r="B398">
            <v>62220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</row>
        <row r="399">
          <cell r="A399" t="str">
            <v>6222072710</v>
          </cell>
          <cell r="B399">
            <v>62220</v>
          </cell>
          <cell r="C399">
            <v>72710</v>
          </cell>
          <cell r="D399" t="str">
            <v>Utilities - Electricity</v>
          </cell>
          <cell r="E399">
            <v>36049.31</v>
          </cell>
          <cell r="F399">
            <v>39456</v>
          </cell>
          <cell r="G399">
            <v>-3406.69</v>
          </cell>
          <cell r="H399">
            <v>-8.6300000000000002E-2</v>
          </cell>
          <cell r="I399">
            <v>41526.25</v>
          </cell>
          <cell r="J399">
            <v>-5476.94</v>
          </cell>
          <cell r="K399">
            <v>-0.13189999999999999</v>
          </cell>
          <cell r="L399">
            <v>35844.839999999997</v>
          </cell>
          <cell r="M399">
            <v>204.47000000000099</v>
          </cell>
          <cell r="N399">
            <v>5.7000000000000002E-3</v>
          </cell>
          <cell r="O399">
            <v>59184</v>
          </cell>
          <cell r="P399">
            <v>66186.25</v>
          </cell>
          <cell r="Q399">
            <v>49323.61</v>
          </cell>
        </row>
        <row r="400">
          <cell r="A400" t="str">
            <v>6222072740</v>
          </cell>
          <cell r="B400">
            <v>62220</v>
          </cell>
          <cell r="C400">
            <v>72740</v>
          </cell>
          <cell r="D400" t="str">
            <v>Utilities - Gas</v>
          </cell>
          <cell r="E400">
            <v>905.72</v>
          </cell>
          <cell r="F400">
            <v>4000</v>
          </cell>
          <cell r="G400">
            <v>-3094.28</v>
          </cell>
          <cell r="H400">
            <v>-0.77359999999999995</v>
          </cell>
          <cell r="I400">
            <v>2451.36</v>
          </cell>
          <cell r="J400">
            <v>-1545.64</v>
          </cell>
          <cell r="K400">
            <v>-0.63049999999999995</v>
          </cell>
          <cell r="L400">
            <v>2632.4</v>
          </cell>
          <cell r="M400">
            <v>-1726.68</v>
          </cell>
          <cell r="N400">
            <v>-0.65590000000000004</v>
          </cell>
          <cell r="O400">
            <v>6000</v>
          </cell>
          <cell r="P400">
            <v>5051.3599999999997</v>
          </cell>
          <cell r="Q400">
            <v>5552.22</v>
          </cell>
        </row>
        <row r="401">
          <cell r="A401" t="str">
            <v>6222072770</v>
          </cell>
          <cell r="B401">
            <v>62220</v>
          </cell>
          <cell r="C401">
            <v>72770</v>
          </cell>
          <cell r="D401" t="str">
            <v>Utilities - Water</v>
          </cell>
          <cell r="E401">
            <v>8740.66</v>
          </cell>
          <cell r="F401">
            <v>2936</v>
          </cell>
          <cell r="G401">
            <v>5804.66</v>
          </cell>
          <cell r="H401">
            <v>1.9771000000000001</v>
          </cell>
          <cell r="I401">
            <v>7437.81</v>
          </cell>
          <cell r="J401">
            <v>1302.8499999999999</v>
          </cell>
          <cell r="K401">
            <v>0.17519999999999999</v>
          </cell>
          <cell r="L401">
            <v>2799.65</v>
          </cell>
          <cell r="M401">
            <v>5941.01</v>
          </cell>
          <cell r="N401">
            <v>2.1221000000000001</v>
          </cell>
          <cell r="O401">
            <v>4404</v>
          </cell>
          <cell r="P401">
            <v>9985.81</v>
          </cell>
          <cell r="Q401">
            <v>4660.29</v>
          </cell>
        </row>
        <row r="402">
          <cell r="A402" t="str">
            <v>6222076000</v>
          </cell>
          <cell r="B402">
            <v>62220</v>
          </cell>
          <cell r="C402">
            <v>76000</v>
          </cell>
          <cell r="D402" t="str">
            <v>Bldg Maintenance &amp; Repair</v>
          </cell>
          <cell r="E402">
            <v>60265.62</v>
          </cell>
          <cell r="F402">
            <v>75880.36</v>
          </cell>
          <cell r="G402">
            <v>-15614.74</v>
          </cell>
          <cell r="H402">
            <v>-0.20580000000000001</v>
          </cell>
          <cell r="I402">
            <v>67548.75</v>
          </cell>
          <cell r="J402">
            <v>-7283.13</v>
          </cell>
          <cell r="K402">
            <v>-0.10780000000000001</v>
          </cell>
          <cell r="L402">
            <v>25644.09</v>
          </cell>
          <cell r="M402">
            <v>34621.53</v>
          </cell>
          <cell r="N402">
            <v>1.3501000000000001</v>
          </cell>
          <cell r="O402">
            <v>92260</v>
          </cell>
          <cell r="P402">
            <v>110868.39</v>
          </cell>
          <cell r="Q402">
            <v>45683.96</v>
          </cell>
        </row>
        <row r="403">
          <cell r="A403" t="str">
            <v>6222076020</v>
          </cell>
          <cell r="B403">
            <v>62220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</row>
        <row r="404">
          <cell r="A404" t="str">
            <v>6222076034</v>
          </cell>
          <cell r="B404">
            <v>62220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</row>
        <row r="405">
          <cell r="A405" t="str">
            <v>6222076050</v>
          </cell>
          <cell r="B405">
            <v>62220</v>
          </cell>
          <cell r="C405">
            <v>76050</v>
          </cell>
          <cell r="D405" t="str">
            <v>Cleaning Expense</v>
          </cell>
          <cell r="E405">
            <v>53660.49</v>
          </cell>
          <cell r="F405">
            <v>41964.639999999999</v>
          </cell>
          <cell r="G405">
            <v>11695.85</v>
          </cell>
          <cell r="H405">
            <v>0.2787</v>
          </cell>
          <cell r="I405">
            <v>51863.69</v>
          </cell>
          <cell r="J405">
            <v>1796.8</v>
          </cell>
          <cell r="K405">
            <v>3.4599999999999999E-2</v>
          </cell>
          <cell r="L405">
            <v>43160.26</v>
          </cell>
          <cell r="M405">
            <v>10500.23</v>
          </cell>
          <cell r="N405">
            <v>0.24329999999999999</v>
          </cell>
          <cell r="O405">
            <v>62947</v>
          </cell>
          <cell r="P405">
            <v>79431.69</v>
          </cell>
          <cell r="Q405">
            <v>64445.26</v>
          </cell>
        </row>
        <row r="406">
          <cell r="A406" t="str">
            <v>6222076056</v>
          </cell>
          <cell r="B406">
            <v>62220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</row>
        <row r="407">
          <cell r="A407" t="str">
            <v>6222076070</v>
          </cell>
          <cell r="B407">
            <v>62220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</row>
        <row r="408">
          <cell r="A408" t="str">
            <v>6222076091</v>
          </cell>
          <cell r="B408">
            <v>62220</v>
          </cell>
          <cell r="C408">
            <v>76091</v>
          </cell>
          <cell r="D408" t="str">
            <v>Parking Maintenance</v>
          </cell>
          <cell r="E408">
            <v>16595</v>
          </cell>
          <cell r="F408">
            <v>31699.360000000001</v>
          </cell>
          <cell r="G408">
            <v>-15104.36</v>
          </cell>
          <cell r="H408">
            <v>-0.47649999999999998</v>
          </cell>
          <cell r="I408">
            <v>16744</v>
          </cell>
          <cell r="J408">
            <v>-149</v>
          </cell>
          <cell r="K408">
            <v>-8.8999999999999999E-3</v>
          </cell>
          <cell r="L408">
            <v>23113.35</v>
          </cell>
          <cell r="M408">
            <v>-6518.35</v>
          </cell>
          <cell r="N408">
            <v>-0.28199999999999997</v>
          </cell>
          <cell r="O408">
            <v>42199</v>
          </cell>
          <cell r="P408">
            <v>36716</v>
          </cell>
          <cell r="Q408">
            <v>32988.35</v>
          </cell>
        </row>
        <row r="409">
          <cell r="A409" t="str">
            <v>6222077000</v>
          </cell>
          <cell r="B409">
            <v>62220</v>
          </cell>
          <cell r="C409">
            <v>77000</v>
          </cell>
          <cell r="D409" t="str">
            <v>Grounds Maintenance</v>
          </cell>
          <cell r="E409">
            <v>40612.51</v>
          </cell>
          <cell r="F409">
            <v>42210.64</v>
          </cell>
          <cell r="G409">
            <v>-1598.13</v>
          </cell>
          <cell r="H409">
            <v>-3.7900000000000003E-2</v>
          </cell>
          <cell r="I409">
            <v>46264.88</v>
          </cell>
          <cell r="J409">
            <v>-5652.37</v>
          </cell>
          <cell r="K409">
            <v>-0.1222</v>
          </cell>
          <cell r="L409">
            <v>31505.69</v>
          </cell>
          <cell r="M409">
            <v>9106.82</v>
          </cell>
          <cell r="N409">
            <v>0.28910000000000002</v>
          </cell>
          <cell r="O409">
            <v>56645</v>
          </cell>
          <cell r="P409">
            <v>65805.240000000005</v>
          </cell>
          <cell r="Q409">
            <v>45401.15</v>
          </cell>
        </row>
        <row r="410">
          <cell r="A410" t="str">
            <v>6222077053</v>
          </cell>
          <cell r="B410">
            <v>62220</v>
          </cell>
          <cell r="C410">
            <v>77053</v>
          </cell>
          <cell r="D410" t="str">
            <v>Landscaping</v>
          </cell>
          <cell r="E410">
            <v>33299.5</v>
          </cell>
          <cell r="F410">
            <v>53078</v>
          </cell>
          <cell r="G410">
            <v>-19778.5</v>
          </cell>
          <cell r="H410">
            <v>-0.37259999999999999</v>
          </cell>
          <cell r="I410">
            <v>37044.5</v>
          </cell>
          <cell r="J410">
            <v>-3745</v>
          </cell>
          <cell r="K410">
            <v>-0.1011</v>
          </cell>
          <cell r="L410">
            <v>34032.49</v>
          </cell>
          <cell r="M410">
            <v>-732.98999999999796</v>
          </cell>
          <cell r="N410">
            <v>-2.1499999999999998E-2</v>
          </cell>
          <cell r="O410">
            <v>69138</v>
          </cell>
          <cell r="P410">
            <v>67204.5</v>
          </cell>
          <cell r="Q410">
            <v>66277</v>
          </cell>
        </row>
        <row r="411">
          <cell r="A411" t="str">
            <v>6222078020</v>
          </cell>
          <cell r="B411">
            <v>62220</v>
          </cell>
          <cell r="C411">
            <v>78020</v>
          </cell>
          <cell r="D411" t="str">
            <v>Amortized CAM Exp</v>
          </cell>
          <cell r="E411">
            <v>39768</v>
          </cell>
          <cell r="F411">
            <v>17778</v>
          </cell>
          <cell r="G411">
            <v>21990</v>
          </cell>
          <cell r="H411">
            <v>1.2369000000000001</v>
          </cell>
          <cell r="I411">
            <v>27379.41</v>
          </cell>
          <cell r="J411">
            <v>12388.59</v>
          </cell>
          <cell r="K411">
            <v>0.45250000000000001</v>
          </cell>
          <cell r="L411">
            <v>0</v>
          </cell>
          <cell r="M411">
            <v>39768</v>
          </cell>
          <cell r="N411">
            <v>0</v>
          </cell>
          <cell r="O411">
            <v>26667</v>
          </cell>
          <cell r="P411">
            <v>52271.72</v>
          </cell>
          <cell r="Q411">
            <v>0</v>
          </cell>
        </row>
        <row r="412">
          <cell r="A412" t="str">
            <v>6222084264</v>
          </cell>
          <cell r="B412">
            <v>62220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</row>
        <row r="413">
          <cell r="A413" t="str">
            <v>6222085555</v>
          </cell>
          <cell r="B413">
            <v>62220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</row>
        <row r="414">
          <cell r="A414" t="str">
            <v>6222085584</v>
          </cell>
          <cell r="B414">
            <v>62220</v>
          </cell>
          <cell r="C414">
            <v>85584</v>
          </cell>
          <cell r="D414" t="str">
            <v>Bldg Admin-Office Costs</v>
          </cell>
          <cell r="E414">
            <v>9206.31</v>
          </cell>
          <cell r="F414">
            <v>8608</v>
          </cell>
          <cell r="G414">
            <v>598.30999999999904</v>
          </cell>
          <cell r="H414">
            <v>6.9500000000000006E-2</v>
          </cell>
          <cell r="I414">
            <v>9033.15</v>
          </cell>
          <cell r="J414">
            <v>173.16</v>
          </cell>
          <cell r="K414">
            <v>1.9199999999999998E-2</v>
          </cell>
          <cell r="L414">
            <v>7427.59</v>
          </cell>
          <cell r="M414">
            <v>1778.72</v>
          </cell>
          <cell r="N414">
            <v>0.23949999999999999</v>
          </cell>
          <cell r="O414">
            <v>12912</v>
          </cell>
          <cell r="P414">
            <v>13360.91</v>
          </cell>
          <cell r="Q414">
            <v>12302.31</v>
          </cell>
        </row>
        <row r="415">
          <cell r="A415" t="str">
            <v>6222085582</v>
          </cell>
          <cell r="B415">
            <v>62220</v>
          </cell>
          <cell r="C415">
            <v>85582</v>
          </cell>
          <cell r="D415" t="str">
            <v>Bldg Admin-Salaries</v>
          </cell>
          <cell r="E415">
            <v>59507.81</v>
          </cell>
          <cell r="F415">
            <v>57987.360000000001</v>
          </cell>
          <cell r="G415">
            <v>1520.45</v>
          </cell>
          <cell r="H415">
            <v>2.6200000000000001E-2</v>
          </cell>
          <cell r="I415">
            <v>60308.61</v>
          </cell>
          <cell r="J415">
            <v>-800.80000000000302</v>
          </cell>
          <cell r="K415">
            <v>-1.3299999999999999E-2</v>
          </cell>
          <cell r="L415">
            <v>50519.76</v>
          </cell>
          <cell r="M415">
            <v>8988.0499999999993</v>
          </cell>
          <cell r="N415">
            <v>0.1779</v>
          </cell>
          <cell r="O415">
            <v>86981</v>
          </cell>
          <cell r="P415">
            <v>92911.42</v>
          </cell>
          <cell r="Q415">
            <v>82235.03</v>
          </cell>
        </row>
        <row r="416">
          <cell r="A416" t="str">
            <v>6222086564</v>
          </cell>
          <cell r="B416">
            <v>62220</v>
          </cell>
          <cell r="C416">
            <v>86564</v>
          </cell>
          <cell r="D416" t="str">
            <v>Insurance</v>
          </cell>
          <cell r="E416">
            <v>32563</v>
          </cell>
          <cell r="F416">
            <v>44624.639999999999</v>
          </cell>
          <cell r="G416">
            <v>-12061.64</v>
          </cell>
          <cell r="H416">
            <v>-0.27029999999999998</v>
          </cell>
          <cell r="I416">
            <v>30265.07</v>
          </cell>
          <cell r="J416">
            <v>2297.9299999999998</v>
          </cell>
          <cell r="K416">
            <v>7.5899999999999995E-2</v>
          </cell>
          <cell r="L416">
            <v>37584</v>
          </cell>
          <cell r="M416">
            <v>-5021</v>
          </cell>
          <cell r="N416">
            <v>-0.1336</v>
          </cell>
          <cell r="O416">
            <v>66937</v>
          </cell>
          <cell r="P416">
            <v>43483.39</v>
          </cell>
          <cell r="Q416">
            <v>56375</v>
          </cell>
        </row>
        <row r="417">
          <cell r="A417" t="str">
            <v>6222088846</v>
          </cell>
          <cell r="B417">
            <v>62220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10748</v>
          </cell>
          <cell r="Q417">
            <v>0</v>
          </cell>
        </row>
        <row r="418">
          <cell r="A418" t="str">
            <v>6222088890</v>
          </cell>
          <cell r="B418">
            <v>62220</v>
          </cell>
          <cell r="C418">
            <v>88890</v>
          </cell>
          <cell r="D418" t="str">
            <v>Security/Safety</v>
          </cell>
          <cell r="E418">
            <v>21296.080000000002</v>
          </cell>
          <cell r="F418">
            <v>18669.36</v>
          </cell>
          <cell r="G418">
            <v>2626.72</v>
          </cell>
          <cell r="H418">
            <v>0.14069999999999999</v>
          </cell>
          <cell r="I418">
            <v>21295.39</v>
          </cell>
          <cell r="J418">
            <v>0.69000000000232797</v>
          </cell>
          <cell r="K418">
            <v>0</v>
          </cell>
          <cell r="L418">
            <v>18224</v>
          </cell>
          <cell r="M418">
            <v>3072.08</v>
          </cell>
          <cell r="N418">
            <v>0.1686</v>
          </cell>
          <cell r="O418">
            <v>28004</v>
          </cell>
          <cell r="P418">
            <v>30807.39</v>
          </cell>
          <cell r="Q418">
            <v>27992.45</v>
          </cell>
        </row>
        <row r="419">
          <cell r="A419" t="str">
            <v>6222089775</v>
          </cell>
          <cell r="B419">
            <v>62220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16586</v>
          </cell>
          <cell r="G419">
            <v>-16586</v>
          </cell>
          <cell r="H419">
            <v>0</v>
          </cell>
          <cell r="I419">
            <v>-3109.89</v>
          </cell>
          <cell r="J419">
            <v>3109.89</v>
          </cell>
          <cell r="K419">
            <v>0</v>
          </cell>
          <cell r="L419">
            <v>16586</v>
          </cell>
          <cell r="M419">
            <v>-16586</v>
          </cell>
          <cell r="N419">
            <v>0</v>
          </cell>
          <cell r="O419">
            <v>24879</v>
          </cell>
          <cell r="P419">
            <v>-7256.37</v>
          </cell>
          <cell r="Q419">
            <v>24879</v>
          </cell>
        </row>
        <row r="420">
          <cell r="A420" t="str">
            <v>6222089729</v>
          </cell>
          <cell r="B420">
            <v>62220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</row>
        <row r="421">
          <cell r="A421" t="str">
            <v>6222089786</v>
          </cell>
          <cell r="B421">
            <v>62220</v>
          </cell>
          <cell r="C421">
            <v>89786</v>
          </cell>
          <cell r="D421" t="str">
            <v>Property Tax Exp</v>
          </cell>
          <cell r="E421">
            <v>113036.02</v>
          </cell>
          <cell r="F421">
            <v>155454</v>
          </cell>
          <cell r="G421">
            <v>-42417.98</v>
          </cell>
          <cell r="H421">
            <v>-0.27289999999999998</v>
          </cell>
          <cell r="I421">
            <v>112390.27</v>
          </cell>
          <cell r="J421">
            <v>645.75</v>
          </cell>
          <cell r="K421">
            <v>5.7000000000000002E-3</v>
          </cell>
          <cell r="L421">
            <v>199312.48</v>
          </cell>
          <cell r="M421">
            <v>-86276.46</v>
          </cell>
          <cell r="N421">
            <v>-0.43290000000000001</v>
          </cell>
          <cell r="O421">
            <v>233181</v>
          </cell>
          <cell r="P421">
            <v>239767.27</v>
          </cell>
          <cell r="Q421">
            <v>181173.82</v>
          </cell>
        </row>
        <row r="422">
          <cell r="A422" t="str">
            <v>6222071040</v>
          </cell>
          <cell r="B422">
            <v>62220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</row>
        <row r="423">
          <cell r="A423" t="str">
            <v>6222072701</v>
          </cell>
          <cell r="B423">
            <v>62220</v>
          </cell>
          <cell r="C423">
            <v>72701</v>
          </cell>
          <cell r="D423" t="str">
            <v>Utilities</v>
          </cell>
          <cell r="E423">
            <v>122.46</v>
          </cell>
          <cell r="F423">
            <v>0</v>
          </cell>
          <cell r="G423">
            <v>122.46</v>
          </cell>
          <cell r="H423">
            <v>0</v>
          </cell>
          <cell r="I423">
            <v>122.46</v>
          </cell>
          <cell r="J423">
            <v>0</v>
          </cell>
          <cell r="K423">
            <v>0</v>
          </cell>
          <cell r="L423">
            <v>0</v>
          </cell>
          <cell r="M423">
            <v>122.46</v>
          </cell>
          <cell r="N423">
            <v>0</v>
          </cell>
          <cell r="O423">
            <v>0</v>
          </cell>
          <cell r="P423">
            <v>122.46</v>
          </cell>
          <cell r="Q423">
            <v>65.44</v>
          </cell>
        </row>
        <row r="424">
          <cell r="A424" t="str">
            <v>6222072855</v>
          </cell>
          <cell r="B424">
            <v>62220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</row>
        <row r="425">
          <cell r="A425" t="str">
            <v>6222072870</v>
          </cell>
          <cell r="B425">
            <v>62220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</row>
        <row r="426">
          <cell r="A426" t="str">
            <v>6222076010</v>
          </cell>
          <cell r="B426">
            <v>62220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6.81</v>
          </cell>
          <cell r="M426">
            <v>-6.81</v>
          </cell>
          <cell r="N426">
            <v>0</v>
          </cell>
          <cell r="O426">
            <v>0</v>
          </cell>
          <cell r="P426">
            <v>0</v>
          </cell>
          <cell r="Q426">
            <v>6.81</v>
          </cell>
        </row>
        <row r="427">
          <cell r="A427" t="str">
            <v>6222076040</v>
          </cell>
          <cell r="B427">
            <v>62220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</row>
        <row r="428">
          <cell r="A428" t="str">
            <v>6222076051</v>
          </cell>
          <cell r="B428">
            <v>62220</v>
          </cell>
          <cell r="C428">
            <v>76051</v>
          </cell>
          <cell r="D428" t="str">
            <v>Cleaning</v>
          </cell>
          <cell r="E428">
            <v>616.29999999999995</v>
          </cell>
          <cell r="F428">
            <v>0</v>
          </cell>
          <cell r="G428">
            <v>616.29999999999995</v>
          </cell>
          <cell r="H428">
            <v>0</v>
          </cell>
          <cell r="I428">
            <v>0</v>
          </cell>
          <cell r="J428">
            <v>616.29999999999995</v>
          </cell>
          <cell r="K428">
            <v>0</v>
          </cell>
          <cell r="L428">
            <v>0</v>
          </cell>
          <cell r="M428">
            <v>616.29999999999995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</row>
        <row r="429">
          <cell r="A429" t="str">
            <v>6222076054</v>
          </cell>
          <cell r="B429">
            <v>62220</v>
          </cell>
          <cell r="C429">
            <v>76054</v>
          </cell>
          <cell r="D429" t="str">
            <v>Bldg Maintenance &amp; Repair</v>
          </cell>
          <cell r="E429">
            <v>124</v>
          </cell>
          <cell r="F429">
            <v>1500</v>
          </cell>
          <cell r="G429">
            <v>-1376</v>
          </cell>
          <cell r="H429">
            <v>-0.9173</v>
          </cell>
          <cell r="I429">
            <v>7697</v>
          </cell>
          <cell r="J429">
            <v>-7573</v>
          </cell>
          <cell r="K429">
            <v>-0.9839</v>
          </cell>
          <cell r="L429">
            <v>466.19</v>
          </cell>
          <cell r="M429">
            <v>-342.19</v>
          </cell>
          <cell r="N429">
            <v>-0.73399999999999999</v>
          </cell>
          <cell r="O429">
            <v>1500</v>
          </cell>
          <cell r="P429">
            <v>7697</v>
          </cell>
          <cell r="Q429">
            <v>457.62</v>
          </cell>
        </row>
        <row r="430">
          <cell r="A430" t="str">
            <v>6222076060</v>
          </cell>
          <cell r="B430">
            <v>62220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</row>
        <row r="431">
          <cell r="A431" t="str">
            <v>6222076071</v>
          </cell>
          <cell r="B431">
            <v>62220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</row>
        <row r="432">
          <cell r="A432" t="str">
            <v>6222076090</v>
          </cell>
          <cell r="B432">
            <v>62220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</row>
        <row r="433">
          <cell r="A433" t="str">
            <v>6222077001</v>
          </cell>
          <cell r="B433">
            <v>62220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</row>
        <row r="434">
          <cell r="A434" t="str">
            <v>6222077022</v>
          </cell>
          <cell r="B434">
            <v>62220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35">
          <cell r="A435" t="str">
            <v>6222084200</v>
          </cell>
          <cell r="B435">
            <v>62220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</row>
        <row r="436">
          <cell r="A436" t="str">
            <v>6222084240</v>
          </cell>
          <cell r="B436">
            <v>62220</v>
          </cell>
          <cell r="C436">
            <v>84240</v>
          </cell>
          <cell r="D436" t="str">
            <v>Marketing Leasing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</row>
        <row r="437">
          <cell r="A437" t="str">
            <v>6222084242</v>
          </cell>
          <cell r="B437">
            <v>62220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</row>
        <row r="438">
          <cell r="A438" t="str">
            <v>6222084243</v>
          </cell>
          <cell r="B438">
            <v>62220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-12031.14</v>
          </cell>
        </row>
        <row r="439">
          <cell r="A439" t="str">
            <v>6222084244</v>
          </cell>
          <cell r="B439">
            <v>62220</v>
          </cell>
          <cell r="C439">
            <v>84244</v>
          </cell>
          <cell r="D439" t="str">
            <v>Marketing-Net Required</v>
          </cell>
          <cell r="E439">
            <v>40000</v>
          </cell>
          <cell r="F439">
            <v>33333.360000000001</v>
          </cell>
          <cell r="G439">
            <v>6666.64</v>
          </cell>
          <cell r="H439">
            <v>0.2</v>
          </cell>
          <cell r="I439">
            <v>33333.19</v>
          </cell>
          <cell r="J439">
            <v>6666.81</v>
          </cell>
          <cell r="K439">
            <v>0.2</v>
          </cell>
          <cell r="L439">
            <v>0</v>
          </cell>
          <cell r="M439">
            <v>40000</v>
          </cell>
          <cell r="N439">
            <v>0</v>
          </cell>
          <cell r="O439">
            <v>50000</v>
          </cell>
          <cell r="P439">
            <v>49999.71</v>
          </cell>
          <cell r="Q439">
            <v>50000</v>
          </cell>
        </row>
        <row r="440">
          <cell r="A440" t="str">
            <v>6222084265</v>
          </cell>
          <cell r="B440">
            <v>62220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</row>
        <row r="441">
          <cell r="A441" t="str">
            <v>6222088037</v>
          </cell>
          <cell r="B441">
            <v>62220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</row>
        <row r="442">
          <cell r="A442" t="str">
            <v>6222085016</v>
          </cell>
          <cell r="B442">
            <v>62220</v>
          </cell>
          <cell r="C442">
            <v>85016</v>
          </cell>
          <cell r="D442" t="str">
            <v>Prof Svc-Attorney Outside</v>
          </cell>
          <cell r="E442">
            <v>5021.75</v>
          </cell>
          <cell r="F442">
            <v>2500</v>
          </cell>
          <cell r="G442">
            <v>2521.75</v>
          </cell>
          <cell r="H442">
            <v>1.0086999999999999</v>
          </cell>
          <cell r="I442">
            <v>4630.75</v>
          </cell>
          <cell r="J442">
            <v>391</v>
          </cell>
          <cell r="K442">
            <v>8.4400000000000003E-2</v>
          </cell>
          <cell r="L442">
            <v>1790.54</v>
          </cell>
          <cell r="M442">
            <v>3231.21</v>
          </cell>
          <cell r="N442">
            <v>1.8046</v>
          </cell>
          <cell r="O442">
            <v>5000</v>
          </cell>
          <cell r="P442">
            <v>7130.75</v>
          </cell>
          <cell r="Q442">
            <v>2187.98</v>
          </cell>
        </row>
        <row r="443">
          <cell r="A443" t="str">
            <v>6222085022</v>
          </cell>
          <cell r="B443">
            <v>62220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3200</v>
          </cell>
          <cell r="P443">
            <v>3200</v>
          </cell>
          <cell r="Q443">
            <v>1400</v>
          </cell>
        </row>
        <row r="444">
          <cell r="A444" t="str">
            <v>6222085065</v>
          </cell>
          <cell r="B444">
            <v>62220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</row>
        <row r="445">
          <cell r="A445" t="str">
            <v>6222085500</v>
          </cell>
          <cell r="B445">
            <v>62220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1664</v>
          </cell>
          <cell r="G445">
            <v>-1664</v>
          </cell>
          <cell r="H445">
            <v>0</v>
          </cell>
          <cell r="I445">
            <v>624</v>
          </cell>
          <cell r="J445">
            <v>-624</v>
          </cell>
          <cell r="K445">
            <v>0</v>
          </cell>
          <cell r="L445">
            <v>400</v>
          </cell>
          <cell r="M445">
            <v>-400</v>
          </cell>
          <cell r="N445">
            <v>0</v>
          </cell>
          <cell r="O445">
            <v>2496</v>
          </cell>
          <cell r="P445">
            <v>1456</v>
          </cell>
          <cell r="Q445">
            <v>400</v>
          </cell>
        </row>
        <row r="446">
          <cell r="A446" t="str">
            <v>6222085566</v>
          </cell>
          <cell r="B446">
            <v>62220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</row>
        <row r="447">
          <cell r="A447" t="str">
            <v>6222085581</v>
          </cell>
          <cell r="B447">
            <v>62220</v>
          </cell>
          <cell r="C447">
            <v>85581</v>
          </cell>
          <cell r="D447" t="str">
            <v>Bldg Admin- Salaries</v>
          </cell>
          <cell r="E447">
            <v>33707.89</v>
          </cell>
          <cell r="F447">
            <v>34656</v>
          </cell>
          <cell r="G447">
            <v>-948.11000000000104</v>
          </cell>
          <cell r="H447">
            <v>-2.7400000000000001E-2</v>
          </cell>
          <cell r="I447">
            <v>34272.68</v>
          </cell>
          <cell r="J447">
            <v>-564.79000000000099</v>
          </cell>
          <cell r="K447">
            <v>-1.6500000000000001E-2</v>
          </cell>
          <cell r="L447">
            <v>37267.03</v>
          </cell>
          <cell r="M447">
            <v>-3559.14</v>
          </cell>
          <cell r="N447">
            <v>-9.5500000000000002E-2</v>
          </cell>
          <cell r="O447">
            <v>51984</v>
          </cell>
          <cell r="P447">
            <v>53667.519999999997</v>
          </cell>
          <cell r="Q447">
            <v>58678.53</v>
          </cell>
        </row>
        <row r="448">
          <cell r="A448" t="str">
            <v>6222085583</v>
          </cell>
          <cell r="B448">
            <v>62220</v>
          </cell>
          <cell r="C448">
            <v>85583</v>
          </cell>
          <cell r="D448" t="str">
            <v>Bldg Admin-Office Exp.</v>
          </cell>
          <cell r="E448">
            <v>5047.2700000000004</v>
          </cell>
          <cell r="F448">
            <v>5026</v>
          </cell>
          <cell r="G448">
            <v>21.270000000000401</v>
          </cell>
          <cell r="H448">
            <v>4.1999999999999997E-3</v>
          </cell>
          <cell r="I448">
            <v>5337.46</v>
          </cell>
          <cell r="J448">
            <v>-290.19</v>
          </cell>
          <cell r="K448">
            <v>-5.4399999999999997E-2</v>
          </cell>
          <cell r="L448">
            <v>4780.0600000000004</v>
          </cell>
          <cell r="M448">
            <v>267.20999999999998</v>
          </cell>
          <cell r="N448">
            <v>5.5899999999999998E-2</v>
          </cell>
          <cell r="O448">
            <v>7539</v>
          </cell>
          <cell r="P448">
            <v>7737.34</v>
          </cell>
          <cell r="Q448">
            <v>7466.57</v>
          </cell>
        </row>
        <row r="449">
          <cell r="A449" t="str">
            <v>6222085530</v>
          </cell>
          <cell r="B449">
            <v>62220</v>
          </cell>
          <cell r="C449">
            <v>85530</v>
          </cell>
          <cell r="D449" t="str">
            <v>Bldg Admin - Office Exp</v>
          </cell>
          <cell r="E449">
            <v>5047.2700000000004</v>
          </cell>
          <cell r="F449">
            <v>5026</v>
          </cell>
          <cell r="G449">
            <v>21.270000000000401</v>
          </cell>
          <cell r="H449">
            <v>4.1999999999999997E-3</v>
          </cell>
          <cell r="I449">
            <v>5337.46</v>
          </cell>
          <cell r="J449">
            <v>-290.19</v>
          </cell>
          <cell r="K449">
            <v>-5.4399999999999997E-2</v>
          </cell>
          <cell r="L449">
            <v>4780.0600000000004</v>
          </cell>
          <cell r="M449">
            <v>267.20999999999998</v>
          </cell>
          <cell r="N449">
            <v>5.5899999999999998E-2</v>
          </cell>
          <cell r="O449">
            <v>7539</v>
          </cell>
          <cell r="P449">
            <v>7737.34</v>
          </cell>
          <cell r="Q449">
            <v>7466.57</v>
          </cell>
        </row>
        <row r="450">
          <cell r="A450" t="str">
            <v>6222086012</v>
          </cell>
          <cell r="B450">
            <v>62220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</row>
        <row r="451">
          <cell r="A451" t="str">
            <v>6222086037</v>
          </cell>
          <cell r="B451">
            <v>62220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</row>
        <row r="452">
          <cell r="A452" t="str">
            <v>6222083050</v>
          </cell>
          <cell r="B452">
            <v>62220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</row>
        <row r="453">
          <cell r="A453" t="str">
            <v>6222086510</v>
          </cell>
          <cell r="B453">
            <v>62220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</row>
        <row r="454">
          <cell r="A454" t="str">
            <v>6222086537</v>
          </cell>
          <cell r="B454">
            <v>62220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</row>
        <row r="455">
          <cell r="A455" t="str">
            <v>6222086566</v>
          </cell>
          <cell r="B455">
            <v>62220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</row>
        <row r="456">
          <cell r="A456" t="str">
            <v>6222086955</v>
          </cell>
          <cell r="B456">
            <v>62220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</row>
        <row r="457">
          <cell r="A457" t="str">
            <v>6222086985</v>
          </cell>
          <cell r="B457">
            <v>62220</v>
          </cell>
          <cell r="C457">
            <v>86985</v>
          </cell>
          <cell r="D457" t="str">
            <v>Purchased Svcs _ Other</v>
          </cell>
          <cell r="E457">
            <v>4.8499999999999996</v>
          </cell>
          <cell r="F457">
            <v>0</v>
          </cell>
          <cell r="G457">
            <v>4.8499999999999996</v>
          </cell>
          <cell r="H457">
            <v>0</v>
          </cell>
          <cell r="I457">
            <v>4.8499999999999996</v>
          </cell>
          <cell r="J457">
            <v>0</v>
          </cell>
          <cell r="K457">
            <v>0</v>
          </cell>
          <cell r="L457">
            <v>0</v>
          </cell>
          <cell r="M457">
            <v>4.8499999999999996</v>
          </cell>
          <cell r="N457">
            <v>0</v>
          </cell>
          <cell r="O457">
            <v>0</v>
          </cell>
          <cell r="P457">
            <v>-1681.15</v>
          </cell>
          <cell r="Q457">
            <v>0</v>
          </cell>
        </row>
        <row r="458">
          <cell r="A458" t="str">
            <v>6222086880</v>
          </cell>
          <cell r="B458">
            <v>62220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</row>
        <row r="459">
          <cell r="A459" t="str">
            <v>6222088710</v>
          </cell>
          <cell r="B459">
            <v>62220</v>
          </cell>
          <cell r="C459">
            <v>88710</v>
          </cell>
          <cell r="D459" t="str">
            <v>Losses-Bad Debts</v>
          </cell>
          <cell r="E459">
            <v>-15395.83</v>
          </cell>
          <cell r="F459">
            <v>16872</v>
          </cell>
          <cell r="G459">
            <v>-32267.83</v>
          </cell>
          <cell r="H459">
            <v>-1.9125000000000001</v>
          </cell>
          <cell r="I459">
            <v>-13670</v>
          </cell>
          <cell r="J459">
            <v>-1725.83</v>
          </cell>
          <cell r="K459">
            <v>0.12620000000000001</v>
          </cell>
          <cell r="L459">
            <v>4834.13</v>
          </cell>
          <cell r="M459">
            <v>-20229.96</v>
          </cell>
          <cell r="N459">
            <v>-4.1848000000000001</v>
          </cell>
          <cell r="O459">
            <v>33744</v>
          </cell>
          <cell r="P459">
            <v>-13670</v>
          </cell>
          <cell r="Q459">
            <v>-37159.870000000003</v>
          </cell>
        </row>
        <row r="460">
          <cell r="A460" t="str">
            <v>6222088711</v>
          </cell>
          <cell r="B460">
            <v>62220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</row>
        <row r="461">
          <cell r="A461" t="str">
            <v>6222088785</v>
          </cell>
          <cell r="B461">
            <v>62220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</row>
        <row r="462">
          <cell r="A462" t="str">
            <v>6222088847</v>
          </cell>
          <cell r="B462">
            <v>62220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</row>
        <row r="463">
          <cell r="A463" t="str">
            <v>6222088866</v>
          </cell>
          <cell r="B463">
            <v>62220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</row>
        <row r="464">
          <cell r="A464" t="str">
            <v>6222088870</v>
          </cell>
          <cell r="B464">
            <v>62220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</row>
        <row r="465">
          <cell r="A465" t="str">
            <v>6222088889</v>
          </cell>
          <cell r="B465">
            <v>62220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</row>
        <row r="466">
          <cell r="A466" t="str">
            <v>6222089776</v>
          </cell>
          <cell r="B466">
            <v>62220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</row>
        <row r="467">
          <cell r="A467" t="str">
            <v>6222089787</v>
          </cell>
          <cell r="B467">
            <v>62220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</row>
        <row r="468">
          <cell r="A468" t="str">
            <v>6222089510</v>
          </cell>
          <cell r="B468">
            <v>62220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</row>
        <row r="469">
          <cell r="A469" t="str">
            <v>6222089511</v>
          </cell>
          <cell r="B469">
            <v>62220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</row>
        <row r="470">
          <cell r="A470" t="str">
            <v>6222089512</v>
          </cell>
          <cell r="B470">
            <v>62220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</row>
        <row r="471">
          <cell r="A471" t="str">
            <v>6222089528</v>
          </cell>
          <cell r="B471">
            <v>62220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</row>
        <row r="472">
          <cell r="A472" t="str">
            <v>6222089529</v>
          </cell>
          <cell r="B472">
            <v>62220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</row>
        <row r="473">
          <cell r="A473" t="str">
            <v>6222089567</v>
          </cell>
          <cell r="B473">
            <v>62220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</row>
        <row r="474">
          <cell r="A474" t="str">
            <v>6222085058</v>
          </cell>
          <cell r="B474">
            <v>62220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</row>
        <row r="475">
          <cell r="A475" t="str">
            <v>6222086513</v>
          </cell>
          <cell r="B475">
            <v>62220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4415.6400000000003</v>
          </cell>
          <cell r="G475">
            <v>-4415.6400000000003</v>
          </cell>
          <cell r="H475">
            <v>0</v>
          </cell>
          <cell r="I475">
            <v>555.33000000000004</v>
          </cell>
          <cell r="J475">
            <v>-555.33000000000004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7887.32</v>
          </cell>
          <cell r="P475">
            <v>1985.21</v>
          </cell>
          <cell r="Q475">
            <v>0</v>
          </cell>
        </row>
        <row r="476">
          <cell r="A476" t="str">
            <v>6222086519</v>
          </cell>
          <cell r="B476">
            <v>62220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</row>
        <row r="477">
          <cell r="A477" t="str">
            <v>6222088770</v>
          </cell>
          <cell r="B477">
            <v>62220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</row>
        <row r="478">
          <cell r="A478" t="str">
            <v>6222088862</v>
          </cell>
          <cell r="B478">
            <v>62220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</row>
        <row r="479">
          <cell r="A479" t="str">
            <v>6222088874</v>
          </cell>
          <cell r="B479">
            <v>62220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</row>
        <row r="480">
          <cell r="A480" t="str">
            <v>6222089910</v>
          </cell>
          <cell r="B480">
            <v>62220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278599.46999999997</v>
          </cell>
          <cell r="G480">
            <v>-278599.46999999997</v>
          </cell>
          <cell r="H480">
            <v>0</v>
          </cell>
          <cell r="I480">
            <v>250532.67</v>
          </cell>
          <cell r="J480">
            <v>-250532.67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418237.73</v>
          </cell>
          <cell r="P480">
            <v>375799.01</v>
          </cell>
          <cell r="Q480">
            <v>0</v>
          </cell>
        </row>
        <row r="481">
          <cell r="A481" t="str">
            <v>6222089548</v>
          </cell>
          <cell r="B481">
            <v>62220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</row>
        <row r="482">
          <cell r="A482" t="str">
            <v>6224841010</v>
          </cell>
          <cell r="B482">
            <v>62248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</row>
        <row r="483">
          <cell r="A483" t="str">
            <v>6224841040</v>
          </cell>
          <cell r="B483">
            <v>62248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</row>
        <row r="484">
          <cell r="A484" t="str">
            <v>6224841050</v>
          </cell>
          <cell r="B484">
            <v>62248</v>
          </cell>
          <cell r="C484">
            <v>41050</v>
          </cell>
          <cell r="D484" t="str">
            <v>Rental Income - Fixed</v>
          </cell>
          <cell r="E484">
            <v>-2363050.52</v>
          </cell>
          <cell r="F484">
            <v>-2301712.39</v>
          </cell>
          <cell r="G484">
            <v>-61338.129999999903</v>
          </cell>
          <cell r="H484">
            <v>2.6599999999999999E-2</v>
          </cell>
          <cell r="I484">
            <v>-2374938.39</v>
          </cell>
          <cell r="J484">
            <v>11887.870000000101</v>
          </cell>
          <cell r="K484">
            <v>-5.0000000000000001E-3</v>
          </cell>
          <cell r="L484">
            <v>-2216321.79</v>
          </cell>
          <cell r="M484">
            <v>-146728.73000000001</v>
          </cell>
          <cell r="N484">
            <v>6.6199999999999995E-2</v>
          </cell>
          <cell r="O484">
            <v>-3481938.29</v>
          </cell>
          <cell r="P484">
            <v>-3637692.67</v>
          </cell>
          <cell r="Q484">
            <v>-3380851.69</v>
          </cell>
        </row>
        <row r="485">
          <cell r="A485" t="str">
            <v>6224841074</v>
          </cell>
          <cell r="B485">
            <v>62248</v>
          </cell>
          <cell r="C485">
            <v>41074</v>
          </cell>
          <cell r="D485" t="str">
            <v>Rental Income - Percentage</v>
          </cell>
          <cell r="E485">
            <v>-52184</v>
          </cell>
          <cell r="F485">
            <v>-124411</v>
          </cell>
          <cell r="G485">
            <v>72227</v>
          </cell>
          <cell r="H485">
            <v>-0.5806</v>
          </cell>
          <cell r="I485">
            <v>-49152</v>
          </cell>
          <cell r="J485">
            <v>-3032</v>
          </cell>
          <cell r="K485">
            <v>6.1699999999999998E-2</v>
          </cell>
          <cell r="L485">
            <v>-54526.35</v>
          </cell>
          <cell r="M485">
            <v>2342.35</v>
          </cell>
          <cell r="N485">
            <v>-4.2999999999999997E-2</v>
          </cell>
          <cell r="O485">
            <v>-124411</v>
          </cell>
          <cell r="P485">
            <v>-84448</v>
          </cell>
          <cell r="Q485">
            <v>-66145.179999999993</v>
          </cell>
        </row>
        <row r="486">
          <cell r="A486" t="str">
            <v>6224841082</v>
          </cell>
          <cell r="B486">
            <v>62248</v>
          </cell>
          <cell r="C486">
            <v>41082</v>
          </cell>
          <cell r="D486" t="str">
            <v>Rental Income - Operating Exp</v>
          </cell>
          <cell r="E486">
            <v>-645468.89</v>
          </cell>
          <cell r="F486">
            <v>-585900.56000000006</v>
          </cell>
          <cell r="G486">
            <v>-59568.33</v>
          </cell>
          <cell r="H486">
            <v>0.1017</v>
          </cell>
          <cell r="I486">
            <v>-634218.36</v>
          </cell>
          <cell r="J486">
            <v>-11250.53</v>
          </cell>
          <cell r="K486">
            <v>1.77E-2</v>
          </cell>
          <cell r="L486">
            <v>-472076.85</v>
          </cell>
          <cell r="M486">
            <v>-173392.04</v>
          </cell>
          <cell r="N486">
            <v>0.36730000000000002</v>
          </cell>
          <cell r="O486">
            <v>-878850.8</v>
          </cell>
          <cell r="P486">
            <v>-928547.36</v>
          </cell>
          <cell r="Q486">
            <v>-785379.85</v>
          </cell>
        </row>
        <row r="487">
          <cell r="A487" t="str">
            <v>6224844610</v>
          </cell>
          <cell r="B487">
            <v>62248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</row>
        <row r="488">
          <cell r="A488" t="str">
            <v>6224845071</v>
          </cell>
          <cell r="B488">
            <v>62248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</row>
        <row r="489">
          <cell r="A489" t="str">
            <v>6224845010</v>
          </cell>
          <cell r="B489">
            <v>62248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</row>
        <row r="490">
          <cell r="A490" t="str">
            <v>6224845046</v>
          </cell>
          <cell r="B490">
            <v>62248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</row>
        <row r="491">
          <cell r="A491" t="str">
            <v>6224845070</v>
          </cell>
          <cell r="B491">
            <v>62248</v>
          </cell>
          <cell r="C491">
            <v>45070</v>
          </cell>
          <cell r="D491" t="str">
            <v>Other Income</v>
          </cell>
          <cell r="E491">
            <v>-3633.13</v>
          </cell>
          <cell r="F491">
            <v>-35408</v>
          </cell>
          <cell r="G491">
            <v>31774.87</v>
          </cell>
          <cell r="H491">
            <v>-0.89739999999999998</v>
          </cell>
          <cell r="I491">
            <v>-3752.32</v>
          </cell>
          <cell r="J491">
            <v>119.19</v>
          </cell>
          <cell r="K491">
            <v>-3.1800000000000002E-2</v>
          </cell>
          <cell r="L491">
            <v>-344.92</v>
          </cell>
          <cell r="M491">
            <v>-3288.21</v>
          </cell>
          <cell r="N491">
            <v>9.5333000000000006</v>
          </cell>
          <cell r="O491">
            <v>-35859</v>
          </cell>
          <cell r="P491">
            <v>-4203.32</v>
          </cell>
          <cell r="Q491">
            <v>-377.12</v>
          </cell>
        </row>
        <row r="492">
          <cell r="A492" t="str">
            <v>6224841060</v>
          </cell>
          <cell r="B492">
            <v>62248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9600</v>
          </cell>
          <cell r="G492">
            <v>-9600</v>
          </cell>
          <cell r="H492">
            <v>0</v>
          </cell>
          <cell r="I492">
            <v>2700</v>
          </cell>
          <cell r="J492">
            <v>-2700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14400</v>
          </cell>
          <cell r="P492">
            <v>6300</v>
          </cell>
          <cell r="Q492">
            <v>0</v>
          </cell>
        </row>
        <row r="493">
          <cell r="A493" t="str">
            <v>6224844870</v>
          </cell>
          <cell r="B493">
            <v>62248</v>
          </cell>
          <cell r="C493">
            <v>44870</v>
          </cell>
          <cell r="D493" t="str">
            <v>Late Fees</v>
          </cell>
          <cell r="E493">
            <v>-1763.57</v>
          </cell>
          <cell r="F493">
            <v>0</v>
          </cell>
          <cell r="G493">
            <v>-1763.57</v>
          </cell>
          <cell r="H493">
            <v>0</v>
          </cell>
          <cell r="I493">
            <v>-1000</v>
          </cell>
          <cell r="J493">
            <v>-763.57</v>
          </cell>
          <cell r="K493">
            <v>0.76359999999999995</v>
          </cell>
          <cell r="L493">
            <v>0</v>
          </cell>
          <cell r="M493">
            <v>-1763.57</v>
          </cell>
          <cell r="N493">
            <v>0</v>
          </cell>
          <cell r="O493">
            <v>0</v>
          </cell>
          <cell r="P493">
            <v>-1000</v>
          </cell>
          <cell r="Q493">
            <v>-2755.88</v>
          </cell>
        </row>
        <row r="494">
          <cell r="A494" t="str">
            <v>6224852542</v>
          </cell>
          <cell r="B494">
            <v>62248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</row>
        <row r="495">
          <cell r="A495" t="str">
            <v>6224872710</v>
          </cell>
          <cell r="B495">
            <v>62248</v>
          </cell>
          <cell r="C495">
            <v>72710</v>
          </cell>
          <cell r="D495" t="str">
            <v>Utilities - Electricity</v>
          </cell>
          <cell r="E495">
            <v>26645.27</v>
          </cell>
          <cell r="F495">
            <v>25336</v>
          </cell>
          <cell r="G495">
            <v>1309.27</v>
          </cell>
          <cell r="H495">
            <v>5.1700000000000003E-2</v>
          </cell>
          <cell r="I495">
            <v>23486.55</v>
          </cell>
          <cell r="J495">
            <v>3158.72</v>
          </cell>
          <cell r="K495">
            <v>0.13450000000000001</v>
          </cell>
          <cell r="L495">
            <v>22160.81</v>
          </cell>
          <cell r="M495">
            <v>4484.46</v>
          </cell>
          <cell r="N495">
            <v>0.2024</v>
          </cell>
          <cell r="O495">
            <v>38004</v>
          </cell>
          <cell r="P495">
            <v>37486.550000000003</v>
          </cell>
          <cell r="Q495">
            <v>30210.46</v>
          </cell>
        </row>
        <row r="496">
          <cell r="A496" t="str">
            <v>6224872740</v>
          </cell>
          <cell r="B496">
            <v>62248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</row>
        <row r="497">
          <cell r="A497" t="str">
            <v>6224872770</v>
          </cell>
          <cell r="B497">
            <v>62248</v>
          </cell>
          <cell r="C497">
            <v>72770</v>
          </cell>
          <cell r="D497" t="str">
            <v>Utilities - Water</v>
          </cell>
          <cell r="E497">
            <v>16196.58</v>
          </cell>
          <cell r="F497">
            <v>12688</v>
          </cell>
          <cell r="G497">
            <v>3508.58</v>
          </cell>
          <cell r="H497">
            <v>0.27650000000000002</v>
          </cell>
          <cell r="I497">
            <v>18102.14</v>
          </cell>
          <cell r="J497">
            <v>-1905.56</v>
          </cell>
          <cell r="K497">
            <v>-0.1053</v>
          </cell>
          <cell r="L497">
            <v>13715.8</v>
          </cell>
          <cell r="M497">
            <v>2480.7800000000002</v>
          </cell>
          <cell r="N497">
            <v>0.18090000000000001</v>
          </cell>
          <cell r="O497">
            <v>19032</v>
          </cell>
          <cell r="P497">
            <v>26670.14</v>
          </cell>
          <cell r="Q497">
            <v>19790.37</v>
          </cell>
        </row>
        <row r="498">
          <cell r="A498" t="str">
            <v>6224876000</v>
          </cell>
          <cell r="B498">
            <v>62248</v>
          </cell>
          <cell r="C498">
            <v>76000</v>
          </cell>
          <cell r="D498" t="str">
            <v>Bldg Maintenance &amp; Repair</v>
          </cell>
          <cell r="E498">
            <v>25071.87</v>
          </cell>
          <cell r="F498">
            <v>59967.360000000001</v>
          </cell>
          <cell r="G498">
            <v>-34895.49</v>
          </cell>
          <cell r="H498">
            <v>-0.58189999999999997</v>
          </cell>
          <cell r="I498">
            <v>35714.660000000003</v>
          </cell>
          <cell r="J498">
            <v>-10642.79</v>
          </cell>
          <cell r="K498">
            <v>-0.29799999999999999</v>
          </cell>
          <cell r="L498">
            <v>24791.98</v>
          </cell>
          <cell r="M498">
            <v>279.88999999999902</v>
          </cell>
          <cell r="N498">
            <v>1.1299999999999999E-2</v>
          </cell>
          <cell r="O498">
            <v>77388</v>
          </cell>
          <cell r="P498">
            <v>72324.3</v>
          </cell>
          <cell r="Q498">
            <v>59344.86</v>
          </cell>
        </row>
        <row r="499">
          <cell r="A499" t="str">
            <v>6224876020</v>
          </cell>
          <cell r="B499">
            <v>62248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</row>
        <row r="500">
          <cell r="A500" t="str">
            <v>6224876034</v>
          </cell>
          <cell r="B500">
            <v>62248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</row>
        <row r="501">
          <cell r="A501" t="str">
            <v>6224876050</v>
          </cell>
          <cell r="B501">
            <v>62248</v>
          </cell>
          <cell r="C501">
            <v>76050</v>
          </cell>
          <cell r="D501" t="str">
            <v>Cleaning Expense</v>
          </cell>
          <cell r="E501">
            <v>64089.63</v>
          </cell>
          <cell r="F501">
            <v>51708.639999999999</v>
          </cell>
          <cell r="G501">
            <v>12380.99</v>
          </cell>
          <cell r="H501">
            <v>0.2394</v>
          </cell>
          <cell r="I501">
            <v>63101.45</v>
          </cell>
          <cell r="J501">
            <v>988.18</v>
          </cell>
          <cell r="K501">
            <v>1.5699999999999999E-2</v>
          </cell>
          <cell r="L501">
            <v>50080.83</v>
          </cell>
          <cell r="M501">
            <v>14008.8</v>
          </cell>
          <cell r="N501">
            <v>0.2797</v>
          </cell>
          <cell r="O501">
            <v>77563</v>
          </cell>
          <cell r="P501">
            <v>95283.81</v>
          </cell>
          <cell r="Q501">
            <v>75458.27</v>
          </cell>
        </row>
        <row r="502">
          <cell r="A502" t="str">
            <v>6224876056</v>
          </cell>
          <cell r="B502">
            <v>62248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</row>
        <row r="503">
          <cell r="A503" t="str">
            <v>6224876070</v>
          </cell>
          <cell r="B503">
            <v>62248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</row>
        <row r="504">
          <cell r="A504" t="str">
            <v>6224876091</v>
          </cell>
          <cell r="B504">
            <v>62248</v>
          </cell>
          <cell r="C504">
            <v>76091</v>
          </cell>
          <cell r="D504" t="str">
            <v>Parking Maintenance</v>
          </cell>
          <cell r="E504">
            <v>21929.05</v>
          </cell>
          <cell r="F504">
            <v>26350</v>
          </cell>
          <cell r="G504">
            <v>-4420.95</v>
          </cell>
          <cell r="H504">
            <v>-0.1678</v>
          </cell>
          <cell r="I504">
            <v>21446.33</v>
          </cell>
          <cell r="J504">
            <v>482.71999999999798</v>
          </cell>
          <cell r="K504">
            <v>2.2499999999999999E-2</v>
          </cell>
          <cell r="L504">
            <v>28580.61</v>
          </cell>
          <cell r="M504">
            <v>-6651.56</v>
          </cell>
          <cell r="N504">
            <v>-0.23269999999999999</v>
          </cell>
          <cell r="O504">
            <v>46150</v>
          </cell>
          <cell r="P504">
            <v>40072.33</v>
          </cell>
          <cell r="Q504">
            <v>50367.07</v>
          </cell>
        </row>
        <row r="505">
          <cell r="A505" t="str">
            <v>6224877000</v>
          </cell>
          <cell r="B505">
            <v>62248</v>
          </cell>
          <cell r="C505">
            <v>77000</v>
          </cell>
          <cell r="D505" t="str">
            <v>Grounds Maintenance</v>
          </cell>
          <cell r="E505">
            <v>39693.129999999997</v>
          </cell>
          <cell r="F505">
            <v>52758.36</v>
          </cell>
          <cell r="G505">
            <v>-13065.23</v>
          </cell>
          <cell r="H505">
            <v>-0.24759999999999999</v>
          </cell>
          <cell r="I505">
            <v>39631.050000000003</v>
          </cell>
          <cell r="J505">
            <v>62.079999999994499</v>
          </cell>
          <cell r="K505">
            <v>1.6000000000000001E-3</v>
          </cell>
          <cell r="L505">
            <v>37261.22</v>
          </cell>
          <cell r="M505">
            <v>2431.91</v>
          </cell>
          <cell r="N505">
            <v>6.5299999999999997E-2</v>
          </cell>
          <cell r="O505">
            <v>63358</v>
          </cell>
          <cell r="P505">
            <v>63992.69</v>
          </cell>
          <cell r="Q505">
            <v>46377.27</v>
          </cell>
        </row>
        <row r="506">
          <cell r="A506" t="str">
            <v>6224877053</v>
          </cell>
          <cell r="B506">
            <v>62248</v>
          </cell>
          <cell r="C506">
            <v>77053</v>
          </cell>
          <cell r="D506" t="str">
            <v>Landscaping</v>
          </cell>
          <cell r="E506">
            <v>46649.63</v>
          </cell>
          <cell r="F506">
            <v>73323.360000000001</v>
          </cell>
          <cell r="G506">
            <v>-26673.73</v>
          </cell>
          <cell r="H506">
            <v>-0.36380000000000001</v>
          </cell>
          <cell r="I506">
            <v>86420.01</v>
          </cell>
          <cell r="J506">
            <v>-39770.379999999997</v>
          </cell>
          <cell r="K506">
            <v>-0.4602</v>
          </cell>
          <cell r="L506">
            <v>26095.4</v>
          </cell>
          <cell r="M506">
            <v>20554.23</v>
          </cell>
          <cell r="N506">
            <v>0.78769999999999996</v>
          </cell>
          <cell r="O506">
            <v>91180</v>
          </cell>
          <cell r="P506">
            <v>90691.65</v>
          </cell>
          <cell r="Q506">
            <v>74453.41</v>
          </cell>
        </row>
        <row r="507">
          <cell r="A507" t="str">
            <v>6224878020</v>
          </cell>
          <cell r="B507">
            <v>62248</v>
          </cell>
          <cell r="C507">
            <v>78020</v>
          </cell>
          <cell r="D507" t="str">
            <v>Amortized CAM Exp</v>
          </cell>
          <cell r="E507">
            <v>25594.86</v>
          </cell>
          <cell r="F507">
            <v>16482.64</v>
          </cell>
          <cell r="G507">
            <v>9112.2199999999993</v>
          </cell>
          <cell r="H507">
            <v>0.55279999999999996</v>
          </cell>
          <cell r="I507">
            <v>27978.06</v>
          </cell>
          <cell r="J507">
            <v>-2383.1999999999998</v>
          </cell>
          <cell r="K507">
            <v>-8.5199999999999998E-2</v>
          </cell>
          <cell r="L507">
            <v>14448</v>
          </cell>
          <cell r="M507">
            <v>11146.86</v>
          </cell>
          <cell r="N507">
            <v>0.77149999999999996</v>
          </cell>
          <cell r="O507">
            <v>24724</v>
          </cell>
          <cell r="P507">
            <v>35732.21</v>
          </cell>
          <cell r="Q507">
            <v>84489</v>
          </cell>
        </row>
        <row r="508">
          <cell r="A508" t="str">
            <v>6224884264</v>
          </cell>
          <cell r="B508">
            <v>62248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</row>
        <row r="509">
          <cell r="A509" t="str">
            <v>6224885555</v>
          </cell>
          <cell r="B509">
            <v>62248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</row>
        <row r="510">
          <cell r="A510" t="str">
            <v>6224885584</v>
          </cell>
          <cell r="B510">
            <v>62248</v>
          </cell>
          <cell r="C510">
            <v>85584</v>
          </cell>
          <cell r="D510" t="str">
            <v>Bldg Admin-Office Costs</v>
          </cell>
          <cell r="E510">
            <v>6579.5</v>
          </cell>
          <cell r="F510">
            <v>6272</v>
          </cell>
          <cell r="G510">
            <v>307.5</v>
          </cell>
          <cell r="H510">
            <v>4.9000000000000002E-2</v>
          </cell>
          <cell r="I510">
            <v>6452.09</v>
          </cell>
          <cell r="J510">
            <v>127.41</v>
          </cell>
          <cell r="K510">
            <v>1.9699999999999999E-2</v>
          </cell>
          <cell r="L510">
            <v>5440.11</v>
          </cell>
          <cell r="M510">
            <v>1139.3900000000001</v>
          </cell>
          <cell r="N510">
            <v>0.2094</v>
          </cell>
          <cell r="O510">
            <v>9408</v>
          </cell>
          <cell r="P510">
            <v>9535.1299999999992</v>
          </cell>
          <cell r="Q510">
            <v>8994.5</v>
          </cell>
        </row>
        <row r="511">
          <cell r="A511" t="str">
            <v>6224885582</v>
          </cell>
          <cell r="B511">
            <v>62248</v>
          </cell>
          <cell r="C511">
            <v>85582</v>
          </cell>
          <cell r="D511" t="str">
            <v>Bldg Admin-Salaries</v>
          </cell>
          <cell r="E511">
            <v>42563.97</v>
          </cell>
          <cell r="F511">
            <v>42251.360000000001</v>
          </cell>
          <cell r="G511">
            <v>312.61000000000098</v>
          </cell>
          <cell r="H511">
            <v>7.4000000000000003E-3</v>
          </cell>
          <cell r="I511">
            <v>43097.43</v>
          </cell>
          <cell r="J511">
            <v>-533.45999999999901</v>
          </cell>
          <cell r="K511">
            <v>-1.24E-2</v>
          </cell>
          <cell r="L511">
            <v>36810.769999999997</v>
          </cell>
          <cell r="M511">
            <v>5753.2</v>
          </cell>
          <cell r="N511">
            <v>0.15629999999999999</v>
          </cell>
          <cell r="O511">
            <v>63377</v>
          </cell>
          <cell r="P511">
            <v>66311.3</v>
          </cell>
          <cell r="Q511">
            <v>59919.49</v>
          </cell>
        </row>
        <row r="512">
          <cell r="A512" t="str">
            <v>6224886564</v>
          </cell>
          <cell r="B512">
            <v>62248</v>
          </cell>
          <cell r="C512">
            <v>86564</v>
          </cell>
          <cell r="D512" t="str">
            <v>Insurance</v>
          </cell>
          <cell r="E512">
            <v>30877</v>
          </cell>
          <cell r="F512">
            <v>37388</v>
          </cell>
          <cell r="G512">
            <v>-6511</v>
          </cell>
          <cell r="H512">
            <v>-0.1741</v>
          </cell>
          <cell r="I512">
            <v>31140.01</v>
          </cell>
          <cell r="J512">
            <v>-263.009999999998</v>
          </cell>
          <cell r="K512">
            <v>-8.3999999999999995E-3</v>
          </cell>
          <cell r="L512">
            <v>32512</v>
          </cell>
          <cell r="M512">
            <v>-1635</v>
          </cell>
          <cell r="N512">
            <v>-5.0299999999999997E-2</v>
          </cell>
          <cell r="O512">
            <v>56082</v>
          </cell>
          <cell r="P512">
            <v>46926.49</v>
          </cell>
          <cell r="Q512">
            <v>48767</v>
          </cell>
        </row>
        <row r="513">
          <cell r="A513" t="str">
            <v>6224888846</v>
          </cell>
          <cell r="B513">
            <v>62248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-2839</v>
          </cell>
          <cell r="Q513">
            <v>0</v>
          </cell>
        </row>
        <row r="514">
          <cell r="A514" t="str">
            <v>6224888890</v>
          </cell>
          <cell r="B514">
            <v>62248</v>
          </cell>
          <cell r="C514">
            <v>88890</v>
          </cell>
          <cell r="D514" t="str">
            <v>Security/Safety</v>
          </cell>
          <cell r="E514">
            <v>19974.349999999999</v>
          </cell>
          <cell r="F514">
            <v>19937.36</v>
          </cell>
          <cell r="G514">
            <v>36.989999999997998</v>
          </cell>
          <cell r="H514">
            <v>1.9E-3</v>
          </cell>
          <cell r="I514">
            <v>19640.53</v>
          </cell>
          <cell r="J514">
            <v>333.82</v>
          </cell>
          <cell r="K514">
            <v>1.7000000000000001E-2</v>
          </cell>
          <cell r="L514">
            <v>18391.39</v>
          </cell>
          <cell r="M514">
            <v>1582.96</v>
          </cell>
          <cell r="N514">
            <v>8.6099999999999996E-2</v>
          </cell>
          <cell r="O514">
            <v>29906</v>
          </cell>
          <cell r="P514">
            <v>29152.53</v>
          </cell>
          <cell r="Q514">
            <v>28184.51</v>
          </cell>
        </row>
        <row r="515">
          <cell r="A515" t="str">
            <v>6224889775</v>
          </cell>
          <cell r="B515">
            <v>62248</v>
          </cell>
          <cell r="C515">
            <v>89775</v>
          </cell>
          <cell r="D515" t="str">
            <v>Assmt Dist Taxes- Reimb</v>
          </cell>
          <cell r="E515">
            <v>83896.65</v>
          </cell>
          <cell r="F515">
            <v>57202</v>
          </cell>
          <cell r="G515">
            <v>26694.65</v>
          </cell>
          <cell r="H515">
            <v>0.4667</v>
          </cell>
          <cell r="I515">
            <v>88901.91</v>
          </cell>
          <cell r="J515">
            <v>-5005.2600000000102</v>
          </cell>
          <cell r="K515">
            <v>-5.6300000000000003E-2</v>
          </cell>
          <cell r="L515">
            <v>57202</v>
          </cell>
          <cell r="M515">
            <v>26694.65</v>
          </cell>
          <cell r="N515">
            <v>0.4667</v>
          </cell>
          <cell r="O515">
            <v>85803</v>
          </cell>
          <cell r="P515">
            <v>125845.41</v>
          </cell>
          <cell r="Q515">
            <v>25531.23</v>
          </cell>
        </row>
        <row r="516">
          <cell r="A516" t="str">
            <v>6224889729</v>
          </cell>
          <cell r="B516">
            <v>62248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</row>
        <row r="517">
          <cell r="A517" t="str">
            <v>6224889786</v>
          </cell>
          <cell r="B517">
            <v>62248</v>
          </cell>
          <cell r="C517">
            <v>89786</v>
          </cell>
          <cell r="D517" t="str">
            <v>Property Tax Exp</v>
          </cell>
          <cell r="E517">
            <v>88070.7</v>
          </cell>
          <cell r="F517">
            <v>88084.64</v>
          </cell>
          <cell r="G517">
            <v>-13.9400000000023</v>
          </cell>
          <cell r="H517">
            <v>-2.0000000000000001E-4</v>
          </cell>
          <cell r="I517">
            <v>88068.06</v>
          </cell>
          <cell r="J517">
            <v>2.6399999999994201</v>
          </cell>
          <cell r="K517">
            <v>0</v>
          </cell>
          <cell r="L517">
            <v>86490</v>
          </cell>
          <cell r="M517">
            <v>1580.7</v>
          </cell>
          <cell r="N517">
            <v>1.83E-2</v>
          </cell>
          <cell r="O517">
            <v>132127</v>
          </cell>
          <cell r="P517">
            <v>132099.9</v>
          </cell>
          <cell r="Q517">
            <v>128016.81</v>
          </cell>
        </row>
        <row r="518">
          <cell r="A518" t="str">
            <v>6224871040</v>
          </cell>
          <cell r="B518">
            <v>62248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</row>
        <row r="519">
          <cell r="A519" t="str">
            <v>6224872701</v>
          </cell>
          <cell r="B519">
            <v>62248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141.66</v>
          </cell>
        </row>
        <row r="520">
          <cell r="A520" t="str">
            <v>6224872855</v>
          </cell>
          <cell r="B520">
            <v>62248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</row>
        <row r="521">
          <cell r="A521" t="str">
            <v>6224872870</v>
          </cell>
          <cell r="B521">
            <v>62248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</row>
        <row r="522">
          <cell r="A522" t="str">
            <v>6224876010</v>
          </cell>
          <cell r="B522">
            <v>62248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4.88</v>
          </cell>
          <cell r="M522">
            <v>-4.88</v>
          </cell>
          <cell r="N522">
            <v>0</v>
          </cell>
          <cell r="O522">
            <v>0</v>
          </cell>
          <cell r="P522">
            <v>0</v>
          </cell>
          <cell r="Q522">
            <v>4.88</v>
          </cell>
        </row>
        <row r="523">
          <cell r="A523" t="str">
            <v>6224876040</v>
          </cell>
          <cell r="B523">
            <v>62248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</row>
        <row r="524">
          <cell r="A524" t="str">
            <v>6224876051</v>
          </cell>
          <cell r="B524">
            <v>62248</v>
          </cell>
          <cell r="C524">
            <v>76051</v>
          </cell>
          <cell r="D524" t="str">
            <v>Cleaning</v>
          </cell>
          <cell r="E524">
            <v>632.64</v>
          </cell>
          <cell r="F524">
            <v>0</v>
          </cell>
          <cell r="G524">
            <v>632.64</v>
          </cell>
          <cell r="H524">
            <v>0</v>
          </cell>
          <cell r="I524">
            <v>0</v>
          </cell>
          <cell r="J524">
            <v>632.64</v>
          </cell>
          <cell r="K524">
            <v>0</v>
          </cell>
          <cell r="L524">
            <v>0</v>
          </cell>
          <cell r="M524">
            <v>632.64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</row>
        <row r="525">
          <cell r="A525" t="str">
            <v>6224876054</v>
          </cell>
          <cell r="B525">
            <v>62248</v>
          </cell>
          <cell r="C525">
            <v>76054</v>
          </cell>
          <cell r="D525" t="str">
            <v>Bldg Maintenance &amp; Repair</v>
          </cell>
          <cell r="E525">
            <v>895</v>
          </cell>
          <cell r="F525">
            <v>1500</v>
          </cell>
          <cell r="G525">
            <v>-605</v>
          </cell>
          <cell r="H525">
            <v>-0.40329999999999999</v>
          </cell>
          <cell r="I525">
            <v>7100</v>
          </cell>
          <cell r="J525">
            <v>-6205</v>
          </cell>
          <cell r="K525">
            <v>-0.87390000000000001</v>
          </cell>
          <cell r="L525">
            <v>219.19</v>
          </cell>
          <cell r="M525">
            <v>675.81</v>
          </cell>
          <cell r="N525">
            <v>3.0832000000000002</v>
          </cell>
          <cell r="O525">
            <v>1500</v>
          </cell>
          <cell r="P525">
            <v>7100</v>
          </cell>
          <cell r="Q525">
            <v>357.36</v>
          </cell>
        </row>
        <row r="526">
          <cell r="A526" t="str">
            <v>6224876060</v>
          </cell>
          <cell r="B526">
            <v>62248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</row>
        <row r="527">
          <cell r="A527" t="str">
            <v>6224876071</v>
          </cell>
          <cell r="B527">
            <v>62248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</row>
        <row r="528">
          <cell r="A528" t="str">
            <v>6224876090</v>
          </cell>
          <cell r="B528">
            <v>62248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</row>
        <row r="529">
          <cell r="A529" t="str">
            <v>6224877001</v>
          </cell>
          <cell r="B529">
            <v>62248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</row>
        <row r="530">
          <cell r="A530" t="str">
            <v>6224877022</v>
          </cell>
          <cell r="B530">
            <v>62248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</row>
        <row r="531">
          <cell r="A531" t="str">
            <v>6224884200</v>
          </cell>
          <cell r="B531">
            <v>62248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</row>
        <row r="532">
          <cell r="A532" t="str">
            <v>6224884240</v>
          </cell>
          <cell r="B532">
            <v>62248</v>
          </cell>
          <cell r="C532">
            <v>84240</v>
          </cell>
          <cell r="D532" t="str">
            <v>Marketing Leasing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</row>
        <row r="533">
          <cell r="A533" t="str">
            <v>6224884242</v>
          </cell>
          <cell r="B533">
            <v>62248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</row>
        <row r="534">
          <cell r="A534" t="str">
            <v>6224884243</v>
          </cell>
          <cell r="B534">
            <v>62248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</row>
        <row r="535">
          <cell r="A535" t="str">
            <v>6224884244</v>
          </cell>
          <cell r="B535">
            <v>62248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</row>
        <row r="536">
          <cell r="A536" t="str">
            <v>6224884265</v>
          </cell>
          <cell r="B536">
            <v>62248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</row>
        <row r="537">
          <cell r="A537" t="str">
            <v>6224888037</v>
          </cell>
          <cell r="B537">
            <v>62248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</row>
        <row r="538">
          <cell r="A538" t="str">
            <v>6224885016</v>
          </cell>
          <cell r="B538">
            <v>62248</v>
          </cell>
          <cell r="C538">
            <v>85016</v>
          </cell>
          <cell r="D538" t="str">
            <v>Prof Svc-Attorney Outside</v>
          </cell>
          <cell r="E538">
            <v>-1500</v>
          </cell>
          <cell r="F538">
            <v>1500</v>
          </cell>
          <cell r="G538">
            <v>-3000</v>
          </cell>
          <cell r="H538">
            <v>-2</v>
          </cell>
          <cell r="I538">
            <v>-1500</v>
          </cell>
          <cell r="J538">
            <v>0</v>
          </cell>
          <cell r="K538">
            <v>0</v>
          </cell>
          <cell r="L538">
            <v>1173.4000000000001</v>
          </cell>
          <cell r="M538">
            <v>-2673.4</v>
          </cell>
          <cell r="N538">
            <v>-2.2783000000000002</v>
          </cell>
          <cell r="O538">
            <v>3000</v>
          </cell>
          <cell r="P538">
            <v>0</v>
          </cell>
          <cell r="Q538">
            <v>-326.60000000000002</v>
          </cell>
        </row>
        <row r="539">
          <cell r="A539" t="str">
            <v>6224885022</v>
          </cell>
          <cell r="B539">
            <v>62248</v>
          </cell>
          <cell r="C539">
            <v>85022</v>
          </cell>
          <cell r="D539" t="str">
            <v>Prof Svc-Audit/Acctng</v>
          </cell>
          <cell r="E539">
            <v>-675</v>
          </cell>
          <cell r="F539">
            <v>0</v>
          </cell>
          <cell r="G539">
            <v>-675</v>
          </cell>
          <cell r="H539">
            <v>0</v>
          </cell>
          <cell r="I539">
            <v>-675</v>
          </cell>
          <cell r="J539">
            <v>0</v>
          </cell>
          <cell r="K539">
            <v>0</v>
          </cell>
          <cell r="L539">
            <v>-600</v>
          </cell>
          <cell r="M539">
            <v>-75</v>
          </cell>
          <cell r="N539">
            <v>0.125</v>
          </cell>
          <cell r="O539">
            <v>2000</v>
          </cell>
          <cell r="P539">
            <v>1325</v>
          </cell>
          <cell r="Q539">
            <v>1350</v>
          </cell>
        </row>
        <row r="540">
          <cell r="A540" t="str">
            <v>6224885065</v>
          </cell>
          <cell r="B540">
            <v>62248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</row>
        <row r="541">
          <cell r="A541" t="str">
            <v>6224885500</v>
          </cell>
          <cell r="B541">
            <v>62248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1500</v>
          </cell>
          <cell r="G541">
            <v>-1500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1000</v>
          </cell>
          <cell r="M541">
            <v>-1000</v>
          </cell>
          <cell r="N541">
            <v>0</v>
          </cell>
          <cell r="O541">
            <v>3000</v>
          </cell>
          <cell r="P541">
            <v>1500</v>
          </cell>
          <cell r="Q541">
            <v>1050</v>
          </cell>
        </row>
        <row r="542">
          <cell r="A542" t="str">
            <v>6224885566</v>
          </cell>
          <cell r="B542">
            <v>62248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</row>
        <row r="543">
          <cell r="A543" t="str">
            <v>6224885581</v>
          </cell>
          <cell r="B543">
            <v>62248</v>
          </cell>
          <cell r="C543">
            <v>85581</v>
          </cell>
          <cell r="D543" t="str">
            <v>Bldg Admin- Salaries</v>
          </cell>
          <cell r="E543">
            <v>24112.26</v>
          </cell>
          <cell r="F543">
            <v>25256</v>
          </cell>
          <cell r="G543">
            <v>-1143.74</v>
          </cell>
          <cell r="H543">
            <v>-4.53E-2</v>
          </cell>
          <cell r="I543">
            <v>24493.26</v>
          </cell>
          <cell r="J543">
            <v>-381</v>
          </cell>
          <cell r="K543">
            <v>-1.5599999999999999E-2</v>
          </cell>
          <cell r="L543">
            <v>27153.93</v>
          </cell>
          <cell r="M543">
            <v>-3041.67</v>
          </cell>
          <cell r="N543">
            <v>-0.112</v>
          </cell>
          <cell r="O543">
            <v>37884</v>
          </cell>
          <cell r="P543">
            <v>38303.46</v>
          </cell>
          <cell r="Q543">
            <v>42755.03</v>
          </cell>
        </row>
        <row r="544">
          <cell r="A544" t="str">
            <v>6224885583</v>
          </cell>
          <cell r="B544">
            <v>62248</v>
          </cell>
          <cell r="C544">
            <v>85583</v>
          </cell>
          <cell r="D544" t="str">
            <v>Bldg Admin-Office Exp.</v>
          </cell>
          <cell r="E544">
            <v>3515.73</v>
          </cell>
          <cell r="F544">
            <v>3662</v>
          </cell>
          <cell r="G544">
            <v>-146.27000000000001</v>
          </cell>
          <cell r="H544">
            <v>-3.9899999999999998E-2</v>
          </cell>
          <cell r="I544">
            <v>3720.27</v>
          </cell>
          <cell r="J544">
            <v>-204.54</v>
          </cell>
          <cell r="K544">
            <v>-5.5E-2</v>
          </cell>
          <cell r="L544">
            <v>3482.9</v>
          </cell>
          <cell r="M544">
            <v>32.829999999999899</v>
          </cell>
          <cell r="N544">
            <v>9.4000000000000004E-3</v>
          </cell>
          <cell r="O544">
            <v>5493</v>
          </cell>
          <cell r="P544">
            <v>5429.41</v>
          </cell>
          <cell r="Q544">
            <v>5440.38</v>
          </cell>
        </row>
        <row r="545">
          <cell r="A545" t="str">
            <v>6224885530</v>
          </cell>
          <cell r="B545">
            <v>62248</v>
          </cell>
          <cell r="C545">
            <v>85530</v>
          </cell>
          <cell r="D545" t="str">
            <v>Bldg Admin - Office Exp</v>
          </cell>
          <cell r="E545">
            <v>3515.73</v>
          </cell>
          <cell r="F545">
            <v>3662</v>
          </cell>
          <cell r="G545">
            <v>-146.27000000000001</v>
          </cell>
          <cell r="H545">
            <v>-3.9899999999999998E-2</v>
          </cell>
          <cell r="I545">
            <v>3720.27</v>
          </cell>
          <cell r="J545">
            <v>-204.54</v>
          </cell>
          <cell r="K545">
            <v>-5.5E-2</v>
          </cell>
          <cell r="L545">
            <v>3482.9</v>
          </cell>
          <cell r="M545">
            <v>32.829999999999899</v>
          </cell>
          <cell r="N545">
            <v>9.4000000000000004E-3</v>
          </cell>
          <cell r="O545">
            <v>5493</v>
          </cell>
          <cell r="P545">
            <v>5429.41</v>
          </cell>
          <cell r="Q545">
            <v>5440.38</v>
          </cell>
        </row>
        <row r="546">
          <cell r="A546" t="str">
            <v>6224886012</v>
          </cell>
          <cell r="B546">
            <v>62248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</row>
        <row r="547">
          <cell r="A547" t="str">
            <v>6224886037</v>
          </cell>
          <cell r="B547">
            <v>62248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</row>
        <row r="548">
          <cell r="A548" t="str">
            <v>6224883050</v>
          </cell>
          <cell r="B548">
            <v>62248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</row>
        <row r="549">
          <cell r="A549" t="str">
            <v>6224886510</v>
          </cell>
          <cell r="B549">
            <v>62248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</row>
        <row r="550">
          <cell r="A550" t="str">
            <v>6224886537</v>
          </cell>
          <cell r="B550">
            <v>62248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</row>
        <row r="551">
          <cell r="A551" t="str">
            <v>6224886566</v>
          </cell>
          <cell r="B551">
            <v>62248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</row>
        <row r="552">
          <cell r="A552" t="str">
            <v>6224886955</v>
          </cell>
          <cell r="B552">
            <v>62248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</row>
        <row r="553">
          <cell r="A553" t="str">
            <v>6224886985</v>
          </cell>
          <cell r="B553">
            <v>62248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1621</v>
          </cell>
          <cell r="Q553">
            <v>0</v>
          </cell>
        </row>
        <row r="554">
          <cell r="A554" t="str">
            <v>6224886880</v>
          </cell>
          <cell r="B554">
            <v>62248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</row>
        <row r="555">
          <cell r="A555" t="str">
            <v>6224888710</v>
          </cell>
          <cell r="B555">
            <v>62248</v>
          </cell>
          <cell r="C555">
            <v>88710</v>
          </cell>
          <cell r="D555" t="str">
            <v>Losses-Bad Debts</v>
          </cell>
          <cell r="E555">
            <v>-14393</v>
          </cell>
          <cell r="F555">
            <v>0</v>
          </cell>
          <cell r="G555">
            <v>-14393</v>
          </cell>
          <cell r="H555">
            <v>0</v>
          </cell>
          <cell r="I555">
            <v>-2563</v>
          </cell>
          <cell r="J555">
            <v>-11830</v>
          </cell>
          <cell r="K555">
            <v>4.6157000000000004</v>
          </cell>
          <cell r="L555">
            <v>68402.899999999994</v>
          </cell>
          <cell r="M555">
            <v>-82795.899999999994</v>
          </cell>
          <cell r="N555">
            <v>-1.2103999999999999</v>
          </cell>
          <cell r="O555">
            <v>0</v>
          </cell>
          <cell r="P555">
            <v>-2563</v>
          </cell>
          <cell r="Q555">
            <v>28336.639999999999</v>
          </cell>
        </row>
        <row r="556">
          <cell r="A556" t="str">
            <v>6224888711</v>
          </cell>
          <cell r="B556">
            <v>62248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</row>
        <row r="557">
          <cell r="A557" t="str">
            <v>6224888785</v>
          </cell>
          <cell r="B557">
            <v>62248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</row>
        <row r="558">
          <cell r="A558" t="str">
            <v>6224888847</v>
          </cell>
          <cell r="B558">
            <v>62248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</row>
        <row r="559">
          <cell r="A559" t="str">
            <v>6224888866</v>
          </cell>
          <cell r="B559">
            <v>62248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</row>
        <row r="560">
          <cell r="A560" t="str">
            <v>6224888870</v>
          </cell>
          <cell r="B560">
            <v>62248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</row>
        <row r="561">
          <cell r="A561" t="str">
            <v>6224888889</v>
          </cell>
          <cell r="B561">
            <v>62248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</row>
        <row r="562">
          <cell r="A562" t="str">
            <v>6224889776</v>
          </cell>
          <cell r="B562">
            <v>62248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</row>
        <row r="563">
          <cell r="A563" t="str">
            <v>6224889787</v>
          </cell>
          <cell r="B563">
            <v>62248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</row>
        <row r="564">
          <cell r="A564" t="str">
            <v>6224889510</v>
          </cell>
          <cell r="B564">
            <v>62248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</row>
        <row r="565">
          <cell r="A565" t="str">
            <v>6224889511</v>
          </cell>
          <cell r="B565">
            <v>62248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</row>
        <row r="566">
          <cell r="A566" t="str">
            <v>6224889512</v>
          </cell>
          <cell r="B566">
            <v>62248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</row>
        <row r="567">
          <cell r="A567" t="str">
            <v>6224889528</v>
          </cell>
          <cell r="B567">
            <v>62248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</row>
        <row r="568">
          <cell r="A568" t="str">
            <v>6224889529</v>
          </cell>
          <cell r="B568">
            <v>62248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</row>
        <row r="569">
          <cell r="A569" t="str">
            <v>6224889567</v>
          </cell>
          <cell r="B569">
            <v>62248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</row>
        <row r="570">
          <cell r="A570" t="str">
            <v>6224885058</v>
          </cell>
          <cell r="B570">
            <v>62248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</row>
        <row r="571">
          <cell r="A571" t="str">
            <v>6224886513</v>
          </cell>
          <cell r="B571">
            <v>62248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536.30999999999995</v>
          </cell>
          <cell r="J571">
            <v>-536.30999999999995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498.68</v>
          </cell>
          <cell r="P571">
            <v>1984.78</v>
          </cell>
          <cell r="Q571">
            <v>0</v>
          </cell>
        </row>
        <row r="572">
          <cell r="A572" t="str">
            <v>6224886519</v>
          </cell>
          <cell r="B572">
            <v>62248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</row>
        <row r="573">
          <cell r="A573" t="str">
            <v>6224888770</v>
          </cell>
          <cell r="B573">
            <v>62248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4">
          <cell r="A574" t="str">
            <v>6224888862</v>
          </cell>
          <cell r="B574">
            <v>62248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</row>
        <row r="575">
          <cell r="A575" t="str">
            <v>6224888874</v>
          </cell>
          <cell r="B575">
            <v>62248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A576" t="str">
            <v>6224889910</v>
          </cell>
          <cell r="B576">
            <v>62248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288472.11</v>
          </cell>
          <cell r="G576">
            <v>-288472.11</v>
          </cell>
          <cell r="H576">
            <v>0</v>
          </cell>
          <cell r="I576">
            <v>285350.93</v>
          </cell>
          <cell r="J576">
            <v>-285350.93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434376.12</v>
          </cell>
          <cell r="P576">
            <v>433832.69</v>
          </cell>
          <cell r="Q576">
            <v>0</v>
          </cell>
        </row>
        <row r="577">
          <cell r="A577" t="str">
            <v>6224889548</v>
          </cell>
          <cell r="B577">
            <v>62248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</row>
        <row r="578">
          <cell r="A578" t="str">
            <v>6225041010</v>
          </cell>
          <cell r="B578">
            <v>62250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</row>
        <row r="579">
          <cell r="A579" t="str">
            <v>6225041040</v>
          </cell>
          <cell r="B579">
            <v>62250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</row>
        <row r="580">
          <cell r="A580" t="str">
            <v>6225041050</v>
          </cell>
          <cell r="B580">
            <v>62250</v>
          </cell>
          <cell r="C580">
            <v>41050</v>
          </cell>
          <cell r="D580" t="str">
            <v>Rental Income - Fixed</v>
          </cell>
          <cell r="E580">
            <v>-3182934.79</v>
          </cell>
          <cell r="F580">
            <v>-3182934.79</v>
          </cell>
          <cell r="G580">
            <v>0</v>
          </cell>
          <cell r="H580">
            <v>0</v>
          </cell>
          <cell r="I580">
            <v>-3182934.79</v>
          </cell>
          <cell r="J580">
            <v>0</v>
          </cell>
          <cell r="K580">
            <v>0</v>
          </cell>
          <cell r="L580">
            <v>-3102275.78</v>
          </cell>
          <cell r="M580">
            <v>-80659.010000000198</v>
          </cell>
          <cell r="N580">
            <v>2.5999999999999999E-2</v>
          </cell>
          <cell r="O580">
            <v>-4789059.87</v>
          </cell>
          <cell r="P580">
            <v>-4789059.87</v>
          </cell>
          <cell r="Q580">
            <v>-4669313.7</v>
          </cell>
        </row>
        <row r="581">
          <cell r="A581" t="str">
            <v>6225041074</v>
          </cell>
          <cell r="B581">
            <v>62250</v>
          </cell>
          <cell r="C581">
            <v>41074</v>
          </cell>
          <cell r="D581" t="str">
            <v>Rental Income - Percentage</v>
          </cell>
          <cell r="E581">
            <v>-9398.7999999999993</v>
          </cell>
          <cell r="F581">
            <v>-13841</v>
          </cell>
          <cell r="G581">
            <v>4442.2</v>
          </cell>
          <cell r="H581">
            <v>-0.32090000000000002</v>
          </cell>
          <cell r="I581">
            <v>-6041.09</v>
          </cell>
          <cell r="J581">
            <v>-3357.71</v>
          </cell>
          <cell r="K581">
            <v>0.55579999999999996</v>
          </cell>
          <cell r="L581">
            <v>-15473.97</v>
          </cell>
          <cell r="M581">
            <v>6075.17</v>
          </cell>
          <cell r="N581">
            <v>-0.3926</v>
          </cell>
          <cell r="O581">
            <v>-35037</v>
          </cell>
          <cell r="P581">
            <v>-12015.09</v>
          </cell>
          <cell r="Q581">
            <v>-18576.23</v>
          </cell>
        </row>
        <row r="582">
          <cell r="A582" t="str">
            <v>6225041082</v>
          </cell>
          <cell r="B582">
            <v>62250</v>
          </cell>
          <cell r="C582">
            <v>41082</v>
          </cell>
          <cell r="D582" t="str">
            <v>Rental Income - Operating Exp</v>
          </cell>
          <cell r="E582">
            <v>-502022.85</v>
          </cell>
          <cell r="F582">
            <v>-819867.36</v>
          </cell>
          <cell r="G582">
            <v>317844.51</v>
          </cell>
          <cell r="H582">
            <v>-0.38769999999999999</v>
          </cell>
          <cell r="I582">
            <v>-703431.73</v>
          </cell>
          <cell r="J582">
            <v>201408.88</v>
          </cell>
          <cell r="K582">
            <v>-0.2863</v>
          </cell>
          <cell r="L582">
            <v>-696395.61</v>
          </cell>
          <cell r="M582">
            <v>194372.76</v>
          </cell>
          <cell r="N582">
            <v>-0.27910000000000001</v>
          </cell>
          <cell r="O582">
            <v>-1229801.04</v>
          </cell>
          <cell r="P582">
            <v>-1125875.73</v>
          </cell>
          <cell r="Q582">
            <v>-1100799.6499999999</v>
          </cell>
        </row>
        <row r="583">
          <cell r="A583" t="str">
            <v>6225044610</v>
          </cell>
          <cell r="B583">
            <v>62250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</row>
        <row r="584">
          <cell r="A584" t="str">
            <v>6225045071</v>
          </cell>
          <cell r="B584">
            <v>62250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</row>
        <row r="585">
          <cell r="A585" t="str">
            <v>6225045010</v>
          </cell>
          <cell r="B585">
            <v>62250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</row>
        <row r="586">
          <cell r="A586" t="str">
            <v>6225045046</v>
          </cell>
          <cell r="B586">
            <v>62250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</row>
        <row r="587">
          <cell r="A587" t="str">
            <v>6225045070</v>
          </cell>
          <cell r="B587">
            <v>62250</v>
          </cell>
          <cell r="C587">
            <v>45070</v>
          </cell>
          <cell r="D587" t="str">
            <v>Other Income</v>
          </cell>
          <cell r="E587">
            <v>-250.01</v>
          </cell>
          <cell r="F587">
            <v>-69</v>
          </cell>
          <cell r="G587">
            <v>-181.01</v>
          </cell>
          <cell r="H587">
            <v>2.6233</v>
          </cell>
          <cell r="I587">
            <v>-250.01</v>
          </cell>
          <cell r="J587">
            <v>0</v>
          </cell>
          <cell r="K587">
            <v>0</v>
          </cell>
          <cell r="L587">
            <v>-2617.27</v>
          </cell>
          <cell r="M587">
            <v>2367.2600000000002</v>
          </cell>
          <cell r="N587">
            <v>-0.90449999999999997</v>
          </cell>
          <cell r="O587">
            <v>-387</v>
          </cell>
          <cell r="P587">
            <v>-568.01</v>
          </cell>
          <cell r="Q587">
            <v>-2617.27</v>
          </cell>
        </row>
        <row r="588">
          <cell r="A588" t="str">
            <v>6225041060</v>
          </cell>
          <cell r="B588">
            <v>62250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</row>
        <row r="589">
          <cell r="A589" t="str">
            <v>6225044870</v>
          </cell>
          <cell r="B589">
            <v>62250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</row>
        <row r="590">
          <cell r="A590" t="str">
            <v>6225052542</v>
          </cell>
          <cell r="B590">
            <v>62250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</row>
        <row r="591">
          <cell r="A591" t="str">
            <v>6225072710</v>
          </cell>
          <cell r="B591">
            <v>62250</v>
          </cell>
          <cell r="C591">
            <v>72710</v>
          </cell>
          <cell r="D591" t="str">
            <v>Utilities - Electricity</v>
          </cell>
          <cell r="E591">
            <v>39266.65</v>
          </cell>
          <cell r="F591">
            <v>29200</v>
          </cell>
          <cell r="G591">
            <v>10066.65</v>
          </cell>
          <cell r="H591">
            <v>0.34470000000000001</v>
          </cell>
          <cell r="I591">
            <v>21009.61</v>
          </cell>
          <cell r="J591">
            <v>18257.04</v>
          </cell>
          <cell r="K591">
            <v>0.86899999999999999</v>
          </cell>
          <cell r="L591">
            <v>30301.9</v>
          </cell>
          <cell r="M591">
            <v>8964.75</v>
          </cell>
          <cell r="N591">
            <v>0.29580000000000001</v>
          </cell>
          <cell r="O591">
            <v>43800</v>
          </cell>
          <cell r="P591">
            <v>33409.61</v>
          </cell>
          <cell r="Q591">
            <v>37186.51</v>
          </cell>
        </row>
        <row r="592">
          <cell r="A592" t="str">
            <v>6225072740</v>
          </cell>
          <cell r="B592">
            <v>62250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</row>
        <row r="593">
          <cell r="A593" t="str">
            <v>6225072770</v>
          </cell>
          <cell r="B593">
            <v>62250</v>
          </cell>
          <cell r="C593">
            <v>72770</v>
          </cell>
          <cell r="D593" t="str">
            <v>Utilities - Water</v>
          </cell>
          <cell r="E593">
            <v>7111.64</v>
          </cell>
          <cell r="F593">
            <v>8507</v>
          </cell>
          <cell r="G593">
            <v>-1395.36</v>
          </cell>
          <cell r="H593">
            <v>-0.16400000000000001</v>
          </cell>
          <cell r="I593">
            <v>6542.7</v>
          </cell>
          <cell r="J593">
            <v>568.94000000000096</v>
          </cell>
          <cell r="K593">
            <v>8.6999999999999994E-2</v>
          </cell>
          <cell r="L593">
            <v>5745.48</v>
          </cell>
          <cell r="M593">
            <v>1366.16</v>
          </cell>
          <cell r="N593">
            <v>0.23780000000000001</v>
          </cell>
          <cell r="O593">
            <v>12748</v>
          </cell>
          <cell r="P593">
            <v>10783.7</v>
          </cell>
          <cell r="Q593">
            <v>7006.19</v>
          </cell>
        </row>
        <row r="594">
          <cell r="A594" t="str">
            <v>6225076000</v>
          </cell>
          <cell r="B594">
            <v>62250</v>
          </cell>
          <cell r="C594">
            <v>76000</v>
          </cell>
          <cell r="D594" t="str">
            <v>Bldg Maintenance &amp; Repair</v>
          </cell>
          <cell r="E594">
            <v>16515.5</v>
          </cell>
          <cell r="F594">
            <v>29126.639999999999</v>
          </cell>
          <cell r="G594">
            <v>-12611.14</v>
          </cell>
          <cell r="H594">
            <v>-0.433</v>
          </cell>
          <cell r="I594">
            <v>24009.47</v>
          </cell>
          <cell r="J594">
            <v>-7493.97</v>
          </cell>
          <cell r="K594">
            <v>-0.31209999999999999</v>
          </cell>
          <cell r="L594">
            <v>19958.37</v>
          </cell>
          <cell r="M594">
            <v>-3442.87</v>
          </cell>
          <cell r="N594">
            <v>-0.17249999999999999</v>
          </cell>
          <cell r="O594">
            <v>43005</v>
          </cell>
          <cell r="P594">
            <v>41088.949999999997</v>
          </cell>
          <cell r="Q594">
            <v>25766.58</v>
          </cell>
        </row>
        <row r="595">
          <cell r="A595" t="str">
            <v>6225076020</v>
          </cell>
          <cell r="B595">
            <v>62250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</row>
        <row r="596">
          <cell r="A596" t="str">
            <v>6225076034</v>
          </cell>
          <cell r="B596">
            <v>62250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</row>
        <row r="597">
          <cell r="A597" t="str">
            <v>6225076050</v>
          </cell>
          <cell r="B597">
            <v>62250</v>
          </cell>
          <cell r="C597">
            <v>76050</v>
          </cell>
          <cell r="D597" t="str">
            <v>Cleaning Expense</v>
          </cell>
          <cell r="E597">
            <v>10417.5</v>
          </cell>
          <cell r="F597">
            <v>9616</v>
          </cell>
          <cell r="G597">
            <v>801.5</v>
          </cell>
          <cell r="H597">
            <v>8.3400000000000002E-2</v>
          </cell>
          <cell r="I597">
            <v>9801</v>
          </cell>
          <cell r="J597">
            <v>616.5</v>
          </cell>
          <cell r="K597">
            <v>6.2899999999999998E-2</v>
          </cell>
          <cell r="L597">
            <v>9959.69</v>
          </cell>
          <cell r="M597">
            <v>457.80999999999898</v>
          </cell>
          <cell r="N597">
            <v>4.5999999999999999E-2</v>
          </cell>
          <cell r="O597">
            <v>14424</v>
          </cell>
          <cell r="P597">
            <v>14609</v>
          </cell>
          <cell r="Q597">
            <v>15185.65</v>
          </cell>
        </row>
        <row r="598">
          <cell r="A598" t="str">
            <v>6225076056</v>
          </cell>
          <cell r="B598">
            <v>62250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</row>
        <row r="599">
          <cell r="A599" t="str">
            <v>6225076070</v>
          </cell>
          <cell r="B599">
            <v>62250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</row>
        <row r="600">
          <cell r="A600" t="str">
            <v>6225076091</v>
          </cell>
          <cell r="B600">
            <v>62250</v>
          </cell>
          <cell r="C600">
            <v>76091</v>
          </cell>
          <cell r="D600" t="str">
            <v>Parking Maintenance</v>
          </cell>
          <cell r="E600">
            <v>30354.42</v>
          </cell>
          <cell r="F600">
            <v>28834.639999999999</v>
          </cell>
          <cell r="G600">
            <v>1519.78</v>
          </cell>
          <cell r="H600">
            <v>5.2699999999999997E-2</v>
          </cell>
          <cell r="I600">
            <v>28805.49</v>
          </cell>
          <cell r="J600">
            <v>1548.93</v>
          </cell>
          <cell r="K600">
            <v>5.3800000000000001E-2</v>
          </cell>
          <cell r="L600">
            <v>21891.3</v>
          </cell>
          <cell r="M600">
            <v>8463.1200000000008</v>
          </cell>
          <cell r="N600">
            <v>0.3866</v>
          </cell>
          <cell r="O600">
            <v>43252</v>
          </cell>
          <cell r="P600">
            <v>43222.85</v>
          </cell>
          <cell r="Q600">
            <v>43469.94</v>
          </cell>
        </row>
        <row r="601">
          <cell r="A601" t="str">
            <v>6225077000</v>
          </cell>
          <cell r="B601">
            <v>62250</v>
          </cell>
          <cell r="C601">
            <v>77000</v>
          </cell>
          <cell r="D601" t="str">
            <v>Grounds Maintenance</v>
          </cell>
          <cell r="E601">
            <v>34143.440000000002</v>
          </cell>
          <cell r="F601">
            <v>39680</v>
          </cell>
          <cell r="G601">
            <v>-5536.56</v>
          </cell>
          <cell r="H601">
            <v>-0.13950000000000001</v>
          </cell>
          <cell r="I601">
            <v>42031.14</v>
          </cell>
          <cell r="J601">
            <v>-7887.7</v>
          </cell>
          <cell r="K601">
            <v>-0.18770000000000001</v>
          </cell>
          <cell r="L601">
            <v>23891.15</v>
          </cell>
          <cell r="M601">
            <v>10252.290000000001</v>
          </cell>
          <cell r="N601">
            <v>0.42909999999999998</v>
          </cell>
          <cell r="O601">
            <v>49935</v>
          </cell>
          <cell r="P601">
            <v>53502.62</v>
          </cell>
          <cell r="Q601">
            <v>48842.85</v>
          </cell>
        </row>
        <row r="602">
          <cell r="A602" t="str">
            <v>6225077053</v>
          </cell>
          <cell r="B602">
            <v>62250</v>
          </cell>
          <cell r="C602">
            <v>77053</v>
          </cell>
          <cell r="D602" t="str">
            <v>Landscaping</v>
          </cell>
          <cell r="E602">
            <v>68678.600000000006</v>
          </cell>
          <cell r="F602">
            <v>82353</v>
          </cell>
          <cell r="G602">
            <v>-13674.4</v>
          </cell>
          <cell r="H602">
            <v>-0.16600000000000001</v>
          </cell>
          <cell r="I602">
            <v>62124.92</v>
          </cell>
          <cell r="J602">
            <v>6553.6800000000103</v>
          </cell>
          <cell r="K602">
            <v>0.1055</v>
          </cell>
          <cell r="L602">
            <v>51983.32</v>
          </cell>
          <cell r="M602">
            <v>16695.28</v>
          </cell>
          <cell r="N602">
            <v>0.32119999999999999</v>
          </cell>
          <cell r="O602">
            <v>114475</v>
          </cell>
          <cell r="P602">
            <v>113488.92</v>
          </cell>
          <cell r="Q602">
            <v>104175.44</v>
          </cell>
        </row>
        <row r="603">
          <cell r="A603" t="str">
            <v>6225078020</v>
          </cell>
          <cell r="B603">
            <v>62250</v>
          </cell>
          <cell r="C603">
            <v>78020</v>
          </cell>
          <cell r="D603" t="str">
            <v>Amortized CAM Exp</v>
          </cell>
          <cell r="E603">
            <v>34406.129999999997</v>
          </cell>
          <cell r="F603">
            <v>45111.360000000001</v>
          </cell>
          <cell r="G603">
            <v>-10705.23</v>
          </cell>
          <cell r="H603">
            <v>-0.23730000000000001</v>
          </cell>
          <cell r="I603">
            <v>34485.99</v>
          </cell>
          <cell r="J603">
            <v>-79.860000000000596</v>
          </cell>
          <cell r="K603">
            <v>-2.3E-3</v>
          </cell>
          <cell r="L603">
            <v>0</v>
          </cell>
          <cell r="M603">
            <v>34406.129999999997</v>
          </cell>
          <cell r="N603">
            <v>0</v>
          </cell>
          <cell r="O603">
            <v>67667</v>
          </cell>
          <cell r="P603">
            <v>53332.53</v>
          </cell>
          <cell r="Q603">
            <v>22961</v>
          </cell>
        </row>
        <row r="604">
          <cell r="A604" t="str">
            <v>6225084264</v>
          </cell>
          <cell r="B604">
            <v>62250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</row>
        <row r="605">
          <cell r="A605" t="str">
            <v>6225085555</v>
          </cell>
          <cell r="B605">
            <v>62250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</row>
        <row r="606">
          <cell r="A606" t="str">
            <v>6225085584</v>
          </cell>
          <cell r="B606">
            <v>62250</v>
          </cell>
          <cell r="C606">
            <v>85584</v>
          </cell>
          <cell r="D606" t="str">
            <v>Bldg Admin-Office Costs</v>
          </cell>
          <cell r="E606">
            <v>17348.759999999998</v>
          </cell>
          <cell r="F606">
            <v>16560</v>
          </cell>
          <cell r="G606">
            <v>788.75999999999794</v>
          </cell>
          <cell r="H606">
            <v>4.7600000000000003E-2</v>
          </cell>
          <cell r="I606">
            <v>17025.63</v>
          </cell>
          <cell r="J606">
            <v>323.12999999999698</v>
          </cell>
          <cell r="K606">
            <v>1.9E-2</v>
          </cell>
          <cell r="L606">
            <v>14203.59</v>
          </cell>
          <cell r="M606">
            <v>3145.17</v>
          </cell>
          <cell r="N606">
            <v>0.22140000000000001</v>
          </cell>
          <cell r="O606">
            <v>24840</v>
          </cell>
          <cell r="P606">
            <v>25172.57</v>
          </cell>
          <cell r="Q606">
            <v>23567.07</v>
          </cell>
        </row>
        <row r="607">
          <cell r="A607" t="str">
            <v>6225085582</v>
          </cell>
          <cell r="B607">
            <v>62250</v>
          </cell>
          <cell r="C607">
            <v>85582</v>
          </cell>
          <cell r="D607" t="str">
            <v>Bldg Admin-Salaries</v>
          </cell>
          <cell r="E607">
            <v>112228.27</v>
          </cell>
          <cell r="F607">
            <v>111320.64</v>
          </cell>
          <cell r="G607">
            <v>907.630000000005</v>
          </cell>
          <cell r="H607">
            <v>8.2000000000000007E-3</v>
          </cell>
          <cell r="I607">
            <v>113639.67999999999</v>
          </cell>
          <cell r="J607">
            <v>-1411.4099999999901</v>
          </cell>
          <cell r="K607">
            <v>-1.24E-2</v>
          </cell>
          <cell r="L607">
            <v>96991.12</v>
          </cell>
          <cell r="M607">
            <v>15237.15</v>
          </cell>
          <cell r="N607">
            <v>0.15709999999999999</v>
          </cell>
          <cell r="O607">
            <v>166981</v>
          </cell>
          <cell r="P607">
            <v>174859.73</v>
          </cell>
          <cell r="Q607">
            <v>157876.44</v>
          </cell>
        </row>
        <row r="608">
          <cell r="A608" t="str">
            <v>6225086564</v>
          </cell>
          <cell r="B608">
            <v>62250</v>
          </cell>
          <cell r="C608">
            <v>86564</v>
          </cell>
          <cell r="D608" t="str">
            <v>Insurance</v>
          </cell>
          <cell r="E608">
            <v>76905.34</v>
          </cell>
          <cell r="F608">
            <v>87571.36</v>
          </cell>
          <cell r="G608">
            <v>-10666.02</v>
          </cell>
          <cell r="H608">
            <v>-0.12180000000000001</v>
          </cell>
          <cell r="I608">
            <v>74810.44</v>
          </cell>
          <cell r="J608">
            <v>2094.8999999999901</v>
          </cell>
          <cell r="K608">
            <v>2.8000000000000001E-2</v>
          </cell>
          <cell r="L608">
            <v>76144</v>
          </cell>
          <cell r="M608">
            <v>761.33999999999696</v>
          </cell>
          <cell r="N608">
            <v>0.01</v>
          </cell>
          <cell r="O608">
            <v>131357</v>
          </cell>
          <cell r="P608">
            <v>110463.76</v>
          </cell>
          <cell r="Q608">
            <v>114223</v>
          </cell>
        </row>
        <row r="609">
          <cell r="A609" t="str">
            <v>6225088846</v>
          </cell>
          <cell r="B609">
            <v>62250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7720</v>
          </cell>
          <cell r="Q609">
            <v>0</v>
          </cell>
        </row>
        <row r="610">
          <cell r="A610" t="str">
            <v>6225088890</v>
          </cell>
          <cell r="B610">
            <v>62250</v>
          </cell>
          <cell r="C610">
            <v>88890</v>
          </cell>
          <cell r="D610" t="str">
            <v>Security/Safety</v>
          </cell>
          <cell r="E610">
            <v>20752.71</v>
          </cell>
          <cell r="F610">
            <v>19200</v>
          </cell>
          <cell r="G610">
            <v>1552.71</v>
          </cell>
          <cell r="H610">
            <v>8.09E-2</v>
          </cell>
          <cell r="I610">
            <v>19117.02</v>
          </cell>
          <cell r="J610">
            <v>1635.69</v>
          </cell>
          <cell r="K610">
            <v>8.5599999999999996E-2</v>
          </cell>
          <cell r="L610">
            <v>18204.650000000001</v>
          </cell>
          <cell r="M610">
            <v>2548.06</v>
          </cell>
          <cell r="N610">
            <v>0.14000000000000001</v>
          </cell>
          <cell r="O610">
            <v>28800</v>
          </cell>
          <cell r="P610">
            <v>28629.02</v>
          </cell>
          <cell r="Q610">
            <v>28148.42</v>
          </cell>
        </row>
        <row r="611">
          <cell r="A611" t="str">
            <v>6225089775</v>
          </cell>
          <cell r="B611">
            <v>62250</v>
          </cell>
          <cell r="C611">
            <v>89775</v>
          </cell>
          <cell r="D611" t="str">
            <v>Assmt Dist Taxes- Reimb</v>
          </cell>
          <cell r="E611">
            <v>34761.35</v>
          </cell>
          <cell r="F611">
            <v>22188</v>
          </cell>
          <cell r="G611">
            <v>12573.35</v>
          </cell>
          <cell r="H611">
            <v>0.56669999999999998</v>
          </cell>
          <cell r="I611">
            <v>37118.839999999997</v>
          </cell>
          <cell r="J611">
            <v>-2357.4899999999998</v>
          </cell>
          <cell r="K611">
            <v>-6.3500000000000001E-2</v>
          </cell>
          <cell r="L611">
            <v>22188</v>
          </cell>
          <cell r="M611">
            <v>12573.35</v>
          </cell>
          <cell r="N611">
            <v>0.56669999999999998</v>
          </cell>
          <cell r="O611">
            <v>33282</v>
          </cell>
          <cell r="P611">
            <v>57642.84</v>
          </cell>
          <cell r="Q611">
            <v>33282</v>
          </cell>
        </row>
        <row r="612">
          <cell r="A612" t="str">
            <v>6225089729</v>
          </cell>
          <cell r="B612">
            <v>62250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</row>
        <row r="613">
          <cell r="A613" t="str">
            <v>6225089786</v>
          </cell>
          <cell r="B613">
            <v>62250</v>
          </cell>
          <cell r="C613">
            <v>89786</v>
          </cell>
          <cell r="D613" t="str">
            <v>Property Tax Exp</v>
          </cell>
          <cell r="E613">
            <v>21036.48</v>
          </cell>
          <cell r="F613">
            <v>254174.64</v>
          </cell>
          <cell r="G613">
            <v>-233138.16</v>
          </cell>
          <cell r="H613">
            <v>-0.91720000000000002</v>
          </cell>
          <cell r="I613">
            <v>168728.52</v>
          </cell>
          <cell r="J613">
            <v>-147692.04</v>
          </cell>
          <cell r="K613">
            <v>-0.87529999999999997</v>
          </cell>
          <cell r="L613">
            <v>252752.48</v>
          </cell>
          <cell r="M613">
            <v>-231716</v>
          </cell>
          <cell r="N613">
            <v>-0.91679999999999995</v>
          </cell>
          <cell r="O613">
            <v>381262</v>
          </cell>
          <cell r="P613">
            <v>292885.84000000003</v>
          </cell>
          <cell r="Q613">
            <v>373963.19</v>
          </cell>
        </row>
        <row r="614">
          <cell r="A614" t="str">
            <v>6225071040</v>
          </cell>
          <cell r="B614">
            <v>62250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</row>
        <row r="615">
          <cell r="A615" t="str">
            <v>6225072701</v>
          </cell>
          <cell r="B615">
            <v>62250</v>
          </cell>
          <cell r="C615">
            <v>72701</v>
          </cell>
          <cell r="D615" t="str">
            <v>Utilities</v>
          </cell>
          <cell r="E615">
            <v>31.28</v>
          </cell>
          <cell r="F615">
            <v>0</v>
          </cell>
          <cell r="G615">
            <v>31.28</v>
          </cell>
          <cell r="H615">
            <v>0</v>
          </cell>
          <cell r="I615">
            <v>0</v>
          </cell>
          <cell r="J615">
            <v>31.28</v>
          </cell>
          <cell r="K615">
            <v>0</v>
          </cell>
          <cell r="L615">
            <v>0</v>
          </cell>
          <cell r="M615">
            <v>31.28</v>
          </cell>
          <cell r="N615">
            <v>0</v>
          </cell>
          <cell r="O615">
            <v>0</v>
          </cell>
          <cell r="P615">
            <v>0</v>
          </cell>
          <cell r="Q615">
            <v>129.56</v>
          </cell>
        </row>
        <row r="616">
          <cell r="A616" t="str">
            <v>6225072855</v>
          </cell>
          <cell r="B616">
            <v>62250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</row>
        <row r="617">
          <cell r="A617" t="str">
            <v>6225072870</v>
          </cell>
          <cell r="B617">
            <v>62250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</row>
        <row r="618">
          <cell r="A618" t="str">
            <v>6225076010</v>
          </cell>
          <cell r="B618">
            <v>62250</v>
          </cell>
          <cell r="C618">
            <v>76010</v>
          </cell>
          <cell r="D618" t="str">
            <v>Tenant Alterations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81.17</v>
          </cell>
          <cell r="M618">
            <v>-81.17</v>
          </cell>
          <cell r="N618">
            <v>0</v>
          </cell>
          <cell r="O618">
            <v>0</v>
          </cell>
          <cell r="P618">
            <v>0</v>
          </cell>
          <cell r="Q618">
            <v>94.54</v>
          </cell>
        </row>
        <row r="619">
          <cell r="A619" t="str">
            <v>6225076040</v>
          </cell>
          <cell r="B619">
            <v>62250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</row>
        <row r="620">
          <cell r="A620" t="str">
            <v>6225076051</v>
          </cell>
          <cell r="B620">
            <v>62250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</row>
        <row r="621">
          <cell r="A621" t="str">
            <v>6225076054</v>
          </cell>
          <cell r="B621">
            <v>62250</v>
          </cell>
          <cell r="C621">
            <v>76054</v>
          </cell>
          <cell r="D621" t="str">
            <v>Bldg Maintenance &amp; Repair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10926</v>
          </cell>
          <cell r="J621">
            <v>-10926</v>
          </cell>
          <cell r="K621">
            <v>0</v>
          </cell>
          <cell r="L621">
            <v>132.77000000000001</v>
          </cell>
          <cell r="M621">
            <v>-132.77000000000001</v>
          </cell>
          <cell r="N621">
            <v>0</v>
          </cell>
          <cell r="O621">
            <v>0</v>
          </cell>
          <cell r="P621">
            <v>10926</v>
          </cell>
          <cell r="Q621">
            <v>46.300000000000203</v>
          </cell>
        </row>
        <row r="622">
          <cell r="A622" t="str">
            <v>6225076060</v>
          </cell>
          <cell r="B622">
            <v>62250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</row>
        <row r="623">
          <cell r="A623" t="str">
            <v>6225076071</v>
          </cell>
          <cell r="B623">
            <v>62250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</row>
        <row r="624">
          <cell r="A624" t="str">
            <v>6225076090</v>
          </cell>
          <cell r="B624">
            <v>62250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</row>
        <row r="625">
          <cell r="A625" t="str">
            <v>6225077001</v>
          </cell>
          <cell r="B625">
            <v>62250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</row>
        <row r="626">
          <cell r="A626" t="str">
            <v>6225077022</v>
          </cell>
          <cell r="B626">
            <v>62250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</row>
        <row r="627">
          <cell r="A627" t="str">
            <v>6225084200</v>
          </cell>
          <cell r="B627">
            <v>62250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</row>
        <row r="628">
          <cell r="A628" t="str">
            <v>6225084240</v>
          </cell>
          <cell r="B628">
            <v>62250</v>
          </cell>
          <cell r="C628">
            <v>84240</v>
          </cell>
          <cell r="D628" t="str">
            <v>Marketing Leasing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</row>
        <row r="629">
          <cell r="A629" t="str">
            <v>6225084242</v>
          </cell>
          <cell r="B629">
            <v>62250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</row>
        <row r="630">
          <cell r="A630" t="str">
            <v>6225084243</v>
          </cell>
          <cell r="B630">
            <v>62250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-2892.5</v>
          </cell>
        </row>
        <row r="631">
          <cell r="A631" t="str">
            <v>6225084244</v>
          </cell>
          <cell r="B631">
            <v>62250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215</v>
          </cell>
          <cell r="M631">
            <v>-215</v>
          </cell>
          <cell r="N631">
            <v>0</v>
          </cell>
          <cell r="O631">
            <v>0</v>
          </cell>
          <cell r="P631">
            <v>0</v>
          </cell>
          <cell r="Q631">
            <v>215</v>
          </cell>
        </row>
        <row r="632">
          <cell r="A632" t="str">
            <v>6225084265</v>
          </cell>
          <cell r="B632">
            <v>62250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</row>
        <row r="633">
          <cell r="A633" t="str">
            <v>6225088037</v>
          </cell>
          <cell r="B633">
            <v>62250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</row>
        <row r="634">
          <cell r="A634" t="str">
            <v>6225085016</v>
          </cell>
          <cell r="B634">
            <v>62250</v>
          </cell>
          <cell r="C634">
            <v>85016</v>
          </cell>
          <cell r="D634" t="str">
            <v>Prof Svc-Attorney Outside</v>
          </cell>
          <cell r="E634">
            <v>0</v>
          </cell>
          <cell r="F634">
            <v>1500</v>
          </cell>
          <cell r="G634">
            <v>-1500</v>
          </cell>
          <cell r="H634">
            <v>0</v>
          </cell>
          <cell r="I634">
            <v>500</v>
          </cell>
          <cell r="J634">
            <v>-500</v>
          </cell>
          <cell r="K634">
            <v>0</v>
          </cell>
          <cell r="L634">
            <v>890</v>
          </cell>
          <cell r="M634">
            <v>-890</v>
          </cell>
          <cell r="N634">
            <v>0</v>
          </cell>
          <cell r="O634">
            <v>2000</v>
          </cell>
          <cell r="P634">
            <v>1000</v>
          </cell>
          <cell r="Q634">
            <v>915</v>
          </cell>
        </row>
        <row r="635">
          <cell r="A635" t="str">
            <v>6225085022</v>
          </cell>
          <cell r="B635">
            <v>62250</v>
          </cell>
          <cell r="C635">
            <v>85022</v>
          </cell>
          <cell r="D635" t="str">
            <v>Prof Svc-Audit/Acctng</v>
          </cell>
          <cell r="E635">
            <v>600</v>
          </cell>
          <cell r="F635">
            <v>750</v>
          </cell>
          <cell r="G635">
            <v>-150</v>
          </cell>
          <cell r="H635">
            <v>-0.2</v>
          </cell>
          <cell r="I635">
            <v>1350</v>
          </cell>
          <cell r="J635">
            <v>-750</v>
          </cell>
          <cell r="K635">
            <v>-0.55559999999999998</v>
          </cell>
          <cell r="L635">
            <v>0</v>
          </cell>
          <cell r="M635">
            <v>600</v>
          </cell>
          <cell r="N635">
            <v>0</v>
          </cell>
          <cell r="O635">
            <v>750</v>
          </cell>
          <cell r="P635">
            <v>1350</v>
          </cell>
          <cell r="Q635">
            <v>775</v>
          </cell>
        </row>
        <row r="636">
          <cell r="A636" t="str">
            <v>6225085065</v>
          </cell>
          <cell r="B636">
            <v>62250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</row>
        <row r="637">
          <cell r="A637" t="str">
            <v>6225085500</v>
          </cell>
          <cell r="B637">
            <v>62250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6687.5</v>
          </cell>
          <cell r="M637">
            <v>-6687.5</v>
          </cell>
          <cell r="N637">
            <v>0</v>
          </cell>
          <cell r="O637">
            <v>0</v>
          </cell>
          <cell r="P637">
            <v>0</v>
          </cell>
          <cell r="Q637">
            <v>6687.5</v>
          </cell>
        </row>
        <row r="638">
          <cell r="A638" t="str">
            <v>6225085566</v>
          </cell>
          <cell r="B638">
            <v>62250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</row>
        <row r="639">
          <cell r="A639" t="str">
            <v>6225085581</v>
          </cell>
          <cell r="B639">
            <v>62250</v>
          </cell>
          <cell r="C639">
            <v>85581</v>
          </cell>
          <cell r="D639" t="str">
            <v>Bldg Admin- Salaries</v>
          </cell>
          <cell r="E639">
            <v>63576.53</v>
          </cell>
          <cell r="F639">
            <v>66536</v>
          </cell>
          <cell r="G639">
            <v>-2959.47</v>
          </cell>
          <cell r="H639">
            <v>-4.4499999999999998E-2</v>
          </cell>
          <cell r="I639">
            <v>64583.23</v>
          </cell>
          <cell r="J639">
            <v>-1006.7</v>
          </cell>
          <cell r="K639">
            <v>-1.5599999999999999E-2</v>
          </cell>
          <cell r="L639">
            <v>71543.33</v>
          </cell>
          <cell r="M639">
            <v>-7966.8</v>
          </cell>
          <cell r="N639">
            <v>-0.1114</v>
          </cell>
          <cell r="O639">
            <v>99804</v>
          </cell>
          <cell r="P639">
            <v>101002.91</v>
          </cell>
          <cell r="Q639">
            <v>112648.04</v>
          </cell>
        </row>
        <row r="640">
          <cell r="A640" t="str">
            <v>6225085583</v>
          </cell>
          <cell r="B640">
            <v>62250</v>
          </cell>
          <cell r="C640">
            <v>85583</v>
          </cell>
          <cell r="D640" t="str">
            <v>Bldg Admin-Office Exp.</v>
          </cell>
          <cell r="E640">
            <v>9138.2900000000009</v>
          </cell>
          <cell r="F640">
            <v>9789.36</v>
          </cell>
          <cell r="G640">
            <v>-651.07000000000005</v>
          </cell>
          <cell r="H640">
            <v>-6.6500000000000004E-2</v>
          </cell>
          <cell r="I640">
            <v>9678.1</v>
          </cell>
          <cell r="J640">
            <v>-539.80999999999904</v>
          </cell>
          <cell r="K640">
            <v>-5.5800000000000002E-2</v>
          </cell>
          <cell r="L640">
            <v>9241.17</v>
          </cell>
          <cell r="M640">
            <v>-102.879999999999</v>
          </cell>
          <cell r="N640">
            <v>-1.11E-2</v>
          </cell>
          <cell r="O640">
            <v>14614</v>
          </cell>
          <cell r="P640">
            <v>14185.52</v>
          </cell>
          <cell r="Q640">
            <v>14463.24</v>
          </cell>
        </row>
        <row r="641">
          <cell r="A641" t="str">
            <v>6225085530</v>
          </cell>
          <cell r="B641">
            <v>62250</v>
          </cell>
          <cell r="C641">
            <v>85530</v>
          </cell>
          <cell r="D641" t="str">
            <v>Bldg Admin - Office Exp</v>
          </cell>
          <cell r="E641">
            <v>9138.2900000000009</v>
          </cell>
          <cell r="F641">
            <v>9789.36</v>
          </cell>
          <cell r="G641">
            <v>-651.07000000000005</v>
          </cell>
          <cell r="H641">
            <v>-6.6500000000000004E-2</v>
          </cell>
          <cell r="I641">
            <v>9678.1</v>
          </cell>
          <cell r="J641">
            <v>-539.80999999999904</v>
          </cell>
          <cell r="K641">
            <v>-5.5800000000000002E-2</v>
          </cell>
          <cell r="L641">
            <v>9241.17</v>
          </cell>
          <cell r="M641">
            <v>-102.879999999999</v>
          </cell>
          <cell r="N641">
            <v>-1.11E-2</v>
          </cell>
          <cell r="O641">
            <v>14614</v>
          </cell>
          <cell r="P641">
            <v>14185.52</v>
          </cell>
          <cell r="Q641">
            <v>14463.24</v>
          </cell>
        </row>
        <row r="642">
          <cell r="A642" t="str">
            <v>6225086012</v>
          </cell>
          <cell r="B642">
            <v>62250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</row>
        <row r="643">
          <cell r="A643" t="str">
            <v>6225086037</v>
          </cell>
          <cell r="B643">
            <v>62250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</row>
        <row r="644">
          <cell r="A644" t="str">
            <v>6225083050</v>
          </cell>
          <cell r="B644">
            <v>62250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</row>
        <row r="645">
          <cell r="A645" t="str">
            <v>6225086510</v>
          </cell>
          <cell r="B645">
            <v>62250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</row>
        <row r="646">
          <cell r="A646" t="str">
            <v>6225086537</v>
          </cell>
          <cell r="B646">
            <v>62250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</row>
        <row r="647">
          <cell r="A647" t="str">
            <v>6225086566</v>
          </cell>
          <cell r="B647">
            <v>62250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</row>
        <row r="648">
          <cell r="A648" t="str">
            <v>6225086955</v>
          </cell>
          <cell r="B648">
            <v>62250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</row>
        <row r="649">
          <cell r="A649" t="str">
            <v>6225086985</v>
          </cell>
          <cell r="B649">
            <v>62250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2628</v>
          </cell>
          <cell r="Q649">
            <v>0</v>
          </cell>
        </row>
        <row r="650">
          <cell r="A650" t="str">
            <v>6225086880</v>
          </cell>
          <cell r="B650">
            <v>62250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</row>
        <row r="651">
          <cell r="A651" t="str">
            <v>6225088710</v>
          </cell>
          <cell r="B651">
            <v>62250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</row>
        <row r="652">
          <cell r="A652" t="str">
            <v>6225088711</v>
          </cell>
          <cell r="B652">
            <v>62250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</row>
        <row r="653">
          <cell r="A653" t="str">
            <v>6225088785</v>
          </cell>
          <cell r="B653">
            <v>62250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</row>
        <row r="654">
          <cell r="A654" t="str">
            <v>6225088847</v>
          </cell>
          <cell r="B654">
            <v>62250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</row>
        <row r="655">
          <cell r="A655" t="str">
            <v>6225088866</v>
          </cell>
          <cell r="B655">
            <v>62250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</row>
        <row r="656">
          <cell r="A656" t="str">
            <v>6225088870</v>
          </cell>
          <cell r="B656">
            <v>62250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</row>
        <row r="657">
          <cell r="A657" t="str">
            <v>6225088889</v>
          </cell>
          <cell r="B657">
            <v>62250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</row>
        <row r="658">
          <cell r="A658" t="str">
            <v>6225089776</v>
          </cell>
          <cell r="B658">
            <v>62250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</row>
        <row r="659">
          <cell r="A659" t="str">
            <v>6225089787</v>
          </cell>
          <cell r="B659">
            <v>62250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</row>
        <row r="660">
          <cell r="A660" t="str">
            <v>6225089510</v>
          </cell>
          <cell r="B660">
            <v>62250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3971</v>
          </cell>
          <cell r="J660">
            <v>-3971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8307</v>
          </cell>
          <cell r="Q660">
            <v>0</v>
          </cell>
        </row>
        <row r="661">
          <cell r="A661" t="str">
            <v>6225089511</v>
          </cell>
          <cell r="B661">
            <v>62250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</row>
        <row r="662">
          <cell r="A662" t="str">
            <v>6225089512</v>
          </cell>
          <cell r="B662">
            <v>62250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</row>
        <row r="663">
          <cell r="A663" t="str">
            <v>6225089528</v>
          </cell>
          <cell r="B663">
            <v>62250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</row>
        <row r="664">
          <cell r="A664" t="str">
            <v>6225089529</v>
          </cell>
          <cell r="B664">
            <v>62250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</row>
        <row r="665">
          <cell r="A665" t="str">
            <v>6225089567</v>
          </cell>
          <cell r="B665">
            <v>62250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</row>
        <row r="666">
          <cell r="A666" t="str">
            <v>6225085058</v>
          </cell>
          <cell r="B666">
            <v>62250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</row>
        <row r="667">
          <cell r="A667" t="str">
            <v>6225086513</v>
          </cell>
          <cell r="B667">
            <v>62250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</row>
        <row r="668">
          <cell r="A668" t="str">
            <v>6225086519</v>
          </cell>
          <cell r="B668">
            <v>62250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</row>
        <row r="669">
          <cell r="A669" t="str">
            <v>6225088770</v>
          </cell>
          <cell r="B669">
            <v>62250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</row>
        <row r="670">
          <cell r="A670" t="str">
            <v>6225088862</v>
          </cell>
          <cell r="B670">
            <v>62250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</row>
        <row r="671">
          <cell r="A671" t="str">
            <v>6225088874</v>
          </cell>
          <cell r="B671">
            <v>62250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</row>
        <row r="672">
          <cell r="A672" t="str">
            <v>6225089910</v>
          </cell>
          <cell r="B672">
            <v>62250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696556.86</v>
          </cell>
          <cell r="G672">
            <v>-696556.86</v>
          </cell>
          <cell r="H672">
            <v>0</v>
          </cell>
          <cell r="I672">
            <v>594279.38</v>
          </cell>
          <cell r="J672">
            <v>-594279.38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1020055.71</v>
          </cell>
          <cell r="P672">
            <v>871375.98</v>
          </cell>
          <cell r="Q672">
            <v>0</v>
          </cell>
        </row>
        <row r="673">
          <cell r="A673" t="str">
            <v>6225089548</v>
          </cell>
          <cell r="B673">
            <v>62250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</row>
        <row r="674">
          <cell r="A674" t="str">
            <v>6225241010</v>
          </cell>
          <cell r="B674">
            <v>62252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</row>
        <row r="675">
          <cell r="A675" t="str">
            <v>6225241040</v>
          </cell>
          <cell r="B675">
            <v>62252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</row>
        <row r="676">
          <cell r="A676" t="str">
            <v>6225241050</v>
          </cell>
          <cell r="B676">
            <v>62252</v>
          </cell>
          <cell r="C676">
            <v>41050</v>
          </cell>
          <cell r="D676" t="str">
            <v>Rental Income - Fixed</v>
          </cell>
          <cell r="E676">
            <v>-949278.99</v>
          </cell>
          <cell r="F676">
            <v>-960307.22</v>
          </cell>
          <cell r="G676">
            <v>11028.23</v>
          </cell>
          <cell r="H676">
            <v>-1.15E-2</v>
          </cell>
          <cell r="I676">
            <v>-948110.86</v>
          </cell>
          <cell r="J676">
            <v>-1168.1300000000001</v>
          </cell>
          <cell r="K676">
            <v>1.1999999999999999E-3</v>
          </cell>
          <cell r="L676">
            <v>-918250.78</v>
          </cell>
          <cell r="M676">
            <v>-31028.21</v>
          </cell>
          <cell r="N676">
            <v>3.3799999999999997E-2</v>
          </cell>
          <cell r="O676">
            <v>-1446799.54</v>
          </cell>
          <cell r="P676">
            <v>-1435850.7</v>
          </cell>
          <cell r="Q676">
            <v>-1376046.14</v>
          </cell>
        </row>
        <row r="677">
          <cell r="A677" t="str">
            <v>6225241074</v>
          </cell>
          <cell r="B677">
            <v>62252</v>
          </cell>
          <cell r="C677">
            <v>41074</v>
          </cell>
          <cell r="D677" t="str">
            <v>Rental Income - Percentage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</row>
        <row r="678">
          <cell r="A678" t="str">
            <v>6225241082</v>
          </cell>
          <cell r="B678">
            <v>62252</v>
          </cell>
          <cell r="C678">
            <v>41082</v>
          </cell>
          <cell r="D678" t="str">
            <v>Rental Income - Operating Exp</v>
          </cell>
          <cell r="E678">
            <v>-306063.49</v>
          </cell>
          <cell r="F678">
            <v>-320599.44</v>
          </cell>
          <cell r="G678">
            <v>14535.95</v>
          </cell>
          <cell r="H678">
            <v>-4.53E-2</v>
          </cell>
          <cell r="I678">
            <v>-322642.43</v>
          </cell>
          <cell r="J678">
            <v>16578.939999999999</v>
          </cell>
          <cell r="K678">
            <v>-5.1400000000000001E-2</v>
          </cell>
          <cell r="L678">
            <v>-230674.96</v>
          </cell>
          <cell r="M678">
            <v>-75388.53</v>
          </cell>
          <cell r="N678">
            <v>0.32679999999999998</v>
          </cell>
          <cell r="O678">
            <v>-480899.2</v>
          </cell>
          <cell r="P678">
            <v>-487653.43</v>
          </cell>
          <cell r="Q678">
            <v>-336432.65</v>
          </cell>
        </row>
        <row r="679">
          <cell r="A679" t="str">
            <v>6225244610</v>
          </cell>
          <cell r="B679">
            <v>62252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</row>
        <row r="680">
          <cell r="A680" t="str">
            <v>6225245071</v>
          </cell>
          <cell r="B680">
            <v>62252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-13716.66</v>
          </cell>
        </row>
        <row r="681">
          <cell r="A681" t="str">
            <v>6225245010</v>
          </cell>
          <cell r="B681">
            <v>62252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</row>
        <row r="682">
          <cell r="A682" t="str">
            <v>6225245046</v>
          </cell>
          <cell r="B682">
            <v>62252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</row>
        <row r="683">
          <cell r="A683" t="str">
            <v>6225245070</v>
          </cell>
          <cell r="B683">
            <v>62252</v>
          </cell>
          <cell r="C683">
            <v>45070</v>
          </cell>
          <cell r="D683" t="str">
            <v>Other Income</v>
          </cell>
          <cell r="E683">
            <v>0.79</v>
          </cell>
          <cell r="F683">
            <v>0</v>
          </cell>
          <cell r="G683">
            <v>0.79</v>
          </cell>
          <cell r="H683">
            <v>0</v>
          </cell>
          <cell r="I683">
            <v>0</v>
          </cell>
          <cell r="J683">
            <v>0.79</v>
          </cell>
          <cell r="K683">
            <v>0</v>
          </cell>
          <cell r="L683">
            <v>0</v>
          </cell>
          <cell r="M683">
            <v>0.79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</row>
        <row r="684">
          <cell r="A684" t="str">
            <v>6225241060</v>
          </cell>
          <cell r="B684">
            <v>62252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</row>
        <row r="685">
          <cell r="A685" t="str">
            <v>6225244870</v>
          </cell>
          <cell r="B685">
            <v>62252</v>
          </cell>
          <cell r="C685">
            <v>44870</v>
          </cell>
          <cell r="D685" t="str">
            <v>Late Fees</v>
          </cell>
          <cell r="E685">
            <v>-7755.43</v>
          </cell>
          <cell r="F685">
            <v>0</v>
          </cell>
          <cell r="G685">
            <v>-7755.43</v>
          </cell>
          <cell r="H685">
            <v>0</v>
          </cell>
          <cell r="I685">
            <v>-2454.23</v>
          </cell>
          <cell r="J685">
            <v>-5301.2</v>
          </cell>
          <cell r="K685">
            <v>2.16</v>
          </cell>
          <cell r="L685">
            <v>-175.02</v>
          </cell>
          <cell r="M685">
            <v>-7580.41</v>
          </cell>
          <cell r="N685">
            <v>43.311700000000002</v>
          </cell>
          <cell r="O685">
            <v>0</v>
          </cell>
          <cell r="P685">
            <v>-3954.23</v>
          </cell>
          <cell r="Q685">
            <v>-5446.78</v>
          </cell>
        </row>
        <row r="686">
          <cell r="A686" t="str">
            <v>6225252542</v>
          </cell>
          <cell r="B686">
            <v>62252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</row>
        <row r="687">
          <cell r="A687" t="str">
            <v>6225272710</v>
          </cell>
          <cell r="B687">
            <v>62252</v>
          </cell>
          <cell r="C687">
            <v>72710</v>
          </cell>
          <cell r="D687" t="str">
            <v>Utilities - Electricity</v>
          </cell>
          <cell r="E687">
            <v>7813.37</v>
          </cell>
          <cell r="F687">
            <v>8176</v>
          </cell>
          <cell r="G687">
            <v>-362.63</v>
          </cell>
          <cell r="H687">
            <v>-4.4400000000000002E-2</v>
          </cell>
          <cell r="I687">
            <v>6856.24</v>
          </cell>
          <cell r="J687">
            <v>957.13</v>
          </cell>
          <cell r="K687">
            <v>0.1396</v>
          </cell>
          <cell r="L687">
            <v>6863.56</v>
          </cell>
          <cell r="M687">
            <v>949.80999999999904</v>
          </cell>
          <cell r="N687">
            <v>0.1384</v>
          </cell>
          <cell r="O687">
            <v>12264</v>
          </cell>
          <cell r="P687">
            <v>10944.24</v>
          </cell>
          <cell r="Q687">
            <v>9703.7999999999993</v>
          </cell>
        </row>
        <row r="688">
          <cell r="A688" t="str">
            <v>6225272740</v>
          </cell>
          <cell r="B688">
            <v>62252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</row>
        <row r="689">
          <cell r="A689" t="str">
            <v>6225272770</v>
          </cell>
          <cell r="B689">
            <v>62252</v>
          </cell>
          <cell r="C689">
            <v>72770</v>
          </cell>
          <cell r="D689" t="str">
            <v>Utilities - Water</v>
          </cell>
          <cell r="E689">
            <v>8168.74</v>
          </cell>
          <cell r="F689">
            <v>3800</v>
          </cell>
          <cell r="G689">
            <v>4368.74</v>
          </cell>
          <cell r="H689">
            <v>1.1496999999999999</v>
          </cell>
          <cell r="I689">
            <v>10314.66</v>
          </cell>
          <cell r="J689">
            <v>-2145.92</v>
          </cell>
          <cell r="K689">
            <v>-0.20799999999999999</v>
          </cell>
          <cell r="L689">
            <v>4541.08</v>
          </cell>
          <cell r="M689">
            <v>3627.66</v>
          </cell>
          <cell r="N689">
            <v>0.79890000000000005</v>
          </cell>
          <cell r="O689">
            <v>5700</v>
          </cell>
          <cell r="P689">
            <v>15814.66</v>
          </cell>
          <cell r="Q689">
            <v>6810.09</v>
          </cell>
        </row>
        <row r="690">
          <cell r="A690" t="str">
            <v>6225276000</v>
          </cell>
          <cell r="B690">
            <v>62252</v>
          </cell>
          <cell r="C690">
            <v>76000</v>
          </cell>
          <cell r="D690" t="str">
            <v>Bldg Maintenance &amp; Repair</v>
          </cell>
          <cell r="E690">
            <v>17402.93</v>
          </cell>
          <cell r="F690">
            <v>37318.639999999999</v>
          </cell>
          <cell r="G690">
            <v>-19915.71</v>
          </cell>
          <cell r="H690">
            <v>-0.53369999999999995</v>
          </cell>
          <cell r="I690">
            <v>29429.29</v>
          </cell>
          <cell r="J690">
            <v>-12026.36</v>
          </cell>
          <cell r="K690">
            <v>-0.40870000000000001</v>
          </cell>
          <cell r="L690">
            <v>47967.19</v>
          </cell>
          <cell r="M690">
            <v>-30564.26</v>
          </cell>
          <cell r="N690">
            <v>-0.63719999999999999</v>
          </cell>
          <cell r="O690">
            <v>58536</v>
          </cell>
          <cell r="P690">
            <v>51078.29</v>
          </cell>
          <cell r="Q690">
            <v>45276.51</v>
          </cell>
        </row>
        <row r="691">
          <cell r="A691" t="str">
            <v>6225276020</v>
          </cell>
          <cell r="B691">
            <v>62252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</row>
        <row r="692">
          <cell r="A692" t="str">
            <v>6225276034</v>
          </cell>
          <cell r="B692">
            <v>62252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</row>
        <row r="693">
          <cell r="A693" t="str">
            <v>6225276050</v>
          </cell>
          <cell r="B693">
            <v>62252</v>
          </cell>
          <cell r="C693">
            <v>76050</v>
          </cell>
          <cell r="D693" t="str">
            <v>Cleaning Expense</v>
          </cell>
          <cell r="E693">
            <v>11319.79</v>
          </cell>
          <cell r="F693">
            <v>11218.64</v>
          </cell>
          <cell r="G693">
            <v>101.150000000001</v>
          </cell>
          <cell r="H693">
            <v>8.9999999999999993E-3</v>
          </cell>
          <cell r="I693">
            <v>12148.82</v>
          </cell>
          <cell r="J693">
            <v>-829.02999999999895</v>
          </cell>
          <cell r="K693">
            <v>-6.8199999999999997E-2</v>
          </cell>
          <cell r="L693">
            <v>10572.18</v>
          </cell>
          <cell r="M693">
            <v>747.61000000000104</v>
          </cell>
          <cell r="N693">
            <v>7.0699999999999999E-2</v>
          </cell>
          <cell r="O693">
            <v>16828</v>
          </cell>
          <cell r="P693">
            <v>17758.18</v>
          </cell>
          <cell r="Q693">
            <v>15924.84</v>
          </cell>
        </row>
        <row r="694">
          <cell r="A694" t="str">
            <v>6225276056</v>
          </cell>
          <cell r="B694">
            <v>62252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</row>
        <row r="695">
          <cell r="A695" t="str">
            <v>6225276070</v>
          </cell>
          <cell r="B695">
            <v>62252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</row>
        <row r="696">
          <cell r="A696" t="str">
            <v>6225276091</v>
          </cell>
          <cell r="B696">
            <v>62252</v>
          </cell>
          <cell r="C696">
            <v>76091</v>
          </cell>
          <cell r="D696" t="str">
            <v>Parking Maintenance</v>
          </cell>
          <cell r="E696">
            <v>10660.8</v>
          </cell>
          <cell r="F696">
            <v>9272</v>
          </cell>
          <cell r="G696">
            <v>1388.8</v>
          </cell>
          <cell r="H696">
            <v>0.14979999999999999</v>
          </cell>
          <cell r="I696">
            <v>10238.799999999999</v>
          </cell>
          <cell r="J696">
            <v>422</v>
          </cell>
          <cell r="K696">
            <v>4.1200000000000001E-2</v>
          </cell>
          <cell r="L696">
            <v>16163.23</v>
          </cell>
          <cell r="M696">
            <v>-5502.43</v>
          </cell>
          <cell r="N696">
            <v>-0.34039999999999998</v>
          </cell>
          <cell r="O696">
            <v>16908</v>
          </cell>
          <cell r="P696">
            <v>18274.8</v>
          </cell>
          <cell r="Q696">
            <v>81934.97</v>
          </cell>
        </row>
        <row r="697">
          <cell r="A697" t="str">
            <v>6225277000</v>
          </cell>
          <cell r="B697">
            <v>62252</v>
          </cell>
          <cell r="C697">
            <v>77000</v>
          </cell>
          <cell r="D697" t="str">
            <v>Grounds Maintenance</v>
          </cell>
          <cell r="E697">
            <v>16164.78</v>
          </cell>
          <cell r="F697">
            <v>21702</v>
          </cell>
          <cell r="G697">
            <v>-5537.22</v>
          </cell>
          <cell r="H697">
            <v>-0.25509999999999999</v>
          </cell>
          <cell r="I697">
            <v>15223.89</v>
          </cell>
          <cell r="J697">
            <v>940.89000000000101</v>
          </cell>
          <cell r="K697">
            <v>6.1800000000000001E-2</v>
          </cell>
          <cell r="L697">
            <v>10336.93</v>
          </cell>
          <cell r="M697">
            <v>5827.85</v>
          </cell>
          <cell r="N697">
            <v>0.56379999999999997</v>
          </cell>
          <cell r="O697">
            <v>23491</v>
          </cell>
          <cell r="P697">
            <v>22774.37</v>
          </cell>
          <cell r="Q697">
            <v>13265.12</v>
          </cell>
        </row>
        <row r="698">
          <cell r="A698" t="str">
            <v>6225277053</v>
          </cell>
          <cell r="B698">
            <v>62252</v>
          </cell>
          <cell r="C698">
            <v>77053</v>
          </cell>
          <cell r="D698" t="str">
            <v>Landscaping</v>
          </cell>
          <cell r="E698">
            <v>20869.099999999999</v>
          </cell>
          <cell r="F698">
            <v>34630</v>
          </cell>
          <cell r="G698">
            <v>-13760.9</v>
          </cell>
          <cell r="H698">
            <v>-0.39739999999999998</v>
          </cell>
          <cell r="I698">
            <v>22583.78</v>
          </cell>
          <cell r="J698">
            <v>-1714.68</v>
          </cell>
          <cell r="K698">
            <v>-7.5899999999999995E-2</v>
          </cell>
          <cell r="L698">
            <v>29049.56</v>
          </cell>
          <cell r="M698">
            <v>-8180.46</v>
          </cell>
          <cell r="N698">
            <v>-0.28160000000000002</v>
          </cell>
          <cell r="O698">
            <v>51405</v>
          </cell>
          <cell r="P698">
            <v>39783.78</v>
          </cell>
          <cell r="Q698">
            <v>70158.97</v>
          </cell>
        </row>
        <row r="699">
          <cell r="A699" t="str">
            <v>6225278020</v>
          </cell>
          <cell r="B699">
            <v>62252</v>
          </cell>
          <cell r="C699">
            <v>78020</v>
          </cell>
          <cell r="D699" t="str">
            <v>Amortized CAM Exp</v>
          </cell>
          <cell r="E699">
            <v>15628.32</v>
          </cell>
          <cell r="F699">
            <v>26666.639999999999</v>
          </cell>
          <cell r="G699">
            <v>-11038.32</v>
          </cell>
          <cell r="H699">
            <v>-0.41389999999999999</v>
          </cell>
          <cell r="I699">
            <v>15628.53</v>
          </cell>
          <cell r="J699">
            <v>-0.21000000000094601</v>
          </cell>
          <cell r="K699">
            <v>0</v>
          </cell>
          <cell r="L699">
            <v>-9776</v>
          </cell>
          <cell r="M699">
            <v>25404.32</v>
          </cell>
          <cell r="N699">
            <v>-2.5985999999999998</v>
          </cell>
          <cell r="O699">
            <v>40000</v>
          </cell>
          <cell r="P699">
            <v>23442.93</v>
          </cell>
          <cell r="Q699">
            <v>1442.5</v>
          </cell>
        </row>
        <row r="700">
          <cell r="A700" t="str">
            <v>6225284264</v>
          </cell>
          <cell r="B700">
            <v>62252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</row>
        <row r="701">
          <cell r="A701" t="str">
            <v>6225285555</v>
          </cell>
          <cell r="B701">
            <v>62252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</row>
        <row r="702">
          <cell r="A702" t="str">
            <v>6225285584</v>
          </cell>
          <cell r="B702">
            <v>62252</v>
          </cell>
          <cell r="C702">
            <v>85584</v>
          </cell>
          <cell r="D702" t="str">
            <v>Bldg Admin-Office Costs</v>
          </cell>
          <cell r="E702">
            <v>3251.39</v>
          </cell>
          <cell r="F702">
            <v>3096</v>
          </cell>
          <cell r="G702">
            <v>155.38999999999999</v>
          </cell>
          <cell r="H702">
            <v>5.0200000000000002E-2</v>
          </cell>
          <cell r="I702">
            <v>3188.73</v>
          </cell>
          <cell r="J702">
            <v>62.659999999999897</v>
          </cell>
          <cell r="K702">
            <v>1.9699999999999999E-2</v>
          </cell>
          <cell r="L702">
            <v>3066.52</v>
          </cell>
          <cell r="M702">
            <v>184.87</v>
          </cell>
          <cell r="N702">
            <v>6.0299999999999999E-2</v>
          </cell>
          <cell r="O702">
            <v>4644</v>
          </cell>
          <cell r="P702">
            <v>4712.76</v>
          </cell>
          <cell r="Q702">
            <v>4820.3999999999996</v>
          </cell>
        </row>
        <row r="703">
          <cell r="A703" t="str">
            <v>6225285582</v>
          </cell>
          <cell r="B703">
            <v>62252</v>
          </cell>
          <cell r="C703">
            <v>85582</v>
          </cell>
          <cell r="D703" t="str">
            <v>Bldg Admin-Salaries</v>
          </cell>
          <cell r="E703">
            <v>21033.1</v>
          </cell>
          <cell r="F703">
            <v>20863.36</v>
          </cell>
          <cell r="G703">
            <v>169.73999999999799</v>
          </cell>
          <cell r="H703">
            <v>8.0999999999999996E-3</v>
          </cell>
          <cell r="I703">
            <v>21297.73</v>
          </cell>
          <cell r="J703">
            <v>-264.63000000000102</v>
          </cell>
          <cell r="K703">
            <v>-1.24E-2</v>
          </cell>
          <cell r="L703">
            <v>18199.990000000002</v>
          </cell>
          <cell r="M703">
            <v>2833.11</v>
          </cell>
          <cell r="N703">
            <v>0.15570000000000001</v>
          </cell>
          <cell r="O703">
            <v>31295</v>
          </cell>
          <cell r="P703">
            <v>32771.339999999997</v>
          </cell>
          <cell r="Q703">
            <v>29610.71</v>
          </cell>
        </row>
        <row r="704">
          <cell r="A704" t="str">
            <v>6225286564</v>
          </cell>
          <cell r="B704">
            <v>62252</v>
          </cell>
          <cell r="C704">
            <v>86564</v>
          </cell>
          <cell r="D704" t="str">
            <v>Insurance</v>
          </cell>
          <cell r="E704">
            <v>15935.17</v>
          </cell>
          <cell r="F704">
            <v>17952.64</v>
          </cell>
          <cell r="G704">
            <v>-2017.47</v>
          </cell>
          <cell r="H704">
            <v>-0.1124</v>
          </cell>
          <cell r="I704">
            <v>15535.68</v>
          </cell>
          <cell r="J704">
            <v>399.49</v>
          </cell>
          <cell r="K704">
            <v>2.5700000000000001E-2</v>
          </cell>
          <cell r="L704">
            <v>15608</v>
          </cell>
          <cell r="M704">
            <v>327.17</v>
          </cell>
          <cell r="N704">
            <v>2.1000000000000001E-2</v>
          </cell>
          <cell r="O704">
            <v>26929</v>
          </cell>
          <cell r="P704">
            <v>22969.32</v>
          </cell>
          <cell r="Q704">
            <v>23416</v>
          </cell>
        </row>
        <row r="705">
          <cell r="A705" t="str">
            <v>6225288846</v>
          </cell>
          <cell r="B705">
            <v>62252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1156</v>
          </cell>
          <cell r="Q705">
            <v>0</v>
          </cell>
        </row>
        <row r="706">
          <cell r="A706" t="str">
            <v>6225288890</v>
          </cell>
          <cell r="B706">
            <v>62252</v>
          </cell>
          <cell r="C706">
            <v>88890</v>
          </cell>
          <cell r="D706" t="str">
            <v>Security/Safety</v>
          </cell>
          <cell r="E706">
            <v>4261.09</v>
          </cell>
          <cell r="F706">
            <v>3200</v>
          </cell>
          <cell r="G706">
            <v>1061.0899999999999</v>
          </cell>
          <cell r="H706">
            <v>0.33160000000000001</v>
          </cell>
          <cell r="I706">
            <v>4193.59</v>
          </cell>
          <cell r="J706">
            <v>67.5</v>
          </cell>
          <cell r="K706">
            <v>1.61E-2</v>
          </cell>
          <cell r="L706">
            <v>2364.7399999999998</v>
          </cell>
          <cell r="M706">
            <v>1896.35</v>
          </cell>
          <cell r="N706">
            <v>0.80189999999999995</v>
          </cell>
          <cell r="O706">
            <v>4800</v>
          </cell>
          <cell r="P706">
            <v>5793.59</v>
          </cell>
          <cell r="Q706">
            <v>5478.6</v>
          </cell>
        </row>
        <row r="707">
          <cell r="A707" t="str">
            <v>6225289775</v>
          </cell>
          <cell r="B707">
            <v>62252</v>
          </cell>
          <cell r="C707">
            <v>89775</v>
          </cell>
          <cell r="D707" t="str">
            <v>Assmt Dist Taxes- Reimb</v>
          </cell>
          <cell r="E707">
            <v>46315.35</v>
          </cell>
          <cell r="F707">
            <v>40800</v>
          </cell>
          <cell r="G707">
            <v>5515.35</v>
          </cell>
          <cell r="H707">
            <v>0.13519999999999999</v>
          </cell>
          <cell r="I707">
            <v>47349.48</v>
          </cell>
          <cell r="J707">
            <v>-1034.1300000000001</v>
          </cell>
          <cell r="K707">
            <v>-2.18E-2</v>
          </cell>
          <cell r="L707">
            <v>0</v>
          </cell>
          <cell r="M707">
            <v>46315.35</v>
          </cell>
          <cell r="N707">
            <v>0</v>
          </cell>
          <cell r="O707">
            <v>61200</v>
          </cell>
          <cell r="P707">
            <v>71885.960000000006</v>
          </cell>
          <cell r="Q707">
            <v>19008.689999999999</v>
          </cell>
        </row>
        <row r="708">
          <cell r="A708" t="str">
            <v>6225289729</v>
          </cell>
          <cell r="B708">
            <v>62252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</row>
        <row r="709">
          <cell r="A709" t="str">
            <v>6225289786</v>
          </cell>
          <cell r="B709">
            <v>62252</v>
          </cell>
          <cell r="C709">
            <v>89786</v>
          </cell>
          <cell r="D709" t="str">
            <v>Property Tax Exp</v>
          </cell>
          <cell r="E709">
            <v>52556.65</v>
          </cell>
          <cell r="F709">
            <v>52246</v>
          </cell>
          <cell r="G709">
            <v>310.650000000001</v>
          </cell>
          <cell r="H709">
            <v>5.8999999999999999E-3</v>
          </cell>
          <cell r="I709">
            <v>52614.94</v>
          </cell>
          <cell r="J709">
            <v>-58.290000000000902</v>
          </cell>
          <cell r="K709">
            <v>-1.1000000000000001E-3</v>
          </cell>
          <cell r="L709">
            <v>51249.36</v>
          </cell>
          <cell r="M709">
            <v>1307.29</v>
          </cell>
          <cell r="N709">
            <v>2.5499999999999998E-2</v>
          </cell>
          <cell r="O709">
            <v>78369</v>
          </cell>
          <cell r="P709">
            <v>78970.899999999994</v>
          </cell>
          <cell r="Q709">
            <v>-44536.3</v>
          </cell>
        </row>
        <row r="710">
          <cell r="A710" t="str">
            <v>6225271040</v>
          </cell>
          <cell r="B710">
            <v>62252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</row>
        <row r="711">
          <cell r="A711" t="str">
            <v>6225272701</v>
          </cell>
          <cell r="B711">
            <v>62252</v>
          </cell>
          <cell r="C711">
            <v>72701</v>
          </cell>
          <cell r="D711" t="str">
            <v>Utilities</v>
          </cell>
          <cell r="E711">
            <v>81.12</v>
          </cell>
          <cell r="F711">
            <v>0</v>
          </cell>
          <cell r="G711">
            <v>81.12</v>
          </cell>
          <cell r="H711">
            <v>0</v>
          </cell>
          <cell r="I711">
            <v>0</v>
          </cell>
          <cell r="J711">
            <v>81.12</v>
          </cell>
          <cell r="K711">
            <v>0</v>
          </cell>
          <cell r="L711">
            <v>0</v>
          </cell>
          <cell r="M711">
            <v>81.12</v>
          </cell>
          <cell r="N711">
            <v>0</v>
          </cell>
          <cell r="O711">
            <v>0</v>
          </cell>
          <cell r="P711">
            <v>0</v>
          </cell>
          <cell r="Q711">
            <v>-25.62</v>
          </cell>
        </row>
        <row r="712">
          <cell r="A712" t="str">
            <v>6225272855</v>
          </cell>
          <cell r="B712">
            <v>62252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</row>
        <row r="713">
          <cell r="A713" t="str">
            <v>6225272870</v>
          </cell>
          <cell r="B713">
            <v>62252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</row>
        <row r="714">
          <cell r="A714" t="str">
            <v>6225276010</v>
          </cell>
          <cell r="B714">
            <v>62252</v>
          </cell>
          <cell r="C714">
            <v>76010</v>
          </cell>
          <cell r="D714" t="str">
            <v>Tenant Alterations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246.2</v>
          </cell>
          <cell r="M714">
            <v>-246.2</v>
          </cell>
          <cell r="N714">
            <v>0</v>
          </cell>
          <cell r="O714">
            <v>0</v>
          </cell>
          <cell r="P714">
            <v>0</v>
          </cell>
          <cell r="Q714">
            <v>293.95999999999998</v>
          </cell>
        </row>
        <row r="715">
          <cell r="A715" t="str">
            <v>6225276040</v>
          </cell>
          <cell r="B715">
            <v>62252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</row>
        <row r="716">
          <cell r="A716" t="str">
            <v>6225276051</v>
          </cell>
          <cell r="B716">
            <v>62252</v>
          </cell>
          <cell r="C716">
            <v>76051</v>
          </cell>
          <cell r="D716" t="str">
            <v>Cleaning</v>
          </cell>
          <cell r="E716">
            <v>233.16</v>
          </cell>
          <cell r="F716">
            <v>0</v>
          </cell>
          <cell r="G716">
            <v>233.16</v>
          </cell>
          <cell r="H716">
            <v>0</v>
          </cell>
          <cell r="I716">
            <v>0</v>
          </cell>
          <cell r="J716">
            <v>233.16</v>
          </cell>
          <cell r="K716">
            <v>0</v>
          </cell>
          <cell r="L716">
            <v>0</v>
          </cell>
          <cell r="M716">
            <v>233.16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</row>
        <row r="717">
          <cell r="A717" t="str">
            <v>6225276054</v>
          </cell>
          <cell r="B717">
            <v>62252</v>
          </cell>
          <cell r="C717">
            <v>76054</v>
          </cell>
          <cell r="D717" t="str">
            <v>Bldg Maintenance &amp; Repair</v>
          </cell>
          <cell r="E717">
            <v>0</v>
          </cell>
          <cell r="F717">
            <v>51300</v>
          </cell>
          <cell r="G717">
            <v>-51300</v>
          </cell>
          <cell r="H717">
            <v>0</v>
          </cell>
          <cell r="I717">
            <v>53563</v>
          </cell>
          <cell r="J717">
            <v>-53563</v>
          </cell>
          <cell r="K717">
            <v>0</v>
          </cell>
          <cell r="L717">
            <v>1504.71</v>
          </cell>
          <cell r="M717">
            <v>-1504.71</v>
          </cell>
          <cell r="N717">
            <v>0</v>
          </cell>
          <cell r="O717">
            <v>51600</v>
          </cell>
          <cell r="P717">
            <v>53863</v>
          </cell>
          <cell r="Q717">
            <v>1622.85</v>
          </cell>
        </row>
        <row r="718">
          <cell r="A718" t="str">
            <v>6225276060</v>
          </cell>
          <cell r="B718">
            <v>62252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</row>
        <row r="719">
          <cell r="A719" t="str">
            <v>6225276071</v>
          </cell>
          <cell r="B719">
            <v>62252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</row>
        <row r="720">
          <cell r="A720" t="str">
            <v>6225276090</v>
          </cell>
          <cell r="B720">
            <v>62252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</row>
        <row r="721">
          <cell r="A721" t="str">
            <v>6225277001</v>
          </cell>
          <cell r="B721">
            <v>62252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</row>
        <row r="722">
          <cell r="A722" t="str">
            <v>6225277022</v>
          </cell>
          <cell r="B722">
            <v>62252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</row>
        <row r="723">
          <cell r="A723" t="str">
            <v>6225284200</v>
          </cell>
          <cell r="B723">
            <v>62252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</row>
        <row r="724">
          <cell r="A724" t="str">
            <v>6225284240</v>
          </cell>
          <cell r="B724">
            <v>62252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2433.7399999999998</v>
          </cell>
          <cell r="M724">
            <v>-2433.7399999999998</v>
          </cell>
          <cell r="N724">
            <v>0</v>
          </cell>
          <cell r="O724">
            <v>0</v>
          </cell>
          <cell r="P724">
            <v>0</v>
          </cell>
          <cell r="Q724">
            <v>3832.03</v>
          </cell>
        </row>
        <row r="725">
          <cell r="A725" t="str">
            <v>6225284242</v>
          </cell>
          <cell r="B725">
            <v>62252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</row>
        <row r="726">
          <cell r="A726" t="str">
            <v>6225284243</v>
          </cell>
          <cell r="B726">
            <v>62252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-6047.02</v>
          </cell>
        </row>
        <row r="727">
          <cell r="A727" t="str">
            <v>6225284244</v>
          </cell>
          <cell r="B727">
            <v>62252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</row>
        <row r="728">
          <cell r="A728" t="str">
            <v>6225284265</v>
          </cell>
          <cell r="B728">
            <v>62252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</row>
        <row r="729">
          <cell r="A729" t="str">
            <v>6225288037</v>
          </cell>
          <cell r="B729">
            <v>62252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</row>
        <row r="730">
          <cell r="A730" t="str">
            <v>6225285016</v>
          </cell>
          <cell r="B730">
            <v>62252</v>
          </cell>
          <cell r="C730">
            <v>85016</v>
          </cell>
          <cell r="D730" t="str">
            <v>Prof Svc-Attorney Outside</v>
          </cell>
          <cell r="E730">
            <v>1459.91</v>
          </cell>
          <cell r="F730">
            <v>1500</v>
          </cell>
          <cell r="G730">
            <v>-40.089999999999897</v>
          </cell>
          <cell r="H730">
            <v>-2.6700000000000002E-2</v>
          </cell>
          <cell r="I730">
            <v>3174.82</v>
          </cell>
          <cell r="J730">
            <v>-1714.91</v>
          </cell>
          <cell r="K730">
            <v>-0.54020000000000001</v>
          </cell>
          <cell r="L730">
            <v>1191.96</v>
          </cell>
          <cell r="M730">
            <v>267.95</v>
          </cell>
          <cell r="N730">
            <v>0.2248</v>
          </cell>
          <cell r="O730">
            <v>2000</v>
          </cell>
          <cell r="P730">
            <v>4174.82</v>
          </cell>
          <cell r="Q730">
            <v>1429.96</v>
          </cell>
        </row>
        <row r="731">
          <cell r="A731" t="str">
            <v>6225285022</v>
          </cell>
          <cell r="B731">
            <v>62252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1500</v>
          </cell>
          <cell r="G731">
            <v>-1500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1500</v>
          </cell>
          <cell r="P731">
            <v>0</v>
          </cell>
          <cell r="Q731">
            <v>0</v>
          </cell>
        </row>
        <row r="732">
          <cell r="A732" t="str">
            <v>6225285065</v>
          </cell>
          <cell r="B732">
            <v>62252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</row>
        <row r="733">
          <cell r="A733" t="str">
            <v>6225285500</v>
          </cell>
          <cell r="B733">
            <v>62252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</row>
        <row r="734">
          <cell r="A734" t="str">
            <v>6225285566</v>
          </cell>
          <cell r="B734">
            <v>62252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</row>
        <row r="735">
          <cell r="A735" t="str">
            <v>6225285581</v>
          </cell>
          <cell r="B735">
            <v>62252</v>
          </cell>
          <cell r="C735">
            <v>85581</v>
          </cell>
          <cell r="D735" t="str">
            <v>Bldg Admin- Salaries</v>
          </cell>
          <cell r="E735">
            <v>11915.12</v>
          </cell>
          <cell r="F735">
            <v>12468</v>
          </cell>
          <cell r="G735">
            <v>-552.87999999999897</v>
          </cell>
          <cell r="H735">
            <v>-4.4299999999999999E-2</v>
          </cell>
          <cell r="I735">
            <v>12103.84</v>
          </cell>
          <cell r="J735">
            <v>-188.719999999999</v>
          </cell>
          <cell r="K735">
            <v>-1.5599999999999999E-2</v>
          </cell>
          <cell r="L735">
            <v>10976.7</v>
          </cell>
          <cell r="M735">
            <v>938.42</v>
          </cell>
          <cell r="N735">
            <v>8.5500000000000007E-2</v>
          </cell>
          <cell r="O735">
            <v>18700</v>
          </cell>
          <cell r="P735">
            <v>18929.400000000001</v>
          </cell>
          <cell r="Q735">
            <v>17281.97</v>
          </cell>
        </row>
        <row r="736">
          <cell r="A736" t="str">
            <v>6225285583</v>
          </cell>
          <cell r="B736">
            <v>62252</v>
          </cell>
          <cell r="C736">
            <v>85583</v>
          </cell>
          <cell r="D736" t="str">
            <v>Bldg Admin-Office Exp.</v>
          </cell>
          <cell r="E736">
            <v>1972.64</v>
          </cell>
          <cell r="F736">
            <v>1908.64</v>
          </cell>
          <cell r="G736">
            <v>64</v>
          </cell>
          <cell r="H736">
            <v>3.3500000000000002E-2</v>
          </cell>
          <cell r="I736">
            <v>1953.66</v>
          </cell>
          <cell r="J736">
            <v>18.98</v>
          </cell>
          <cell r="K736">
            <v>9.7000000000000003E-3</v>
          </cell>
          <cell r="L736">
            <v>1849.11</v>
          </cell>
          <cell r="M736">
            <v>123.53</v>
          </cell>
          <cell r="N736">
            <v>6.6799999999999998E-2</v>
          </cell>
          <cell r="O736">
            <v>2883</v>
          </cell>
          <cell r="P736">
            <v>2868.21</v>
          </cell>
          <cell r="Q736">
            <v>2815.68</v>
          </cell>
        </row>
        <row r="737">
          <cell r="A737" t="str">
            <v>6225285530</v>
          </cell>
          <cell r="B737">
            <v>62252</v>
          </cell>
          <cell r="C737">
            <v>85530</v>
          </cell>
          <cell r="D737" t="str">
            <v>Bldg Admin - Office Exp</v>
          </cell>
          <cell r="E737">
            <v>1972.64</v>
          </cell>
          <cell r="F737">
            <v>1908.64</v>
          </cell>
          <cell r="G737">
            <v>64</v>
          </cell>
          <cell r="H737">
            <v>3.3500000000000002E-2</v>
          </cell>
          <cell r="I737">
            <v>1953.66</v>
          </cell>
          <cell r="J737">
            <v>18.98</v>
          </cell>
          <cell r="K737">
            <v>9.7000000000000003E-3</v>
          </cell>
          <cell r="L737">
            <v>1849.11</v>
          </cell>
          <cell r="M737">
            <v>123.53</v>
          </cell>
          <cell r="N737">
            <v>6.6799999999999998E-2</v>
          </cell>
          <cell r="O737">
            <v>2883</v>
          </cell>
          <cell r="P737">
            <v>2868.21</v>
          </cell>
          <cell r="Q737">
            <v>2815.68</v>
          </cell>
        </row>
        <row r="738">
          <cell r="A738" t="str">
            <v>6225286012</v>
          </cell>
          <cell r="B738">
            <v>62252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</row>
        <row r="739">
          <cell r="A739" t="str">
            <v>6225286037</v>
          </cell>
          <cell r="B739">
            <v>62252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</row>
        <row r="740">
          <cell r="A740" t="str">
            <v>6225283050</v>
          </cell>
          <cell r="B740">
            <v>62252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</row>
        <row r="741">
          <cell r="A741" t="str">
            <v>6225286510</v>
          </cell>
          <cell r="B741">
            <v>62252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</row>
        <row r="742">
          <cell r="A742" t="str">
            <v>6225286537</v>
          </cell>
          <cell r="B742">
            <v>62252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</row>
        <row r="743">
          <cell r="A743" t="str">
            <v>6225286566</v>
          </cell>
          <cell r="B743">
            <v>62252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</row>
        <row r="744">
          <cell r="A744" t="str">
            <v>6225286955</v>
          </cell>
          <cell r="B744">
            <v>62252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</row>
        <row r="745">
          <cell r="A745" t="str">
            <v>6225286985</v>
          </cell>
          <cell r="B745">
            <v>62252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323</v>
          </cell>
          <cell r="Q745">
            <v>0</v>
          </cell>
        </row>
        <row r="746">
          <cell r="A746" t="str">
            <v>6225286880</v>
          </cell>
          <cell r="B746">
            <v>62252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</row>
        <row r="747">
          <cell r="A747" t="str">
            <v>6225288710</v>
          </cell>
          <cell r="B747">
            <v>62252</v>
          </cell>
          <cell r="C747">
            <v>88710</v>
          </cell>
          <cell r="D747" t="str">
            <v>Losses-Bad Debts</v>
          </cell>
          <cell r="E747">
            <v>11163.4</v>
          </cell>
          <cell r="F747">
            <v>0</v>
          </cell>
          <cell r="G747">
            <v>11163.4</v>
          </cell>
          <cell r="H747">
            <v>0</v>
          </cell>
          <cell r="I747">
            <v>0</v>
          </cell>
          <cell r="J747">
            <v>11163.4</v>
          </cell>
          <cell r="K747">
            <v>0</v>
          </cell>
          <cell r="L747">
            <v>23308.42</v>
          </cell>
          <cell r="M747">
            <v>-12145.02</v>
          </cell>
          <cell r="N747">
            <v>-0.52110000000000001</v>
          </cell>
          <cell r="O747">
            <v>0</v>
          </cell>
          <cell r="P747">
            <v>0</v>
          </cell>
          <cell r="Q747">
            <v>125.419999999998</v>
          </cell>
        </row>
        <row r="748">
          <cell r="A748" t="str">
            <v>6225288711</v>
          </cell>
          <cell r="B748">
            <v>62252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</row>
        <row r="749">
          <cell r="A749" t="str">
            <v>6225288785</v>
          </cell>
          <cell r="B749">
            <v>62252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</row>
        <row r="750">
          <cell r="A750" t="str">
            <v>6225288847</v>
          </cell>
          <cell r="B750">
            <v>62252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</row>
        <row r="751">
          <cell r="A751" t="str">
            <v>6225288866</v>
          </cell>
          <cell r="B751">
            <v>62252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</row>
        <row r="752">
          <cell r="A752" t="str">
            <v>6225288870</v>
          </cell>
          <cell r="B752">
            <v>62252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</row>
        <row r="753">
          <cell r="A753" t="str">
            <v>6225288889</v>
          </cell>
          <cell r="B753">
            <v>62252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</row>
        <row r="754">
          <cell r="A754" t="str">
            <v>6225289776</v>
          </cell>
          <cell r="B754">
            <v>62252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</row>
        <row r="755">
          <cell r="A755" t="str">
            <v>6225289787</v>
          </cell>
          <cell r="B755">
            <v>62252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A756" t="str">
            <v>6225289510</v>
          </cell>
          <cell r="B756">
            <v>62252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A757" t="str">
            <v>6225289511</v>
          </cell>
          <cell r="B757">
            <v>62252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</row>
        <row r="758">
          <cell r="A758" t="str">
            <v>6225289512</v>
          </cell>
          <cell r="B758">
            <v>62252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</row>
        <row r="759">
          <cell r="A759" t="str">
            <v>6225289528</v>
          </cell>
          <cell r="B759">
            <v>62252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</row>
        <row r="760">
          <cell r="A760" t="str">
            <v>6225289529</v>
          </cell>
          <cell r="B760">
            <v>62252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</row>
        <row r="761">
          <cell r="A761" t="str">
            <v>6225289567</v>
          </cell>
          <cell r="B761">
            <v>62252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</row>
        <row r="762">
          <cell r="A762" t="str">
            <v>6225285058</v>
          </cell>
          <cell r="B762">
            <v>62252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</row>
        <row r="763">
          <cell r="A763" t="str">
            <v>6225286513</v>
          </cell>
          <cell r="B763">
            <v>62252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1694.61</v>
          </cell>
          <cell r="G763">
            <v>-1694.61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2506.17</v>
          </cell>
          <cell r="P763">
            <v>0</v>
          </cell>
          <cell r="Q763">
            <v>0</v>
          </cell>
        </row>
        <row r="764">
          <cell r="A764" t="str">
            <v>6225286519</v>
          </cell>
          <cell r="B764">
            <v>62252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</row>
        <row r="765">
          <cell r="A765" t="str">
            <v>6225288770</v>
          </cell>
          <cell r="B765">
            <v>62252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</row>
        <row r="766">
          <cell r="A766" t="str">
            <v>6225288862</v>
          </cell>
          <cell r="B766">
            <v>62252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</row>
        <row r="767">
          <cell r="A767" t="str">
            <v>6225288874</v>
          </cell>
          <cell r="B767">
            <v>62252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</row>
        <row r="768">
          <cell r="A768" t="str">
            <v>6225289910</v>
          </cell>
          <cell r="B768">
            <v>62252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183531.51999999999</v>
          </cell>
          <cell r="G768">
            <v>-183531.51999999999</v>
          </cell>
          <cell r="H768">
            <v>0</v>
          </cell>
          <cell r="I768">
            <v>152298.43</v>
          </cell>
          <cell r="J768">
            <v>-152298.43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273151.28999999998</v>
          </cell>
          <cell r="P768">
            <v>228060.31</v>
          </cell>
          <cell r="Q768">
            <v>0</v>
          </cell>
        </row>
        <row r="769">
          <cell r="A769" t="str">
            <v>6225289548</v>
          </cell>
          <cell r="B769">
            <v>62252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</row>
        <row r="770">
          <cell r="A770" t="str">
            <v>6227541010</v>
          </cell>
          <cell r="B770">
            <v>62275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</row>
        <row r="771">
          <cell r="A771" t="str">
            <v>6227541040</v>
          </cell>
          <cell r="B771">
            <v>62275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</row>
        <row r="772">
          <cell r="A772" t="str">
            <v>6227541050</v>
          </cell>
          <cell r="B772">
            <v>62275</v>
          </cell>
          <cell r="C772">
            <v>41050</v>
          </cell>
          <cell r="D772" t="str">
            <v>Rental Income - Fixed</v>
          </cell>
          <cell r="E772">
            <v>-264779.02</v>
          </cell>
          <cell r="F772">
            <v>-260061.58</v>
          </cell>
          <cell r="G772">
            <v>-4717.4400000000296</v>
          </cell>
          <cell r="H772">
            <v>1.8100000000000002E-2</v>
          </cell>
          <cell r="I772">
            <v>-263787.40999999997</v>
          </cell>
          <cell r="J772">
            <v>-991.61000000004401</v>
          </cell>
          <cell r="K772">
            <v>3.8E-3</v>
          </cell>
          <cell r="L772">
            <v>-271925.52</v>
          </cell>
          <cell r="M772">
            <v>7146.5</v>
          </cell>
          <cell r="N772">
            <v>-2.63E-2</v>
          </cell>
          <cell r="O772">
            <v>-408856.76</v>
          </cell>
          <cell r="P772">
            <v>-411318.05</v>
          </cell>
          <cell r="Q772">
            <v>-391321.74</v>
          </cell>
        </row>
        <row r="773">
          <cell r="A773" t="str">
            <v>6227541074</v>
          </cell>
          <cell r="B773">
            <v>62275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</row>
        <row r="774">
          <cell r="A774" t="str">
            <v>6227541082</v>
          </cell>
          <cell r="B774">
            <v>62275</v>
          </cell>
          <cell r="C774">
            <v>41082</v>
          </cell>
          <cell r="D774" t="str">
            <v>Rental Income - Operating Exp</v>
          </cell>
          <cell r="E774">
            <v>-56689.25</v>
          </cell>
          <cell r="F774">
            <v>-93011.6</v>
          </cell>
          <cell r="G774">
            <v>36322.35</v>
          </cell>
          <cell r="H774">
            <v>-0.39050000000000001</v>
          </cell>
          <cell r="I774">
            <v>-68595.070000000007</v>
          </cell>
          <cell r="J774">
            <v>11905.82</v>
          </cell>
          <cell r="K774">
            <v>-0.1736</v>
          </cell>
          <cell r="L774">
            <v>-91009.09</v>
          </cell>
          <cell r="M774">
            <v>34319.839999999997</v>
          </cell>
          <cell r="N774">
            <v>-0.37709999999999999</v>
          </cell>
          <cell r="O774">
            <v>-139517.4</v>
          </cell>
          <cell r="P774">
            <v>-115531.07</v>
          </cell>
          <cell r="Q774">
            <v>-107805.94</v>
          </cell>
        </row>
        <row r="775">
          <cell r="A775" t="str">
            <v>6227544610</v>
          </cell>
          <cell r="B775">
            <v>62275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</row>
        <row r="776">
          <cell r="A776" t="str">
            <v>6227545071</v>
          </cell>
          <cell r="B776">
            <v>62275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-45318.17</v>
          </cell>
          <cell r="M776">
            <v>45318.17</v>
          </cell>
          <cell r="N776">
            <v>0</v>
          </cell>
          <cell r="O776">
            <v>0</v>
          </cell>
          <cell r="P776">
            <v>0</v>
          </cell>
          <cell r="Q776">
            <v>-45318.17</v>
          </cell>
        </row>
        <row r="777">
          <cell r="A777" t="str">
            <v>6227545010</v>
          </cell>
          <cell r="B777">
            <v>62275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</row>
        <row r="778">
          <cell r="A778" t="str">
            <v>6227545046</v>
          </cell>
          <cell r="B778">
            <v>62275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</row>
        <row r="779">
          <cell r="A779" t="str">
            <v>6227545070</v>
          </cell>
          <cell r="B779">
            <v>62275</v>
          </cell>
          <cell r="C779">
            <v>45070</v>
          </cell>
          <cell r="D779" t="str">
            <v>Other Income</v>
          </cell>
          <cell r="E779">
            <v>-9999.9</v>
          </cell>
          <cell r="F779">
            <v>-57</v>
          </cell>
          <cell r="G779">
            <v>-9942.9</v>
          </cell>
          <cell r="H779">
            <v>174.43680000000001</v>
          </cell>
          <cell r="I779">
            <v>-10056.9</v>
          </cell>
          <cell r="J779">
            <v>57</v>
          </cell>
          <cell r="K779">
            <v>-5.7000000000000002E-3</v>
          </cell>
          <cell r="L779">
            <v>0</v>
          </cell>
          <cell r="M779">
            <v>-9999.9</v>
          </cell>
          <cell r="N779">
            <v>0</v>
          </cell>
          <cell r="O779">
            <v>-269</v>
          </cell>
          <cell r="P779">
            <v>-10268.9</v>
          </cell>
          <cell r="Q779">
            <v>-11250.86</v>
          </cell>
        </row>
        <row r="780">
          <cell r="A780" t="str">
            <v>6227541060</v>
          </cell>
          <cell r="B780">
            <v>62275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</row>
        <row r="781">
          <cell r="A781" t="str">
            <v>6227544870</v>
          </cell>
          <cell r="B781">
            <v>62275</v>
          </cell>
          <cell r="C781">
            <v>44870</v>
          </cell>
          <cell r="D781" t="str">
            <v>Late Fees</v>
          </cell>
          <cell r="E781">
            <v>-2263.89</v>
          </cell>
          <cell r="F781">
            <v>0</v>
          </cell>
          <cell r="G781">
            <v>-2263.89</v>
          </cell>
          <cell r="H781">
            <v>0</v>
          </cell>
          <cell r="I781">
            <v>-2263.89</v>
          </cell>
          <cell r="J781">
            <v>0</v>
          </cell>
          <cell r="K781">
            <v>0</v>
          </cell>
          <cell r="L781">
            <v>0</v>
          </cell>
          <cell r="M781">
            <v>-2263.89</v>
          </cell>
          <cell r="N781">
            <v>0</v>
          </cell>
          <cell r="O781">
            <v>0</v>
          </cell>
          <cell r="P781">
            <v>-2263.89</v>
          </cell>
          <cell r="Q781">
            <v>0</v>
          </cell>
        </row>
        <row r="782">
          <cell r="A782" t="str">
            <v>6227552542</v>
          </cell>
          <cell r="B782">
            <v>62275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</row>
        <row r="783">
          <cell r="A783" t="str">
            <v>6227572710</v>
          </cell>
          <cell r="B783">
            <v>62275</v>
          </cell>
          <cell r="C783">
            <v>72710</v>
          </cell>
          <cell r="D783" t="str">
            <v>Utilities - Electricity</v>
          </cell>
          <cell r="E783">
            <v>2248.9699999999998</v>
          </cell>
          <cell r="F783">
            <v>2960</v>
          </cell>
          <cell r="G783">
            <v>-711.03</v>
          </cell>
          <cell r="H783">
            <v>-0.2402</v>
          </cell>
          <cell r="I783">
            <v>1978.64</v>
          </cell>
          <cell r="J783">
            <v>270.33</v>
          </cell>
          <cell r="K783">
            <v>0.1366</v>
          </cell>
          <cell r="L783">
            <v>3258.62</v>
          </cell>
          <cell r="M783">
            <v>-1009.65</v>
          </cell>
          <cell r="N783">
            <v>-0.30980000000000002</v>
          </cell>
          <cell r="O783">
            <v>4440</v>
          </cell>
          <cell r="P783">
            <v>3218.64</v>
          </cell>
          <cell r="Q783">
            <v>4346.5200000000004</v>
          </cell>
        </row>
        <row r="784">
          <cell r="A784" t="str">
            <v>6227572740</v>
          </cell>
          <cell r="B784">
            <v>62275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</row>
        <row r="785">
          <cell r="A785" t="str">
            <v>6227572770</v>
          </cell>
          <cell r="B785">
            <v>62275</v>
          </cell>
          <cell r="C785">
            <v>72770</v>
          </cell>
          <cell r="D785" t="str">
            <v>Utilities - Water</v>
          </cell>
          <cell r="E785">
            <v>3144.61</v>
          </cell>
          <cell r="F785">
            <v>4400</v>
          </cell>
          <cell r="G785">
            <v>-1255.3900000000001</v>
          </cell>
          <cell r="H785">
            <v>-0.2853</v>
          </cell>
          <cell r="I785">
            <v>3757.23</v>
          </cell>
          <cell r="J785">
            <v>-612.62</v>
          </cell>
          <cell r="K785">
            <v>-0.16309999999999999</v>
          </cell>
          <cell r="L785">
            <v>4395.25</v>
          </cell>
          <cell r="M785">
            <v>-1250.6400000000001</v>
          </cell>
          <cell r="N785">
            <v>-0.28449999999999998</v>
          </cell>
          <cell r="O785">
            <v>6600</v>
          </cell>
          <cell r="P785">
            <v>5657.23</v>
          </cell>
          <cell r="Q785">
            <v>5706.24</v>
          </cell>
        </row>
        <row r="786">
          <cell r="A786" t="str">
            <v>6227576000</v>
          </cell>
          <cell r="B786">
            <v>62275</v>
          </cell>
          <cell r="C786">
            <v>76000</v>
          </cell>
          <cell r="D786" t="str">
            <v>Bldg Maintenance &amp; Repair</v>
          </cell>
          <cell r="E786">
            <v>10096.51</v>
          </cell>
          <cell r="F786">
            <v>15138</v>
          </cell>
          <cell r="G786">
            <v>-5041.49</v>
          </cell>
          <cell r="H786">
            <v>-0.33300000000000002</v>
          </cell>
          <cell r="I786">
            <v>18614.150000000001</v>
          </cell>
          <cell r="J786">
            <v>-8517.64</v>
          </cell>
          <cell r="K786">
            <v>-0.45760000000000001</v>
          </cell>
          <cell r="L786">
            <v>9820.25</v>
          </cell>
          <cell r="M786">
            <v>276.26</v>
          </cell>
          <cell r="N786">
            <v>2.81E-2</v>
          </cell>
          <cell r="O786">
            <v>24339</v>
          </cell>
          <cell r="P786">
            <v>28303.63</v>
          </cell>
          <cell r="Q786">
            <v>13028.24</v>
          </cell>
        </row>
        <row r="787">
          <cell r="A787" t="str">
            <v>6227576020</v>
          </cell>
          <cell r="B787">
            <v>62275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</row>
        <row r="788">
          <cell r="A788" t="str">
            <v>6227576034</v>
          </cell>
          <cell r="B788">
            <v>62275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</row>
        <row r="789">
          <cell r="A789" t="str">
            <v>6227576050</v>
          </cell>
          <cell r="B789">
            <v>62275</v>
          </cell>
          <cell r="C789">
            <v>76050</v>
          </cell>
          <cell r="D789" t="str">
            <v>Cleaning Expense</v>
          </cell>
          <cell r="E789">
            <v>8208.2000000000007</v>
          </cell>
          <cell r="F789">
            <v>7920</v>
          </cell>
          <cell r="G789">
            <v>288.20000000000101</v>
          </cell>
          <cell r="H789">
            <v>3.6400000000000002E-2</v>
          </cell>
          <cell r="I789">
            <v>8409.4699999999993</v>
          </cell>
          <cell r="J789">
            <v>-201.26999999999899</v>
          </cell>
          <cell r="K789">
            <v>-2.3900000000000001E-2</v>
          </cell>
          <cell r="L789">
            <v>7875.71</v>
          </cell>
          <cell r="M789">
            <v>332.49000000000098</v>
          </cell>
          <cell r="N789">
            <v>4.2200000000000001E-2</v>
          </cell>
          <cell r="O789">
            <v>11980</v>
          </cell>
          <cell r="P789">
            <v>12469.47</v>
          </cell>
          <cell r="Q789">
            <v>11623.52</v>
          </cell>
        </row>
        <row r="790">
          <cell r="A790" t="str">
            <v>6227576056</v>
          </cell>
          <cell r="B790">
            <v>62275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</row>
        <row r="791">
          <cell r="A791" t="str">
            <v>6227576070</v>
          </cell>
          <cell r="B791">
            <v>62275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</row>
        <row r="792">
          <cell r="A792" t="str">
            <v>6227576091</v>
          </cell>
          <cell r="B792">
            <v>62275</v>
          </cell>
          <cell r="C792">
            <v>76091</v>
          </cell>
          <cell r="D792" t="str">
            <v>Parking Maintenance</v>
          </cell>
          <cell r="E792">
            <v>7688</v>
          </cell>
          <cell r="F792">
            <v>7788</v>
          </cell>
          <cell r="G792">
            <v>-100</v>
          </cell>
          <cell r="H792">
            <v>-1.2800000000000001E-2</v>
          </cell>
          <cell r="I792">
            <v>7612</v>
          </cell>
          <cell r="J792">
            <v>76</v>
          </cell>
          <cell r="K792">
            <v>0.01</v>
          </cell>
          <cell r="L792">
            <v>11195.14</v>
          </cell>
          <cell r="M792">
            <v>-3507.14</v>
          </cell>
          <cell r="N792">
            <v>-0.31330000000000002</v>
          </cell>
          <cell r="O792">
            <v>11682</v>
          </cell>
          <cell r="P792">
            <v>11856</v>
          </cell>
          <cell r="Q792">
            <v>15975.72</v>
          </cell>
        </row>
        <row r="793">
          <cell r="A793" t="str">
            <v>6227577000</v>
          </cell>
          <cell r="B793">
            <v>62275</v>
          </cell>
          <cell r="C793">
            <v>77000</v>
          </cell>
          <cell r="D793" t="str">
            <v>Grounds Maintenance</v>
          </cell>
          <cell r="E793">
            <v>4824.5</v>
          </cell>
          <cell r="F793">
            <v>5330.64</v>
          </cell>
          <cell r="G793">
            <v>-506.14</v>
          </cell>
          <cell r="H793">
            <v>-9.4899999999999998E-2</v>
          </cell>
          <cell r="I793">
            <v>5107.1499999999996</v>
          </cell>
          <cell r="J793">
            <v>-282.64999999999998</v>
          </cell>
          <cell r="K793">
            <v>-5.5300000000000002E-2</v>
          </cell>
          <cell r="L793">
            <v>10222.85</v>
          </cell>
          <cell r="M793">
            <v>-5398.35</v>
          </cell>
          <cell r="N793">
            <v>-0.52810000000000001</v>
          </cell>
          <cell r="O793">
            <v>7366</v>
          </cell>
          <cell r="P793">
            <v>7546.15</v>
          </cell>
          <cell r="Q793">
            <v>11257.62</v>
          </cell>
        </row>
        <row r="794">
          <cell r="A794" t="str">
            <v>6227577053</v>
          </cell>
          <cell r="B794">
            <v>62275</v>
          </cell>
          <cell r="C794">
            <v>77053</v>
          </cell>
          <cell r="D794" t="str">
            <v>Landscaping</v>
          </cell>
          <cell r="E794">
            <v>8551.44</v>
          </cell>
          <cell r="F794">
            <v>13022</v>
          </cell>
          <cell r="G794">
            <v>-4470.5600000000004</v>
          </cell>
          <cell r="H794">
            <v>-0.34329999999999999</v>
          </cell>
          <cell r="I794">
            <v>8534.09</v>
          </cell>
          <cell r="J794">
            <v>17.350000000000399</v>
          </cell>
          <cell r="K794">
            <v>2E-3</v>
          </cell>
          <cell r="L794">
            <v>6179.57</v>
          </cell>
          <cell r="M794">
            <v>2371.87</v>
          </cell>
          <cell r="N794">
            <v>0.38379999999999997</v>
          </cell>
          <cell r="O794">
            <v>18572</v>
          </cell>
          <cell r="P794">
            <v>14809.09</v>
          </cell>
          <cell r="Q794">
            <v>11781.61</v>
          </cell>
        </row>
        <row r="795">
          <cell r="A795" t="str">
            <v>6227578020</v>
          </cell>
          <cell r="B795">
            <v>62275</v>
          </cell>
          <cell r="C795">
            <v>78020</v>
          </cell>
          <cell r="D795" t="str">
            <v>Amortized CAM Exp</v>
          </cell>
          <cell r="E795">
            <v>10506.54</v>
          </cell>
          <cell r="F795">
            <v>13333.36</v>
          </cell>
          <cell r="G795">
            <v>-2826.82</v>
          </cell>
          <cell r="H795">
            <v>-0.21199999999999999</v>
          </cell>
          <cell r="I795">
            <v>10976.3</v>
          </cell>
          <cell r="J795">
            <v>-469.759999999998</v>
          </cell>
          <cell r="K795">
            <v>-4.2799999999999998E-2</v>
          </cell>
          <cell r="L795">
            <v>6664</v>
          </cell>
          <cell r="M795">
            <v>3842.54</v>
          </cell>
          <cell r="N795">
            <v>0.5766</v>
          </cell>
          <cell r="O795">
            <v>20000</v>
          </cell>
          <cell r="P795">
            <v>13711.3</v>
          </cell>
          <cell r="Q795">
            <v>0</v>
          </cell>
        </row>
        <row r="796">
          <cell r="A796" t="str">
            <v>6227584264</v>
          </cell>
          <cell r="B796">
            <v>62275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</row>
        <row r="797">
          <cell r="A797" t="str">
            <v>6227585555</v>
          </cell>
          <cell r="B797">
            <v>62275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</row>
        <row r="798">
          <cell r="A798" t="str">
            <v>6227585584</v>
          </cell>
          <cell r="B798">
            <v>62275</v>
          </cell>
          <cell r="C798">
            <v>85584</v>
          </cell>
          <cell r="D798" t="str">
            <v>Bldg Admin-Office Costs</v>
          </cell>
          <cell r="E798">
            <v>841.42</v>
          </cell>
          <cell r="F798">
            <v>800</v>
          </cell>
          <cell r="G798">
            <v>41.42</v>
          </cell>
          <cell r="H798">
            <v>5.1799999999999999E-2</v>
          </cell>
          <cell r="I798">
            <v>825.14</v>
          </cell>
          <cell r="J798">
            <v>16.28</v>
          </cell>
          <cell r="K798">
            <v>1.9699999999999999E-2</v>
          </cell>
          <cell r="L798">
            <v>685.85</v>
          </cell>
          <cell r="M798">
            <v>155.57</v>
          </cell>
          <cell r="N798">
            <v>0.2268</v>
          </cell>
          <cell r="O798">
            <v>1200</v>
          </cell>
          <cell r="P798">
            <v>1219.49</v>
          </cell>
          <cell r="Q798">
            <v>1139.68</v>
          </cell>
        </row>
        <row r="799">
          <cell r="A799" t="str">
            <v>6227585582</v>
          </cell>
          <cell r="B799">
            <v>62275</v>
          </cell>
          <cell r="C799">
            <v>85582</v>
          </cell>
          <cell r="D799" t="str">
            <v>Bldg Admin-Salaries</v>
          </cell>
          <cell r="E799">
            <v>5443.14</v>
          </cell>
          <cell r="F799">
            <v>5399.36</v>
          </cell>
          <cell r="G799">
            <v>43.780000000000697</v>
          </cell>
          <cell r="H799">
            <v>8.0999999999999996E-3</v>
          </cell>
          <cell r="I799">
            <v>5511.47</v>
          </cell>
          <cell r="J799">
            <v>-68.329999999999899</v>
          </cell>
          <cell r="K799">
            <v>-1.24E-2</v>
          </cell>
          <cell r="L799">
            <v>4756.9399999999996</v>
          </cell>
          <cell r="M799">
            <v>686.20000000000095</v>
          </cell>
          <cell r="N799">
            <v>0.14430000000000001</v>
          </cell>
          <cell r="O799">
            <v>8099</v>
          </cell>
          <cell r="P799">
            <v>8480.52</v>
          </cell>
          <cell r="Q799">
            <v>7709.92</v>
          </cell>
        </row>
        <row r="800">
          <cell r="A800" t="str">
            <v>6227586564</v>
          </cell>
          <cell r="B800">
            <v>62275</v>
          </cell>
          <cell r="C800">
            <v>86564</v>
          </cell>
          <cell r="D800" t="str">
            <v>Insurance</v>
          </cell>
          <cell r="E800">
            <v>4512</v>
          </cell>
          <cell r="F800">
            <v>5310</v>
          </cell>
          <cell r="G800">
            <v>-798</v>
          </cell>
          <cell r="H800">
            <v>-0.15029999999999999</v>
          </cell>
          <cell r="I800">
            <v>4355.76</v>
          </cell>
          <cell r="J800">
            <v>156.24</v>
          </cell>
          <cell r="K800">
            <v>3.5900000000000001E-2</v>
          </cell>
          <cell r="L800">
            <v>4616</v>
          </cell>
          <cell r="M800">
            <v>-104</v>
          </cell>
          <cell r="N800">
            <v>-2.2499999999999999E-2</v>
          </cell>
          <cell r="O800">
            <v>7965</v>
          </cell>
          <cell r="P800">
            <v>6403.4</v>
          </cell>
          <cell r="Q800">
            <v>6926</v>
          </cell>
        </row>
        <row r="801">
          <cell r="A801" t="str">
            <v>6227588846</v>
          </cell>
          <cell r="B801">
            <v>62275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3245</v>
          </cell>
          <cell r="Q801">
            <v>0</v>
          </cell>
        </row>
        <row r="802">
          <cell r="A802" t="str">
            <v>6227588890</v>
          </cell>
          <cell r="B802">
            <v>62275</v>
          </cell>
          <cell r="C802">
            <v>88890</v>
          </cell>
          <cell r="D802" t="str">
            <v>Security/Safety</v>
          </cell>
          <cell r="E802">
            <v>163.08000000000001</v>
          </cell>
          <cell r="F802">
            <v>0</v>
          </cell>
          <cell r="G802">
            <v>163.08000000000001</v>
          </cell>
          <cell r="H802">
            <v>0</v>
          </cell>
          <cell r="I802">
            <v>3.08</v>
          </cell>
          <cell r="J802">
            <v>160</v>
          </cell>
          <cell r="K802">
            <v>51.948099999999997</v>
          </cell>
          <cell r="L802">
            <v>0</v>
          </cell>
          <cell r="M802">
            <v>163.08000000000001</v>
          </cell>
          <cell r="N802">
            <v>0</v>
          </cell>
          <cell r="O802">
            <v>0</v>
          </cell>
          <cell r="P802">
            <v>3.08</v>
          </cell>
          <cell r="Q802">
            <v>17.22</v>
          </cell>
        </row>
        <row r="803">
          <cell r="A803" t="str">
            <v>6227589775</v>
          </cell>
          <cell r="B803">
            <v>62275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</row>
        <row r="804">
          <cell r="A804" t="str">
            <v>6227589729</v>
          </cell>
          <cell r="B804">
            <v>62275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</row>
        <row r="805">
          <cell r="A805" t="str">
            <v>6227589786</v>
          </cell>
          <cell r="B805">
            <v>62275</v>
          </cell>
          <cell r="C805">
            <v>89786</v>
          </cell>
          <cell r="D805" t="str">
            <v>Property Tax Exp</v>
          </cell>
          <cell r="E805">
            <v>-7611.37</v>
          </cell>
          <cell r="F805">
            <v>15594</v>
          </cell>
          <cell r="G805">
            <v>-23205.37</v>
          </cell>
          <cell r="H805">
            <v>-1.4881</v>
          </cell>
          <cell r="I805">
            <v>-4639.5200000000004</v>
          </cell>
          <cell r="J805">
            <v>-2971.85</v>
          </cell>
          <cell r="K805">
            <v>0.64059999999999995</v>
          </cell>
          <cell r="L805">
            <v>15244</v>
          </cell>
          <cell r="M805">
            <v>-22855.37</v>
          </cell>
          <cell r="N805">
            <v>-1.4993000000000001</v>
          </cell>
          <cell r="O805">
            <v>23391</v>
          </cell>
          <cell r="P805">
            <v>3117.96</v>
          </cell>
          <cell r="Q805">
            <v>22866.48</v>
          </cell>
        </row>
        <row r="806">
          <cell r="A806" t="str">
            <v>6227571040</v>
          </cell>
          <cell r="B806">
            <v>62275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</row>
        <row r="807">
          <cell r="A807" t="str">
            <v>6227572701</v>
          </cell>
          <cell r="B807">
            <v>62275</v>
          </cell>
          <cell r="C807">
            <v>72701</v>
          </cell>
          <cell r="D807" t="str">
            <v>Utilities</v>
          </cell>
          <cell r="E807">
            <v>207.13</v>
          </cell>
          <cell r="F807">
            <v>0</v>
          </cell>
          <cell r="G807">
            <v>207.13</v>
          </cell>
          <cell r="H807">
            <v>0</v>
          </cell>
          <cell r="I807">
            <v>294.64</v>
          </cell>
          <cell r="J807">
            <v>-87.51</v>
          </cell>
          <cell r="K807">
            <v>-0.29699999999999999</v>
          </cell>
          <cell r="L807">
            <v>399.71</v>
          </cell>
          <cell r="M807">
            <v>-192.58</v>
          </cell>
          <cell r="N807">
            <v>-0.48180000000000001</v>
          </cell>
          <cell r="O807">
            <v>0</v>
          </cell>
          <cell r="P807">
            <v>494.64</v>
          </cell>
          <cell r="Q807">
            <v>551.95000000000005</v>
          </cell>
        </row>
        <row r="808">
          <cell r="A808" t="str">
            <v>6227572855</v>
          </cell>
          <cell r="B808">
            <v>62275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</row>
        <row r="809">
          <cell r="A809" t="str">
            <v>6227572870</v>
          </cell>
          <cell r="B809">
            <v>62275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</row>
        <row r="810">
          <cell r="A810" t="str">
            <v>6227576010</v>
          </cell>
          <cell r="B810">
            <v>62275</v>
          </cell>
          <cell r="C810">
            <v>76010</v>
          </cell>
          <cell r="D810" t="str">
            <v>Tenant Alterations</v>
          </cell>
          <cell r="E810">
            <v>50</v>
          </cell>
          <cell r="F810">
            <v>0</v>
          </cell>
          <cell r="G810">
            <v>50</v>
          </cell>
          <cell r="H810">
            <v>0</v>
          </cell>
          <cell r="I810">
            <v>50</v>
          </cell>
          <cell r="J810">
            <v>0</v>
          </cell>
          <cell r="K810">
            <v>0</v>
          </cell>
          <cell r="L810">
            <v>98.13</v>
          </cell>
          <cell r="M810">
            <v>-48.13</v>
          </cell>
          <cell r="N810">
            <v>-0.49049999999999999</v>
          </cell>
          <cell r="O810">
            <v>0</v>
          </cell>
          <cell r="P810">
            <v>50</v>
          </cell>
          <cell r="Q810">
            <v>233.84</v>
          </cell>
        </row>
        <row r="811">
          <cell r="A811" t="str">
            <v>6227576040</v>
          </cell>
          <cell r="B811">
            <v>62275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</row>
        <row r="812">
          <cell r="A812" t="str">
            <v>6227576051</v>
          </cell>
          <cell r="B812">
            <v>62275</v>
          </cell>
          <cell r="C812">
            <v>76051</v>
          </cell>
          <cell r="D812" t="str">
            <v>Cleaning</v>
          </cell>
          <cell r="E812">
            <v>347.85</v>
          </cell>
          <cell r="F812">
            <v>0</v>
          </cell>
          <cell r="G812">
            <v>347.85</v>
          </cell>
          <cell r="H812">
            <v>0</v>
          </cell>
          <cell r="I812">
            <v>0</v>
          </cell>
          <cell r="J812">
            <v>347.85</v>
          </cell>
          <cell r="K812">
            <v>0</v>
          </cell>
          <cell r="L812">
            <v>0</v>
          </cell>
          <cell r="M812">
            <v>347.85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</row>
        <row r="813">
          <cell r="A813" t="str">
            <v>6227576054</v>
          </cell>
          <cell r="B813">
            <v>62275</v>
          </cell>
          <cell r="C813">
            <v>76054</v>
          </cell>
          <cell r="D813" t="str">
            <v>Bldg Maintenance &amp; Repair</v>
          </cell>
          <cell r="E813">
            <v>375</v>
          </cell>
          <cell r="F813">
            <v>300</v>
          </cell>
          <cell r="G813">
            <v>75</v>
          </cell>
          <cell r="H813">
            <v>0.25</v>
          </cell>
          <cell r="I813">
            <v>2838</v>
          </cell>
          <cell r="J813">
            <v>-2463</v>
          </cell>
          <cell r="K813">
            <v>-0.8679</v>
          </cell>
          <cell r="L813">
            <v>0</v>
          </cell>
          <cell r="M813">
            <v>375</v>
          </cell>
          <cell r="N813">
            <v>0</v>
          </cell>
          <cell r="O813">
            <v>400</v>
          </cell>
          <cell r="P813">
            <v>3038</v>
          </cell>
          <cell r="Q813">
            <v>102.28</v>
          </cell>
        </row>
        <row r="814">
          <cell r="A814" t="str">
            <v>6227576060</v>
          </cell>
          <cell r="B814">
            <v>62275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</row>
        <row r="815">
          <cell r="A815" t="str">
            <v>6227576071</v>
          </cell>
          <cell r="B815">
            <v>62275</v>
          </cell>
          <cell r="C815">
            <v>76071</v>
          </cell>
          <cell r="D815" t="str">
            <v>Reimaging Maintenance</v>
          </cell>
          <cell r="E815">
            <v>10521.97</v>
          </cell>
          <cell r="F815">
            <v>15000</v>
          </cell>
          <cell r="G815">
            <v>-4478.03</v>
          </cell>
          <cell r="H815">
            <v>-0.29849999999999999</v>
          </cell>
          <cell r="I815">
            <v>9602</v>
          </cell>
          <cell r="J815">
            <v>919.969999999999</v>
          </cell>
          <cell r="K815">
            <v>9.5799999999999996E-2</v>
          </cell>
          <cell r="L815">
            <v>0</v>
          </cell>
          <cell r="M815">
            <v>10521.97</v>
          </cell>
          <cell r="N815">
            <v>0</v>
          </cell>
          <cell r="O815">
            <v>15000</v>
          </cell>
          <cell r="P815">
            <v>9602</v>
          </cell>
          <cell r="Q815">
            <v>0</v>
          </cell>
        </row>
        <row r="816">
          <cell r="A816" t="str">
            <v>6227576090</v>
          </cell>
          <cell r="B816">
            <v>62275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</row>
        <row r="817">
          <cell r="A817" t="str">
            <v>6227577001</v>
          </cell>
          <cell r="B817">
            <v>62275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</row>
        <row r="818">
          <cell r="A818" t="str">
            <v>6227577022</v>
          </cell>
          <cell r="B818">
            <v>62275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</row>
        <row r="819">
          <cell r="A819" t="str">
            <v>6227584200</v>
          </cell>
          <cell r="B819">
            <v>62275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</row>
        <row r="820">
          <cell r="A820" t="str">
            <v>6227584240</v>
          </cell>
          <cell r="B820">
            <v>62275</v>
          </cell>
          <cell r="C820">
            <v>84240</v>
          </cell>
          <cell r="D820" t="str">
            <v>Marketing Leasing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</row>
        <row r="821">
          <cell r="A821" t="str">
            <v>6227584242</v>
          </cell>
          <cell r="B821">
            <v>62275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</row>
        <row r="822">
          <cell r="A822" t="str">
            <v>6227584243</v>
          </cell>
          <cell r="B822">
            <v>62275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</row>
        <row r="823">
          <cell r="A823" t="str">
            <v>6227584244</v>
          </cell>
          <cell r="B823">
            <v>62275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</row>
        <row r="824">
          <cell r="A824" t="str">
            <v>6227584265</v>
          </cell>
          <cell r="B824">
            <v>62275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</row>
        <row r="825">
          <cell r="A825" t="str">
            <v>6227588037</v>
          </cell>
          <cell r="B825">
            <v>62275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</row>
        <row r="826">
          <cell r="A826" t="str">
            <v>6227585016</v>
          </cell>
          <cell r="B826">
            <v>62275</v>
          </cell>
          <cell r="C826">
            <v>85016</v>
          </cell>
          <cell r="D826" t="str">
            <v>Prof Svc-Attorney Outside</v>
          </cell>
          <cell r="E826">
            <v>93.99</v>
          </cell>
          <cell r="F826">
            <v>1500</v>
          </cell>
          <cell r="G826">
            <v>-1406.01</v>
          </cell>
          <cell r="H826">
            <v>-0.93730000000000002</v>
          </cell>
          <cell r="I826">
            <v>493.99</v>
          </cell>
          <cell r="J826">
            <v>-400</v>
          </cell>
          <cell r="K826">
            <v>-0.80969999999999998</v>
          </cell>
          <cell r="L826">
            <v>-460.49</v>
          </cell>
          <cell r="M826">
            <v>554.48</v>
          </cell>
          <cell r="N826">
            <v>-1.2040999999999999</v>
          </cell>
          <cell r="O826">
            <v>2000</v>
          </cell>
          <cell r="P826">
            <v>993.99</v>
          </cell>
          <cell r="Q826">
            <v>307.51</v>
          </cell>
        </row>
        <row r="827">
          <cell r="A827" t="str">
            <v>6227585022</v>
          </cell>
          <cell r="B827">
            <v>62275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1350</v>
          </cell>
        </row>
        <row r="828">
          <cell r="A828" t="str">
            <v>6227585065</v>
          </cell>
          <cell r="B828">
            <v>62275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</row>
        <row r="829">
          <cell r="A829" t="str">
            <v>6227585500</v>
          </cell>
          <cell r="B829">
            <v>62275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50</v>
          </cell>
        </row>
        <row r="830">
          <cell r="A830" t="str">
            <v>6227585566</v>
          </cell>
          <cell r="B830">
            <v>62275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</row>
        <row r="831">
          <cell r="A831" t="str">
            <v>6227585581</v>
          </cell>
          <cell r="B831">
            <v>62275</v>
          </cell>
          <cell r="C831">
            <v>85581</v>
          </cell>
          <cell r="D831" t="str">
            <v>Bldg Admin- Salaries</v>
          </cell>
          <cell r="E831">
            <v>3083.48</v>
          </cell>
          <cell r="F831">
            <v>3224</v>
          </cell>
          <cell r="G831">
            <v>-140.52000000000001</v>
          </cell>
          <cell r="H831">
            <v>-4.36E-2</v>
          </cell>
          <cell r="I831">
            <v>3132.42</v>
          </cell>
          <cell r="J831">
            <v>-48.940000000000097</v>
          </cell>
          <cell r="K831">
            <v>-1.5599999999999999E-2</v>
          </cell>
          <cell r="L831">
            <v>3417.9</v>
          </cell>
          <cell r="M831">
            <v>-334.42</v>
          </cell>
          <cell r="N831">
            <v>-9.7799999999999998E-2</v>
          </cell>
          <cell r="O831">
            <v>4836</v>
          </cell>
          <cell r="P831">
            <v>4898.96</v>
          </cell>
          <cell r="Q831">
            <v>5463.5</v>
          </cell>
        </row>
        <row r="832">
          <cell r="A832" t="str">
            <v>6227585583</v>
          </cell>
          <cell r="B832">
            <v>62275</v>
          </cell>
          <cell r="C832">
            <v>85583</v>
          </cell>
          <cell r="D832" t="str">
            <v>Bldg Admin-Office Exp.</v>
          </cell>
          <cell r="E832">
            <v>563.21</v>
          </cell>
          <cell r="F832">
            <v>608</v>
          </cell>
          <cell r="G832">
            <v>-44.79</v>
          </cell>
          <cell r="H832">
            <v>-7.3700000000000002E-2</v>
          </cell>
          <cell r="I832">
            <v>659.23</v>
          </cell>
          <cell r="J832">
            <v>-96.02</v>
          </cell>
          <cell r="K832">
            <v>-0.1457</v>
          </cell>
          <cell r="L832">
            <v>445.07</v>
          </cell>
          <cell r="M832">
            <v>118.14</v>
          </cell>
          <cell r="N832">
            <v>0.26540000000000002</v>
          </cell>
          <cell r="O832">
            <v>842</v>
          </cell>
          <cell r="P832">
            <v>877.61</v>
          </cell>
          <cell r="Q832">
            <v>695.21</v>
          </cell>
        </row>
        <row r="833">
          <cell r="A833" t="str">
            <v>6227585530</v>
          </cell>
          <cell r="B833">
            <v>62275</v>
          </cell>
          <cell r="C833">
            <v>85530</v>
          </cell>
          <cell r="D833" t="str">
            <v>Bldg Admin - Office Exp</v>
          </cell>
          <cell r="E833">
            <v>563.21</v>
          </cell>
          <cell r="F833">
            <v>608</v>
          </cell>
          <cell r="G833">
            <v>-44.79</v>
          </cell>
          <cell r="H833">
            <v>-7.3700000000000002E-2</v>
          </cell>
          <cell r="I833">
            <v>659.23</v>
          </cell>
          <cell r="J833">
            <v>-96.02</v>
          </cell>
          <cell r="K833">
            <v>-0.1457</v>
          </cell>
          <cell r="L833">
            <v>445.07</v>
          </cell>
          <cell r="M833">
            <v>118.14</v>
          </cell>
          <cell r="N833">
            <v>0.26540000000000002</v>
          </cell>
          <cell r="O833">
            <v>842</v>
          </cell>
          <cell r="P833">
            <v>877.61</v>
          </cell>
          <cell r="Q833">
            <v>695.21</v>
          </cell>
        </row>
        <row r="834">
          <cell r="A834" t="str">
            <v>6227586012</v>
          </cell>
          <cell r="B834">
            <v>62275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</row>
        <row r="835">
          <cell r="A835" t="str">
            <v>6227586037</v>
          </cell>
          <cell r="B835">
            <v>62275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</row>
        <row r="836">
          <cell r="A836" t="str">
            <v>6227583050</v>
          </cell>
          <cell r="B836">
            <v>62275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</row>
        <row r="837">
          <cell r="A837" t="str">
            <v>6227586510</v>
          </cell>
          <cell r="B837">
            <v>62275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</row>
        <row r="838">
          <cell r="A838" t="str">
            <v>6227586537</v>
          </cell>
          <cell r="B838">
            <v>62275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</row>
        <row r="839">
          <cell r="A839" t="str">
            <v>6227586566</v>
          </cell>
          <cell r="B839">
            <v>62275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</row>
        <row r="840">
          <cell r="A840" t="str">
            <v>6227586955</v>
          </cell>
          <cell r="B840">
            <v>62275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</row>
        <row r="841">
          <cell r="A841" t="str">
            <v>6227586985</v>
          </cell>
          <cell r="B841">
            <v>62275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181</v>
          </cell>
          <cell r="Q841">
            <v>0</v>
          </cell>
        </row>
        <row r="842">
          <cell r="A842" t="str">
            <v>6227586880</v>
          </cell>
          <cell r="B842">
            <v>62275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</row>
        <row r="843">
          <cell r="A843" t="str">
            <v>6227588710</v>
          </cell>
          <cell r="B843">
            <v>62275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2320</v>
          </cell>
          <cell r="J843">
            <v>-2320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6960</v>
          </cell>
          <cell r="Q843">
            <v>0</v>
          </cell>
        </row>
        <row r="844">
          <cell r="A844" t="str">
            <v>6227588711</v>
          </cell>
          <cell r="B844">
            <v>62275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</row>
        <row r="845">
          <cell r="A845" t="str">
            <v>6227588785</v>
          </cell>
          <cell r="B845">
            <v>62275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</row>
        <row r="846">
          <cell r="A846" t="str">
            <v>6227588847</v>
          </cell>
          <cell r="B846">
            <v>62275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</row>
        <row r="847">
          <cell r="A847" t="str">
            <v>6227588866</v>
          </cell>
          <cell r="B847">
            <v>62275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</row>
        <row r="848">
          <cell r="A848" t="str">
            <v>6227588870</v>
          </cell>
          <cell r="B848">
            <v>62275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</row>
        <row r="849">
          <cell r="A849" t="str">
            <v>6227588889</v>
          </cell>
          <cell r="B849">
            <v>62275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</row>
        <row r="850">
          <cell r="A850" t="str">
            <v>6227589776</v>
          </cell>
          <cell r="B850">
            <v>62275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</row>
        <row r="851">
          <cell r="A851" t="str">
            <v>6227589787</v>
          </cell>
          <cell r="B851">
            <v>62275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</row>
        <row r="852">
          <cell r="A852" t="str">
            <v>6227589510</v>
          </cell>
          <cell r="B852">
            <v>62275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</row>
        <row r="853">
          <cell r="A853" t="str">
            <v>6227589511</v>
          </cell>
          <cell r="B853">
            <v>62275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</row>
        <row r="854">
          <cell r="A854" t="str">
            <v>6227589512</v>
          </cell>
          <cell r="B854">
            <v>62275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</row>
        <row r="855">
          <cell r="A855" t="str">
            <v>6227589528</v>
          </cell>
          <cell r="B855">
            <v>62275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</row>
        <row r="856">
          <cell r="A856" t="str">
            <v>6227589529</v>
          </cell>
          <cell r="B856">
            <v>62275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</row>
        <row r="857">
          <cell r="A857" t="str">
            <v>6227589567</v>
          </cell>
          <cell r="B857">
            <v>62275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</row>
        <row r="858">
          <cell r="A858" t="str">
            <v>6227585058</v>
          </cell>
          <cell r="B858">
            <v>62275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</row>
        <row r="859">
          <cell r="A859" t="str">
            <v>6227586513</v>
          </cell>
          <cell r="B859">
            <v>62275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652.91999999999996</v>
          </cell>
          <cell r="G859">
            <v>-652.91999999999996</v>
          </cell>
          <cell r="H859">
            <v>0</v>
          </cell>
          <cell r="I859">
            <v>526.16999999999996</v>
          </cell>
          <cell r="J859">
            <v>-526.16999999999996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1486.44</v>
          </cell>
          <cell r="P859">
            <v>1227.73</v>
          </cell>
          <cell r="Q859">
            <v>0</v>
          </cell>
        </row>
        <row r="860">
          <cell r="A860" t="str">
            <v>6227586519</v>
          </cell>
          <cell r="B860">
            <v>62275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</row>
        <row r="861">
          <cell r="A861" t="str">
            <v>6227588770</v>
          </cell>
          <cell r="B861">
            <v>62275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</row>
        <row r="862">
          <cell r="A862" t="str">
            <v>6227588862</v>
          </cell>
          <cell r="B862">
            <v>62275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</row>
        <row r="863">
          <cell r="A863" t="str">
            <v>6227588874</v>
          </cell>
          <cell r="B863">
            <v>62275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</row>
        <row r="864">
          <cell r="A864" t="str">
            <v>6227589910</v>
          </cell>
          <cell r="B864">
            <v>62275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47420.14</v>
          </cell>
          <cell r="G864">
            <v>-47420.14</v>
          </cell>
          <cell r="H864">
            <v>0</v>
          </cell>
          <cell r="I864">
            <v>45074.81</v>
          </cell>
          <cell r="J864">
            <v>-45074.81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72145.34</v>
          </cell>
          <cell r="P864">
            <v>69545.460000000006</v>
          </cell>
          <cell r="Q864">
            <v>0</v>
          </cell>
        </row>
        <row r="865">
          <cell r="A865" t="str">
            <v>6227589548</v>
          </cell>
          <cell r="B865">
            <v>62275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on tech"/>
      <sheetName val="Commons"/>
      <sheetName val="IHC"/>
      <sheetName val="Sand Canyon"/>
      <sheetName val="Quail Hill"/>
      <sheetName val="Walnut"/>
      <sheetName val="Culver"/>
      <sheetName val="Northpark"/>
      <sheetName val="Trabuco"/>
      <sheetName val="data"/>
    </sheetNames>
    <sheetDataSet>
      <sheetData sheetId="0"/>
      <sheetData sheetId="1">
        <row r="2">
          <cell r="C2" t="str">
            <v>The Commons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Ten Months Ended April 30,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62252</v>
          </cell>
          <cell r="C11" t="str">
            <v>The Commons</v>
          </cell>
        </row>
        <row r="13">
          <cell r="D13" t="str">
            <v>REVENUE</v>
          </cell>
        </row>
        <row r="14">
          <cell r="A14" t="str">
            <v>6225241050</v>
          </cell>
          <cell r="B14">
            <v>41050</v>
          </cell>
          <cell r="D14" t="str">
            <v>Rental Income - Fixed</v>
          </cell>
          <cell r="F14">
            <v>949278.99</v>
          </cell>
          <cell r="G14">
            <v>960307.22</v>
          </cell>
          <cell r="H14">
            <v>-11028.229999999981</v>
          </cell>
          <cell r="I14">
            <v>-1.1484064443460064E-2</v>
          </cell>
          <cell r="J14" t="str">
            <v>Positive variance due to Jackson Barne Grill ($6k), Philly' Sandwich &amp; Grill ($6k) and Promenade-New Class of Dancing ($21k).</v>
          </cell>
        </row>
        <row r="15">
          <cell r="A15" t="str">
            <v>6225241074</v>
          </cell>
          <cell r="B15">
            <v>41074</v>
          </cell>
          <cell r="D15" t="str">
            <v>Rental Income - Percentage</v>
          </cell>
          <cell r="F15">
            <v>0</v>
          </cell>
          <cell r="G15">
            <v>0</v>
          </cell>
          <cell r="H15">
            <v>0</v>
          </cell>
          <cell r="I15" t="str">
            <v>N/A</v>
          </cell>
        </row>
        <row r="16">
          <cell r="A16" t="str">
            <v>6225241082</v>
          </cell>
          <cell r="B16">
            <v>41082</v>
          </cell>
          <cell r="D16" t="str">
            <v>Rental Income - Operating Expense Recoveries</v>
          </cell>
          <cell r="F16">
            <v>306063.49</v>
          </cell>
          <cell r="G16">
            <v>320599.44</v>
          </cell>
          <cell r="H16">
            <v>-14535.950000000012</v>
          </cell>
          <cell r="I16">
            <v>-4.5339910762164808E-2</v>
          </cell>
          <cell r="J16" t="str">
            <v>Revenue reflects a projected recovery ratio of 112.8%.  Variance reflects timing of expenses</v>
          </cell>
        </row>
        <row r="17">
          <cell r="A17" t="str">
            <v>6225245071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6225245070</v>
          </cell>
          <cell r="B18">
            <v>45070</v>
          </cell>
          <cell r="D18" t="str">
            <v>Other Income</v>
          </cell>
          <cell r="F18">
            <v>-0.79</v>
          </cell>
          <cell r="G18">
            <v>0</v>
          </cell>
          <cell r="H18">
            <v>-0.79</v>
          </cell>
          <cell r="I18" t="str">
            <v>N/A</v>
          </cell>
        </row>
        <row r="19">
          <cell r="A19" t="str">
            <v>6225241060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0</v>
          </cell>
          <cell r="H19">
            <v>0</v>
          </cell>
          <cell r="I19" t="str">
            <v>N/A</v>
          </cell>
          <cell r="J19" t="str">
            <v>Budgeted vacancy will not be utilized.</v>
          </cell>
        </row>
        <row r="20">
          <cell r="A20" t="str">
            <v>6225244870</v>
          </cell>
          <cell r="B20">
            <v>44870</v>
          </cell>
          <cell r="D20" t="str">
            <v>Late Fees</v>
          </cell>
          <cell r="F20">
            <v>7755.43</v>
          </cell>
          <cell r="G20">
            <v>0</v>
          </cell>
          <cell r="H20">
            <v>7755.43</v>
          </cell>
          <cell r="I20" t="str">
            <v>N/A</v>
          </cell>
          <cell r="J20" t="str">
            <v>Late fees from Fukada, Nutri-sport, and Jackon Barne Grill.</v>
          </cell>
        </row>
        <row r="21">
          <cell r="D21" t="str">
            <v>TOTAL REVENUE</v>
          </cell>
          <cell r="F21">
            <v>1263097.1199999999</v>
          </cell>
          <cell r="G21">
            <v>1280906.6599999999</v>
          </cell>
          <cell r="H21">
            <v>-17809.539999999994</v>
          </cell>
          <cell r="I21">
            <v>-1.3903854633717022E-2</v>
          </cell>
        </row>
        <row r="23">
          <cell r="D23" t="str">
            <v>Exclusion to CAM True Up</v>
          </cell>
          <cell r="F23">
            <v>2200</v>
          </cell>
        </row>
        <row r="24">
          <cell r="D24" t="str">
            <v>CAM Rev Excluding PY, HVAC</v>
          </cell>
          <cell r="F24">
            <v>303863.49</v>
          </cell>
          <cell r="G24">
            <v>320599.44</v>
          </cell>
        </row>
        <row r="25">
          <cell r="D25" t="str">
            <v>CAM Recovery Ratio</v>
          </cell>
          <cell r="F25">
            <v>1.2087786972247418</v>
          </cell>
          <cell r="G25">
            <v>1.101936221497404</v>
          </cell>
          <cell r="H25">
            <v>0.10684247572733785</v>
          </cell>
          <cell r="I25">
            <v>9.695885627768118E-2</v>
          </cell>
        </row>
        <row r="27">
          <cell r="D27" t="str">
            <v>REIMBURSABLE EXPENSES</v>
          </cell>
        </row>
        <row r="28">
          <cell r="A28" t="str">
            <v>6225272710</v>
          </cell>
          <cell r="B28">
            <v>72710</v>
          </cell>
          <cell r="D28" t="str">
            <v>Utilities - Electricity</v>
          </cell>
          <cell r="F28">
            <v>7813.37</v>
          </cell>
          <cell r="G28">
            <v>8176</v>
          </cell>
          <cell r="H28">
            <v>362.63000000000011</v>
          </cell>
          <cell r="I28">
            <v>4.4352984344422711E-2</v>
          </cell>
        </row>
        <row r="29">
          <cell r="A29" t="str">
            <v>6225272740</v>
          </cell>
          <cell r="B29">
            <v>72740</v>
          </cell>
          <cell r="D29" t="str">
            <v>Utilities - Gas</v>
          </cell>
          <cell r="F29">
            <v>0</v>
          </cell>
          <cell r="G29">
            <v>0</v>
          </cell>
          <cell r="H29">
            <v>0</v>
          </cell>
          <cell r="I29" t="str">
            <v>N/A</v>
          </cell>
        </row>
        <row r="30">
          <cell r="A30" t="str">
            <v>6225272770</v>
          </cell>
          <cell r="B30">
            <v>72770</v>
          </cell>
          <cell r="D30" t="str">
            <v>Utilities - Water</v>
          </cell>
          <cell r="F30">
            <v>8168.74</v>
          </cell>
          <cell r="G30">
            <v>3800</v>
          </cell>
          <cell r="H30">
            <v>-4368.74</v>
          </cell>
          <cell r="I30">
            <v>-1.1496684210526316</v>
          </cell>
          <cell r="J30" t="str">
            <v>Favorable variance due to reduced irrigation during months of heavy rain.</v>
          </cell>
        </row>
        <row r="31">
          <cell r="A31" t="str">
            <v>6225276000</v>
          </cell>
          <cell r="B31">
            <v>76000</v>
          </cell>
          <cell r="D31" t="str">
            <v>Bldg Maintenance &amp; Repair</v>
          </cell>
          <cell r="F31">
            <v>17402.93</v>
          </cell>
          <cell r="G31">
            <v>37318.639999999999</v>
          </cell>
          <cell r="H31">
            <v>19915.71</v>
          </cell>
          <cell r="I31">
            <v>0.53366655376508898</v>
          </cell>
          <cell r="J31" t="str">
            <v>Variance is due unplanned electric repairs for temporary power for the holiday lighting ($2,495), and unanticipated roof leak repairs ($2,671).  Also included is $22k accrual for painting.</v>
          </cell>
        </row>
        <row r="32">
          <cell r="A32" t="str">
            <v>6225276050</v>
          </cell>
          <cell r="B32">
            <v>76050</v>
          </cell>
          <cell r="D32" t="str">
            <v>Cleaning Expense</v>
          </cell>
          <cell r="F32">
            <v>11319.79</v>
          </cell>
          <cell r="G32">
            <v>11218.64</v>
          </cell>
          <cell r="H32">
            <v>-101.15000000000146</v>
          </cell>
          <cell r="I32">
            <v>-9.0162443932599191E-3</v>
          </cell>
        </row>
        <row r="33">
          <cell r="A33" t="str">
            <v>6225276091</v>
          </cell>
          <cell r="B33">
            <v>76091</v>
          </cell>
          <cell r="D33" t="str">
            <v>Parking Maintenance</v>
          </cell>
          <cell r="F33">
            <v>10660.8</v>
          </cell>
          <cell r="G33">
            <v>9272</v>
          </cell>
          <cell r="H33">
            <v>-1388.7999999999993</v>
          </cell>
          <cell r="I33">
            <v>-0.14978429680759267</v>
          </cell>
        </row>
        <row r="34">
          <cell r="A34" t="str">
            <v>6225277000</v>
          </cell>
          <cell r="B34">
            <v>77000</v>
          </cell>
          <cell r="D34" t="str">
            <v>Grounds Maintenance</v>
          </cell>
          <cell r="F34">
            <v>16164.78</v>
          </cell>
          <cell r="G34">
            <v>21702</v>
          </cell>
          <cell r="H34">
            <v>5537.2199999999993</v>
          </cell>
          <cell r="I34">
            <v>0.25514791263478015</v>
          </cell>
          <cell r="J34" t="str">
            <v>Positive variance due to unused contingency in sign repair &amp; maintenance ($2k), miscellaneous repairs ($1.7k), common area seating ($1.4k). These will be spent by year end.</v>
          </cell>
        </row>
        <row r="35">
          <cell r="A35" t="str">
            <v>6225277053</v>
          </cell>
          <cell r="B35">
            <v>77053</v>
          </cell>
          <cell r="D35" t="str">
            <v>Landscaping</v>
          </cell>
          <cell r="F35">
            <v>20869.099999999999</v>
          </cell>
          <cell r="G35">
            <v>34630</v>
          </cell>
          <cell r="H35">
            <v>13760.900000000001</v>
          </cell>
          <cell r="I35">
            <v>0.39736933294831078</v>
          </cell>
          <cell r="J35" t="str">
            <v>Favorable variance due to unused contingency in plants/materials ($11.6k), irrigation repairs ($2k), tree trimming ($3.5k), and color replacements ($5k).  These will be spent by year end.</v>
          </cell>
        </row>
        <row r="36">
          <cell r="A36" t="str">
            <v>6225278020</v>
          </cell>
          <cell r="B36">
            <v>78020</v>
          </cell>
          <cell r="D36" t="str">
            <v>Amortized CAM Exp</v>
          </cell>
          <cell r="F36">
            <v>15628.32</v>
          </cell>
          <cell r="G36">
            <v>26666.639999999999</v>
          </cell>
          <cell r="H36">
            <v>11038.32</v>
          </cell>
          <cell r="I36">
            <v>0.41393741393741396</v>
          </cell>
          <cell r="J36" t="str">
            <v>Estimate for CAM parking lot seal/stripe and repairs increased from $55K to $77k to be amortized over 3 years.  Credit balance is due to prior year accelerated CAM of $22k.</v>
          </cell>
        </row>
        <row r="37">
          <cell r="A37" t="str">
            <v>6225285584</v>
          </cell>
          <cell r="B37">
            <v>85584</v>
          </cell>
          <cell r="D37" t="str">
            <v>Bldg Admin-Office Costs</v>
          </cell>
          <cell r="F37">
            <v>3251.39</v>
          </cell>
          <cell r="G37">
            <v>3096</v>
          </cell>
          <cell r="H37">
            <v>-155.38999999999987</v>
          </cell>
          <cell r="I37">
            <v>-5.0190568475452155E-2</v>
          </cell>
        </row>
        <row r="38">
          <cell r="A38" t="str">
            <v>6225285582</v>
          </cell>
          <cell r="B38">
            <v>85582</v>
          </cell>
          <cell r="D38" t="str">
            <v>Bldg Admin-Salaries</v>
          </cell>
          <cell r="F38">
            <v>21033.1</v>
          </cell>
          <cell r="G38">
            <v>20863.36</v>
          </cell>
          <cell r="H38">
            <v>-169.73999999999796</v>
          </cell>
          <cell r="I38">
            <v>-8.1357940427619502E-3</v>
          </cell>
          <cell r="J38" t="str">
            <v>Salaries are favorable due to timing of filling open positions created from property management transition.</v>
          </cell>
        </row>
        <row r="39">
          <cell r="A39" t="str">
            <v>6225286564</v>
          </cell>
          <cell r="B39">
            <v>86564</v>
          </cell>
          <cell r="D39" t="str">
            <v>Insurance</v>
          </cell>
          <cell r="F39">
            <v>15935.17</v>
          </cell>
          <cell r="G39">
            <v>17952.64</v>
          </cell>
          <cell r="H39">
            <v>2017.4699999999993</v>
          </cell>
          <cell r="I39">
            <v>0.11237734394495737</v>
          </cell>
        </row>
        <row r="40">
          <cell r="A40" t="str">
            <v>6225288846</v>
          </cell>
          <cell r="B40">
            <v>88846</v>
          </cell>
          <cell r="D40" t="str">
            <v>Expenses-Other-Reimburs</v>
          </cell>
          <cell r="F40">
            <v>0</v>
          </cell>
          <cell r="G40">
            <v>0</v>
          </cell>
          <cell r="H40">
            <v>0</v>
          </cell>
          <cell r="I40" t="str">
            <v>N/A</v>
          </cell>
        </row>
        <row r="41">
          <cell r="A41" t="str">
            <v>6225288890</v>
          </cell>
          <cell r="B41">
            <v>88890</v>
          </cell>
          <cell r="D41" t="str">
            <v>Security/Safety</v>
          </cell>
          <cell r="F41">
            <v>4261.09</v>
          </cell>
          <cell r="G41">
            <v>3200</v>
          </cell>
          <cell r="H41">
            <v>-1061.0900000000001</v>
          </cell>
          <cell r="I41">
            <v>-0.33159062500000003</v>
          </cell>
        </row>
        <row r="42">
          <cell r="A42" t="str">
            <v>6225289775</v>
          </cell>
          <cell r="B42">
            <v>89775</v>
          </cell>
          <cell r="D42" t="str">
            <v>Assmt Dist Taxes- Reimb</v>
          </cell>
          <cell r="F42">
            <v>46315.35</v>
          </cell>
          <cell r="G42">
            <v>40800</v>
          </cell>
          <cell r="H42">
            <v>-5515.3499999999985</v>
          </cell>
          <cell r="I42">
            <v>-0.1351801470588235</v>
          </cell>
          <cell r="J42" t="str">
            <v>Starting this year, the center will be charged assessment district taxes.   Current estimate for the year is $34k.</v>
          </cell>
        </row>
        <row r="43">
          <cell r="A43" t="str">
            <v>6225289786</v>
          </cell>
          <cell r="B43">
            <v>89786</v>
          </cell>
          <cell r="D43" t="str">
            <v>Property Tax Exp</v>
          </cell>
          <cell r="F43">
            <v>52556.65</v>
          </cell>
          <cell r="G43">
            <v>52246</v>
          </cell>
          <cell r="H43">
            <v>-310.65000000000146</v>
          </cell>
          <cell r="I43">
            <v>-5.9459097347165611E-3</v>
          </cell>
          <cell r="J43" t="str">
            <v>Property taxes increased from prior year due to higher improvement values.</v>
          </cell>
        </row>
        <row r="44">
          <cell r="D44" t="str">
            <v>Total Reimbursable</v>
          </cell>
          <cell r="F44">
            <v>251380.58000000002</v>
          </cell>
          <cell r="G44">
            <v>290941.92</v>
          </cell>
          <cell r="H44">
            <v>39561.339999999997</v>
          </cell>
          <cell r="I44">
            <v>0.13597676127249039</v>
          </cell>
        </row>
        <row r="46">
          <cell r="D46" t="str">
            <v>NON-REIMBURSABLE EXPENSES</v>
          </cell>
        </row>
        <row r="47">
          <cell r="A47" t="str">
            <v>6225272701</v>
          </cell>
          <cell r="B47">
            <v>72701</v>
          </cell>
          <cell r="D47" t="str">
            <v>Utilities</v>
          </cell>
          <cell r="F47">
            <v>81.12</v>
          </cell>
          <cell r="G47">
            <v>0</v>
          </cell>
          <cell r="H47">
            <v>-81.12</v>
          </cell>
          <cell r="I47" t="str">
            <v>N/A</v>
          </cell>
        </row>
        <row r="48">
          <cell r="A48" t="str">
            <v>6225276010</v>
          </cell>
          <cell r="B48">
            <v>76010</v>
          </cell>
          <cell r="D48" t="str">
            <v>Tenant Alterations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6225276054</v>
          </cell>
          <cell r="B49">
            <v>76054</v>
          </cell>
          <cell r="D49" t="str">
            <v>Bldg Maintenance &amp; Repair</v>
          </cell>
          <cell r="F49">
            <v>0</v>
          </cell>
          <cell r="G49">
            <v>51300</v>
          </cell>
          <cell r="H49">
            <v>51300</v>
          </cell>
          <cell r="I49">
            <v>1</v>
          </cell>
        </row>
        <row r="50">
          <cell r="A50" t="str">
            <v>6225284240</v>
          </cell>
          <cell r="B50">
            <v>84240</v>
          </cell>
          <cell r="D50" t="str">
            <v>Marketing Leasing</v>
          </cell>
          <cell r="F50">
            <v>0</v>
          </cell>
          <cell r="G50">
            <v>0</v>
          </cell>
          <cell r="H50">
            <v>0</v>
          </cell>
          <cell r="I50" t="str">
            <v>N/A</v>
          </cell>
          <cell r="J50" t="str">
            <v>Variance is due to timing of expenses.</v>
          </cell>
        </row>
        <row r="51">
          <cell r="A51" t="str">
            <v>6225284242</v>
          </cell>
          <cell r="B51">
            <v>84242</v>
          </cell>
          <cell r="D51" t="str">
            <v>Marketing Subsidy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6225284243</v>
          </cell>
          <cell r="B52">
            <v>84243</v>
          </cell>
          <cell r="D52" t="str">
            <v>Marketing Coordination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6225284244</v>
          </cell>
          <cell r="B53">
            <v>84244</v>
          </cell>
          <cell r="D53" t="str">
            <v>Marketing-Net Required</v>
          </cell>
          <cell r="F53">
            <v>0</v>
          </cell>
          <cell r="G53">
            <v>0</v>
          </cell>
          <cell r="H53">
            <v>0</v>
          </cell>
          <cell r="I53" t="str">
            <v>N/A</v>
          </cell>
        </row>
        <row r="54">
          <cell r="A54" t="str">
            <v>6225285016</v>
          </cell>
          <cell r="B54">
            <v>85016</v>
          </cell>
          <cell r="D54" t="str">
            <v>Prof Svc-Attorney Outside</v>
          </cell>
          <cell r="F54">
            <v>1459.91</v>
          </cell>
          <cell r="G54">
            <v>1500</v>
          </cell>
          <cell r="H54">
            <v>40.089999999999918</v>
          </cell>
          <cell r="I54">
            <v>2.672666666666661E-2</v>
          </cell>
        </row>
        <row r="55">
          <cell r="A55" t="str">
            <v>6225285022</v>
          </cell>
          <cell r="B55">
            <v>85022</v>
          </cell>
          <cell r="D55" t="str">
            <v>Prof Svc-Audit/Acctng</v>
          </cell>
          <cell r="F55">
            <v>0</v>
          </cell>
          <cell r="G55">
            <v>1500</v>
          </cell>
          <cell r="H55">
            <v>1500</v>
          </cell>
          <cell r="I55">
            <v>1</v>
          </cell>
          <cell r="J55" t="str">
            <v>Tenant sales audit accrued last year was not performed.</v>
          </cell>
        </row>
        <row r="56">
          <cell r="A56" t="str">
            <v>6225285500</v>
          </cell>
          <cell r="B56">
            <v>85500</v>
          </cell>
          <cell r="D56" t="str">
            <v>Consulting Services</v>
          </cell>
          <cell r="F56">
            <v>0</v>
          </cell>
          <cell r="G56">
            <v>0</v>
          </cell>
          <cell r="H56">
            <v>0</v>
          </cell>
          <cell r="I56" t="str">
            <v>N/A</v>
          </cell>
        </row>
        <row r="57">
          <cell r="A57" t="str">
            <v>6225285566</v>
          </cell>
          <cell r="B57">
            <v>85566</v>
          </cell>
          <cell r="D57" t="str">
            <v>Management Fee</v>
          </cell>
          <cell r="F57">
            <v>0</v>
          </cell>
          <cell r="G57">
            <v>0</v>
          </cell>
          <cell r="H57">
            <v>0</v>
          </cell>
          <cell r="I57" t="str">
            <v>N/A</v>
          </cell>
        </row>
        <row r="58">
          <cell r="A58" t="str">
            <v>6225285581</v>
          </cell>
          <cell r="B58">
            <v>85581</v>
          </cell>
          <cell r="D58" t="str">
            <v>Bldg Admin- Salaries</v>
          </cell>
          <cell r="F58">
            <v>11915.12</v>
          </cell>
          <cell r="G58">
            <v>12468</v>
          </cell>
          <cell r="H58">
            <v>552.8799999999992</v>
          </cell>
          <cell r="I58">
            <v>4.4343920436316908E-2</v>
          </cell>
          <cell r="J58" t="str">
            <v>Salaries are favorable due to timing of filling open positions created from property management transition.</v>
          </cell>
        </row>
        <row r="59">
          <cell r="A59" t="str">
            <v>6225285583</v>
          </cell>
          <cell r="B59">
            <v>85583</v>
          </cell>
          <cell r="D59" t="str">
            <v>Bldg Admin - Office Exp</v>
          </cell>
          <cell r="F59">
            <v>1972.64</v>
          </cell>
          <cell r="G59">
            <v>1908.64</v>
          </cell>
          <cell r="H59">
            <v>-64</v>
          </cell>
          <cell r="I59">
            <v>-3.3531729398943749E-2</v>
          </cell>
        </row>
        <row r="60">
          <cell r="A60" t="str">
            <v>6225288710</v>
          </cell>
          <cell r="B60">
            <v>88710</v>
          </cell>
          <cell r="D60" t="str">
            <v>Losses-Bad Debts</v>
          </cell>
          <cell r="F60">
            <v>11163.4</v>
          </cell>
          <cell r="G60">
            <v>0</v>
          </cell>
          <cell r="H60">
            <v>-11163.4</v>
          </cell>
          <cell r="I60" t="str">
            <v>N/A</v>
          </cell>
          <cell r="J60" t="str">
            <v>Favorable variance is due to the write off of Utopia Kids being less than the reserve.</v>
          </cell>
        </row>
        <row r="61">
          <cell r="D61" t="str">
            <v>Total Non-Reimbursable</v>
          </cell>
          <cell r="F61">
            <v>26592.190000000002</v>
          </cell>
          <cell r="G61">
            <v>68676.639999999999</v>
          </cell>
          <cell r="H61">
            <v>42084.44999999999</v>
          </cell>
          <cell r="I61">
            <v>0.61279133632629657</v>
          </cell>
        </row>
        <row r="63">
          <cell r="D63" t="str">
            <v>TOTAL OPERATING EXPENSES</v>
          </cell>
          <cell r="F63">
            <v>277972.77</v>
          </cell>
          <cell r="G63">
            <v>359618.56</v>
          </cell>
          <cell r="H63">
            <v>81645.789999999979</v>
          </cell>
          <cell r="I63">
            <v>0.22703441668861579</v>
          </cell>
        </row>
        <row r="65">
          <cell r="D65" t="str">
            <v>NET INCOME (Excluding NRO)</v>
          </cell>
          <cell r="F65">
            <v>985124.34999999986</v>
          </cell>
          <cell r="G65">
            <v>921288.09999999986</v>
          </cell>
          <cell r="H65">
            <v>63836.249999999985</v>
          </cell>
          <cell r="I65">
            <v>6.9290214429123739E-2</v>
          </cell>
        </row>
        <row r="66">
          <cell r="A66" t="str">
            <v>6225276071</v>
          </cell>
          <cell r="B66">
            <v>76071</v>
          </cell>
          <cell r="D66" t="str">
            <v>Reimaging Maintenance</v>
          </cell>
          <cell r="F66">
            <v>0</v>
          </cell>
          <cell r="G66">
            <v>0</v>
          </cell>
          <cell r="H66">
            <v>0</v>
          </cell>
          <cell r="I66" t="str">
            <v>N/A</v>
          </cell>
        </row>
        <row r="67">
          <cell r="D67" t="str">
            <v xml:space="preserve">NET INCOME </v>
          </cell>
          <cell r="F67">
            <v>985124.34999999986</v>
          </cell>
          <cell r="G67">
            <v>921288.09999999986</v>
          </cell>
          <cell r="H67">
            <v>63836.249999999985</v>
          </cell>
          <cell r="I67">
            <v>6.9290214429123739E-2</v>
          </cell>
        </row>
        <row r="70">
          <cell r="C70" t="str">
            <v>Forecasted Variances:</v>
          </cell>
        </row>
        <row r="71">
          <cell r="C71" t="str">
            <v xml:space="preserve">l  </v>
          </cell>
          <cell r="D71" t="str">
            <v>Rental Income - Fixed:   Occupancy of Promenade-New Class of Dancing was not captured in the forecast for March 2005.</v>
          </cell>
        </row>
        <row r="72">
          <cell r="C72" t="str">
            <v xml:space="preserve">l  </v>
          </cell>
          <cell r="D72" t="str">
            <v>Rental Income -Operating Expenses Recoveries reflects projected recovery ratio of 112.8% .  The variance is due to timing of expenses.</v>
          </cell>
        </row>
        <row r="73">
          <cell r="C73" t="str">
            <v xml:space="preserve">l  </v>
          </cell>
          <cell r="D73" t="str">
            <v>Grounds Maintenance - unused contingency in sign repairs ($1k) and miscellaneous repairs ($1.6k) will be spent by year end.</v>
          </cell>
        </row>
        <row r="74">
          <cell r="C74" t="str">
            <v xml:space="preserve">l  </v>
          </cell>
          <cell r="D74" t="str">
            <v xml:space="preserve">Landscaping - positive variance due to unused contingency in plants &amp; materials ($7.7k), tree trimming ($3.5k), and color replacement ($4.8k).  These are anticipated to be spent by year end.  </v>
          </cell>
        </row>
        <row r="75">
          <cell r="C75" t="str">
            <v xml:space="preserve">l  </v>
          </cell>
          <cell r="D75" t="str">
            <v>Amortized CAM - variance due to increase in estimated cost of the parking lot seal, striping and repairs from $55k to $77k to be amortized over 3 years.  The credit balance is due to prior year CAM amortization reversal of $22k.</v>
          </cell>
        </row>
        <row r="76">
          <cell r="C76" t="str">
            <v xml:space="preserve">l  </v>
          </cell>
          <cell r="D76" t="str">
            <v>Assessment District Taxes - Starting this year, the center will be charged assessment district taxes.   Current estimate for the year is $34k.</v>
          </cell>
        </row>
        <row r="77">
          <cell r="C77" t="str">
            <v xml:space="preserve">l  </v>
          </cell>
        </row>
        <row r="78">
          <cell r="C78" t="str">
            <v xml:space="preserve">l  </v>
          </cell>
        </row>
        <row r="79">
          <cell r="C79" t="str">
            <v xml:space="preserve">l  </v>
          </cell>
        </row>
        <row r="82">
          <cell r="C82" t="str">
            <v>Prior Year Variances:</v>
          </cell>
        </row>
        <row r="83">
          <cell r="C83" t="str">
            <v xml:space="preserve">l  </v>
          </cell>
          <cell r="D83" t="str">
            <v>Bldg Maintenance &amp; Repairs - increase is due to $22k accrued for painting the center.</v>
          </cell>
        </row>
        <row r="84">
          <cell r="C84" t="str">
            <v xml:space="preserve">l  </v>
          </cell>
          <cell r="D84" t="str">
            <v>Bldg Admin - Salaries: are favorable due to timing of filling open positions created from property management transition.</v>
          </cell>
        </row>
        <row r="85">
          <cell r="C85" t="str">
            <v xml:space="preserve">l  </v>
          </cell>
          <cell r="D85" t="str">
            <v>Assessment District Taxes - Starting this year, the center will be charged assessment district taxes.   Current estimate for the year is $34k.</v>
          </cell>
        </row>
        <row r="86">
          <cell r="C86" t="str">
            <v xml:space="preserve">l  </v>
          </cell>
          <cell r="D86" t="str">
            <v>Property taxes - increased from prior year due to higher improvement values.</v>
          </cell>
        </row>
        <row r="87">
          <cell r="C87" t="str">
            <v xml:space="preserve">l  </v>
          </cell>
          <cell r="D87" t="str">
            <v>Mgmt Fee -there are no 3rd party mgmt fees this year.</v>
          </cell>
        </row>
        <row r="88">
          <cell r="C88" t="str">
            <v xml:space="preserve">l  </v>
          </cell>
          <cell r="D88" t="str">
            <v>Bldg Admin - Salaries NRO:  Salaries are unfavorable due to property management transition to in-house and elimination of third party management fees.</v>
          </cell>
        </row>
        <row r="89">
          <cell r="C89" t="str">
            <v xml:space="preserve">l  </v>
          </cell>
          <cell r="D89" t="str">
            <v>Bad Debt losses increased from prior year due to business failure of Utopia Kids.  Also included is potential loss from Spectrum Tan ($20k ) and Nutri-sport ($3k).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6217041010</v>
          </cell>
          <cell r="B2">
            <v>62170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3">
          <cell r="A3" t="str">
            <v>6217041040</v>
          </cell>
          <cell r="B3">
            <v>62170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</row>
        <row r="4">
          <cell r="A4" t="str">
            <v>6217041050</v>
          </cell>
          <cell r="B4">
            <v>62170</v>
          </cell>
          <cell r="C4">
            <v>41050</v>
          </cell>
          <cell r="D4" t="str">
            <v>Rental Income - Fixed</v>
          </cell>
          <cell r="E4">
            <v>-1360012.46</v>
          </cell>
          <cell r="F4">
            <v>-1366567.18</v>
          </cell>
          <cell r="G4">
            <v>6554.7199999999702</v>
          </cell>
          <cell r="H4">
            <v>-4.7999999999999996E-3</v>
          </cell>
          <cell r="I4">
            <v>-1385956.25</v>
          </cell>
          <cell r="J4">
            <v>25943.79</v>
          </cell>
          <cell r="K4">
            <v>-1.8700000000000001E-2</v>
          </cell>
          <cell r="L4">
            <v>-1219145.03</v>
          </cell>
          <cell r="M4">
            <v>-140867.43</v>
          </cell>
          <cell r="N4">
            <v>0.11550000000000001</v>
          </cell>
          <cell r="O4">
            <v>-2071593.08</v>
          </cell>
          <cell r="P4">
            <v>-2105860.96</v>
          </cell>
          <cell r="Q4">
            <v>-1849745.96</v>
          </cell>
        </row>
        <row r="5">
          <cell r="A5" t="str">
            <v>6217041074</v>
          </cell>
          <cell r="B5">
            <v>62170</v>
          </cell>
          <cell r="C5">
            <v>41074</v>
          </cell>
          <cell r="D5" t="str">
            <v>Rental Income - Percentage</v>
          </cell>
          <cell r="E5">
            <v>-231425.07</v>
          </cell>
          <cell r="F5">
            <v>-230640</v>
          </cell>
          <cell r="G5">
            <v>-785.07000000000698</v>
          </cell>
          <cell r="H5">
            <v>3.3999999999999998E-3</v>
          </cell>
          <cell r="I5">
            <v>-235972</v>
          </cell>
          <cell r="J5">
            <v>4546.9299999999903</v>
          </cell>
          <cell r="K5">
            <v>-1.9300000000000001E-2</v>
          </cell>
          <cell r="L5">
            <v>-212930.49</v>
          </cell>
          <cell r="M5">
            <v>-18494.580000000002</v>
          </cell>
          <cell r="N5">
            <v>8.6900000000000005E-2</v>
          </cell>
          <cell r="O5">
            <v>-257407</v>
          </cell>
          <cell r="P5">
            <v>-284746</v>
          </cell>
          <cell r="Q5">
            <v>-256821</v>
          </cell>
        </row>
        <row r="6">
          <cell r="A6" t="str">
            <v>6217041082</v>
          </cell>
          <cell r="B6">
            <v>62170</v>
          </cell>
          <cell r="C6">
            <v>41082</v>
          </cell>
          <cell r="D6" t="str">
            <v>Rental Income - Operating Exp</v>
          </cell>
          <cell r="E6">
            <v>-372430.28</v>
          </cell>
          <cell r="F6">
            <v>-393765.04</v>
          </cell>
          <cell r="G6">
            <v>21334.76</v>
          </cell>
          <cell r="H6">
            <v>-5.4199999999999998E-2</v>
          </cell>
          <cell r="I6">
            <v>-377657.21</v>
          </cell>
          <cell r="J6">
            <v>5226.9299999999903</v>
          </cell>
          <cell r="K6">
            <v>-1.38E-2</v>
          </cell>
          <cell r="L6">
            <v>-318953.26</v>
          </cell>
          <cell r="M6">
            <v>-53477.02</v>
          </cell>
          <cell r="N6">
            <v>0.16769999999999999</v>
          </cell>
          <cell r="O6">
            <v>-590647.6</v>
          </cell>
          <cell r="P6">
            <v>-584150.21</v>
          </cell>
          <cell r="Q6">
            <v>-553008.39</v>
          </cell>
        </row>
        <row r="7">
          <cell r="A7" t="str">
            <v>6217044610</v>
          </cell>
          <cell r="B7">
            <v>62170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8">
          <cell r="A8" t="str">
            <v>6217045071</v>
          </cell>
          <cell r="B8">
            <v>62170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6217045010</v>
          </cell>
          <cell r="B9">
            <v>62170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A10" t="str">
            <v>6217045046</v>
          </cell>
          <cell r="B10">
            <v>62170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A11" t="str">
            <v>6217045070</v>
          </cell>
          <cell r="B11">
            <v>62170</v>
          </cell>
          <cell r="C11">
            <v>45070</v>
          </cell>
          <cell r="D11" t="str">
            <v>Other Income</v>
          </cell>
          <cell r="E11">
            <v>-39.479999999999997</v>
          </cell>
          <cell r="F11">
            <v>-399</v>
          </cell>
          <cell r="G11">
            <v>359.52</v>
          </cell>
          <cell r="H11">
            <v>-0.90110000000000001</v>
          </cell>
          <cell r="I11">
            <v>-230.66</v>
          </cell>
          <cell r="J11">
            <v>191.18</v>
          </cell>
          <cell r="K11">
            <v>-0.82879999999999998</v>
          </cell>
          <cell r="L11">
            <v>-12.03</v>
          </cell>
          <cell r="M11">
            <v>-27.45</v>
          </cell>
          <cell r="N11">
            <v>2.2818000000000001</v>
          </cell>
          <cell r="O11">
            <v>-665</v>
          </cell>
          <cell r="P11">
            <v>-496.66</v>
          </cell>
          <cell r="Q11">
            <v>-13.12</v>
          </cell>
        </row>
        <row r="12">
          <cell r="A12" t="str">
            <v>6217041060</v>
          </cell>
          <cell r="B12">
            <v>62170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A13" t="str">
            <v>6217044870</v>
          </cell>
          <cell r="B13">
            <v>62170</v>
          </cell>
          <cell r="C13">
            <v>44870</v>
          </cell>
          <cell r="D13" t="str">
            <v>Late Fees</v>
          </cell>
          <cell r="E13">
            <v>-1946.95</v>
          </cell>
          <cell r="F13">
            <v>-666.64</v>
          </cell>
          <cell r="G13">
            <v>-1280.31</v>
          </cell>
          <cell r="H13">
            <v>1.9205000000000001</v>
          </cell>
          <cell r="I13">
            <v>-618.84</v>
          </cell>
          <cell r="J13">
            <v>-1328.11</v>
          </cell>
          <cell r="K13">
            <v>2.1461000000000001</v>
          </cell>
          <cell r="L13">
            <v>-100</v>
          </cell>
          <cell r="M13">
            <v>-1846.95</v>
          </cell>
          <cell r="N13">
            <v>18.4695</v>
          </cell>
          <cell r="O13">
            <v>-1000</v>
          </cell>
          <cell r="P13">
            <v>-952.2</v>
          </cell>
          <cell r="Q13">
            <v>-945.05</v>
          </cell>
        </row>
        <row r="14">
          <cell r="A14" t="str">
            <v>6217052542</v>
          </cell>
          <cell r="B14">
            <v>62170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6217072710</v>
          </cell>
          <cell r="B15">
            <v>62170</v>
          </cell>
          <cell r="C15">
            <v>72710</v>
          </cell>
          <cell r="D15" t="str">
            <v>Utilities - Electricity</v>
          </cell>
          <cell r="E15">
            <v>16381.75</v>
          </cell>
          <cell r="F15">
            <v>8760</v>
          </cell>
          <cell r="G15">
            <v>7621.75</v>
          </cell>
          <cell r="H15">
            <v>0.87009999999999998</v>
          </cell>
          <cell r="I15">
            <v>17114.12</v>
          </cell>
          <cell r="J15">
            <v>-732.36999999999898</v>
          </cell>
          <cell r="K15">
            <v>-4.2799999999999998E-2</v>
          </cell>
          <cell r="L15">
            <v>12680.93</v>
          </cell>
          <cell r="M15">
            <v>3700.82</v>
          </cell>
          <cell r="N15">
            <v>0.2918</v>
          </cell>
          <cell r="O15">
            <v>13140</v>
          </cell>
          <cell r="P15">
            <v>27114.12</v>
          </cell>
          <cell r="Q15">
            <v>18459.03</v>
          </cell>
        </row>
        <row r="16">
          <cell r="A16" t="str">
            <v>6217072740</v>
          </cell>
          <cell r="B16">
            <v>62170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6217072770</v>
          </cell>
          <cell r="B17">
            <v>62170</v>
          </cell>
          <cell r="C17">
            <v>72770</v>
          </cell>
          <cell r="D17" t="str">
            <v>Utilities - Water</v>
          </cell>
          <cell r="E17">
            <v>1881.83</v>
          </cell>
          <cell r="F17">
            <v>1632</v>
          </cell>
          <cell r="G17">
            <v>249.83</v>
          </cell>
          <cell r="H17">
            <v>0.15310000000000001</v>
          </cell>
          <cell r="I17">
            <v>2285.39</v>
          </cell>
          <cell r="J17">
            <v>-403.56</v>
          </cell>
          <cell r="K17">
            <v>-0.17660000000000001</v>
          </cell>
          <cell r="L17">
            <v>1582.73</v>
          </cell>
          <cell r="M17">
            <v>299.10000000000002</v>
          </cell>
          <cell r="N17">
            <v>0.189</v>
          </cell>
          <cell r="O17">
            <v>2448</v>
          </cell>
          <cell r="P17">
            <v>3545.39</v>
          </cell>
          <cell r="Q17">
            <v>1617.03</v>
          </cell>
        </row>
        <row r="18">
          <cell r="A18" t="str">
            <v>6217076000</v>
          </cell>
          <cell r="B18">
            <v>62170</v>
          </cell>
          <cell r="C18">
            <v>76000</v>
          </cell>
          <cell r="D18" t="str">
            <v>Bldg Maintenance &amp; Repair</v>
          </cell>
          <cell r="E18">
            <v>26666.26</v>
          </cell>
          <cell r="F18">
            <v>28096.86</v>
          </cell>
          <cell r="G18">
            <v>-1430.6</v>
          </cell>
          <cell r="H18">
            <v>-5.0900000000000001E-2</v>
          </cell>
          <cell r="I18">
            <v>21160.37</v>
          </cell>
          <cell r="J18">
            <v>5505.89</v>
          </cell>
          <cell r="K18">
            <v>0.26019999999999999</v>
          </cell>
          <cell r="L18">
            <v>14762.34</v>
          </cell>
          <cell r="M18">
            <v>11903.92</v>
          </cell>
          <cell r="N18">
            <v>0.80640000000000001</v>
          </cell>
          <cell r="O18">
            <v>40132.5</v>
          </cell>
          <cell r="P18">
            <v>39376.51</v>
          </cell>
          <cell r="Q18">
            <v>30694.959999999999</v>
          </cell>
        </row>
        <row r="19">
          <cell r="A19" t="str">
            <v>6217076020</v>
          </cell>
          <cell r="B19">
            <v>62170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-30</v>
          </cell>
          <cell r="M19">
            <v>30</v>
          </cell>
          <cell r="N19">
            <v>0</v>
          </cell>
          <cell r="O19">
            <v>0</v>
          </cell>
          <cell r="P19">
            <v>0</v>
          </cell>
          <cell r="Q19">
            <v>-30</v>
          </cell>
        </row>
        <row r="20">
          <cell r="A20" t="str">
            <v>6217076034</v>
          </cell>
          <cell r="B20">
            <v>62170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A21" t="str">
            <v>6217076050</v>
          </cell>
          <cell r="B21">
            <v>62170</v>
          </cell>
          <cell r="C21">
            <v>76050</v>
          </cell>
          <cell r="D21" t="str">
            <v>Cleaning Expense</v>
          </cell>
          <cell r="E21">
            <v>44459.6</v>
          </cell>
          <cell r="F21">
            <v>43079.360000000001</v>
          </cell>
          <cell r="G21">
            <v>1380.24</v>
          </cell>
          <cell r="H21">
            <v>3.2000000000000001E-2</v>
          </cell>
          <cell r="I21">
            <v>44455.14</v>
          </cell>
          <cell r="J21">
            <v>4.4599999999991304</v>
          </cell>
          <cell r="K21">
            <v>1E-4</v>
          </cell>
          <cell r="L21">
            <v>40524.699999999997</v>
          </cell>
          <cell r="M21">
            <v>3934.9</v>
          </cell>
          <cell r="N21">
            <v>9.7100000000000006E-2</v>
          </cell>
          <cell r="O21">
            <v>64619</v>
          </cell>
          <cell r="P21">
            <v>66194.78</v>
          </cell>
          <cell r="Q21">
            <v>61359.82</v>
          </cell>
        </row>
        <row r="22">
          <cell r="A22" t="str">
            <v>6217076056</v>
          </cell>
          <cell r="B22">
            <v>62170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A23" t="str">
            <v>6217076070</v>
          </cell>
          <cell r="B23">
            <v>62170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A24" t="str">
            <v>6217076091</v>
          </cell>
          <cell r="B24">
            <v>62170</v>
          </cell>
          <cell r="C24">
            <v>76091</v>
          </cell>
          <cell r="D24" t="str">
            <v>Parking Maintenance</v>
          </cell>
          <cell r="E24">
            <v>18788.18</v>
          </cell>
          <cell r="F24">
            <v>20370</v>
          </cell>
          <cell r="G24">
            <v>-1581.82</v>
          </cell>
          <cell r="H24">
            <v>-7.7700000000000005E-2</v>
          </cell>
          <cell r="I24">
            <v>16381.75</v>
          </cell>
          <cell r="J24">
            <v>2406.4299999999998</v>
          </cell>
          <cell r="K24">
            <v>0.1469</v>
          </cell>
          <cell r="L24">
            <v>21913.02</v>
          </cell>
          <cell r="M24">
            <v>-3124.84</v>
          </cell>
          <cell r="N24">
            <v>-0.1426</v>
          </cell>
          <cell r="O24">
            <v>33680</v>
          </cell>
          <cell r="P24">
            <v>28718.75</v>
          </cell>
          <cell r="Q24">
            <v>40769.67</v>
          </cell>
        </row>
        <row r="25">
          <cell r="A25" t="str">
            <v>6217077000</v>
          </cell>
          <cell r="B25">
            <v>62170</v>
          </cell>
          <cell r="C25">
            <v>77000</v>
          </cell>
          <cell r="D25" t="str">
            <v>Grounds Maintenance</v>
          </cell>
          <cell r="E25">
            <v>20901.87</v>
          </cell>
          <cell r="F25">
            <v>23373.360000000001</v>
          </cell>
          <cell r="G25">
            <v>-2471.4899999999998</v>
          </cell>
          <cell r="H25">
            <v>-0.1057</v>
          </cell>
          <cell r="I25">
            <v>24411.33</v>
          </cell>
          <cell r="J25">
            <v>-3509.46</v>
          </cell>
          <cell r="K25">
            <v>-0.14380000000000001</v>
          </cell>
          <cell r="L25">
            <v>21347.87</v>
          </cell>
          <cell r="M25">
            <v>-446</v>
          </cell>
          <cell r="N25">
            <v>-2.0899999999999998E-2</v>
          </cell>
          <cell r="O25">
            <v>31370</v>
          </cell>
          <cell r="P25">
            <v>36882.300000000003</v>
          </cell>
          <cell r="Q25">
            <v>24747.8</v>
          </cell>
        </row>
        <row r="26">
          <cell r="A26" t="str">
            <v>6217077053</v>
          </cell>
          <cell r="B26">
            <v>62170</v>
          </cell>
          <cell r="C26">
            <v>77053</v>
          </cell>
          <cell r="D26" t="str">
            <v>Landscaping</v>
          </cell>
          <cell r="E26">
            <v>21038.97</v>
          </cell>
          <cell r="F26">
            <v>24875</v>
          </cell>
          <cell r="G26">
            <v>-3836.03</v>
          </cell>
          <cell r="H26">
            <v>-0.1542</v>
          </cell>
          <cell r="I26">
            <v>31323.47</v>
          </cell>
          <cell r="J26">
            <v>-10284.5</v>
          </cell>
          <cell r="K26">
            <v>-0.32829999999999998</v>
          </cell>
          <cell r="L26">
            <v>22981</v>
          </cell>
          <cell r="M26">
            <v>-1942.03</v>
          </cell>
          <cell r="N26">
            <v>-8.4500000000000006E-2</v>
          </cell>
          <cell r="O26">
            <v>37655</v>
          </cell>
          <cell r="P26">
            <v>44965.47</v>
          </cell>
          <cell r="Q26">
            <v>40768</v>
          </cell>
        </row>
        <row r="27">
          <cell r="A27" t="str">
            <v>6217078020</v>
          </cell>
          <cell r="B27">
            <v>62170</v>
          </cell>
          <cell r="C27">
            <v>78020</v>
          </cell>
          <cell r="D27" t="str">
            <v>Amortized CAM Exp</v>
          </cell>
          <cell r="E27">
            <v>60208.56</v>
          </cell>
          <cell r="F27">
            <v>58933.36</v>
          </cell>
          <cell r="G27">
            <v>1275.2</v>
          </cell>
          <cell r="H27">
            <v>2.1600000000000001E-2</v>
          </cell>
          <cell r="I27">
            <v>60210.51</v>
          </cell>
          <cell r="J27">
            <v>-1.95000000000437</v>
          </cell>
          <cell r="K27">
            <v>0</v>
          </cell>
          <cell r="L27">
            <v>11933.6</v>
          </cell>
          <cell r="M27">
            <v>48274.96</v>
          </cell>
          <cell r="N27">
            <v>4.0453000000000001</v>
          </cell>
          <cell r="O27">
            <v>88400</v>
          </cell>
          <cell r="P27">
            <v>90317.35</v>
          </cell>
          <cell r="Q27">
            <v>55313.23</v>
          </cell>
        </row>
        <row r="28">
          <cell r="A28" t="str">
            <v>6217084264</v>
          </cell>
          <cell r="B28">
            <v>62170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A29" t="str">
            <v>6217085555</v>
          </cell>
          <cell r="B29">
            <v>62170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6217085584</v>
          </cell>
          <cell r="B30">
            <v>62170</v>
          </cell>
          <cell r="C30">
            <v>85584</v>
          </cell>
          <cell r="D30" t="str">
            <v>Bldg Admin-Office Costs</v>
          </cell>
          <cell r="E30">
            <v>3863.98</v>
          </cell>
          <cell r="F30">
            <v>3664</v>
          </cell>
          <cell r="G30">
            <v>199.98</v>
          </cell>
          <cell r="H30">
            <v>5.4600000000000003E-2</v>
          </cell>
          <cell r="I30">
            <v>3789.25</v>
          </cell>
          <cell r="J30">
            <v>74.73</v>
          </cell>
          <cell r="K30">
            <v>1.9699999999999999E-2</v>
          </cell>
          <cell r="L30">
            <v>3622.08</v>
          </cell>
          <cell r="M30">
            <v>241.9</v>
          </cell>
          <cell r="N30">
            <v>6.6799999999999998E-2</v>
          </cell>
          <cell r="O30">
            <v>5496</v>
          </cell>
          <cell r="P30">
            <v>5600.09</v>
          </cell>
          <cell r="Q30">
            <v>5720.3</v>
          </cell>
        </row>
        <row r="31">
          <cell r="A31" t="str">
            <v>6217085582</v>
          </cell>
          <cell r="B31">
            <v>62170</v>
          </cell>
          <cell r="C31">
            <v>85582</v>
          </cell>
          <cell r="D31" t="str">
            <v>Bldg Admin-Salaries</v>
          </cell>
          <cell r="E31">
            <v>24995.93</v>
          </cell>
          <cell r="F31">
            <v>24674</v>
          </cell>
          <cell r="G31">
            <v>321.93</v>
          </cell>
          <cell r="H31">
            <v>1.2999999999999999E-2</v>
          </cell>
          <cell r="I31">
            <v>25310.09</v>
          </cell>
          <cell r="J31">
            <v>-314.16000000000003</v>
          </cell>
          <cell r="K31">
            <v>-1.24E-2</v>
          </cell>
          <cell r="L31">
            <v>21628.91</v>
          </cell>
          <cell r="M31">
            <v>3367.02</v>
          </cell>
          <cell r="N31">
            <v>0.15570000000000001</v>
          </cell>
          <cell r="O31">
            <v>37011</v>
          </cell>
          <cell r="P31">
            <v>38944.97</v>
          </cell>
          <cell r="Q31">
            <v>35189.519999999997</v>
          </cell>
        </row>
        <row r="32">
          <cell r="A32" t="str">
            <v>6217086564</v>
          </cell>
          <cell r="B32">
            <v>62170</v>
          </cell>
          <cell r="C32">
            <v>86564</v>
          </cell>
          <cell r="D32" t="str">
            <v>Insurance</v>
          </cell>
          <cell r="E32">
            <v>19950</v>
          </cell>
          <cell r="F32">
            <v>22324</v>
          </cell>
          <cell r="G32">
            <v>-2374</v>
          </cell>
          <cell r="H32">
            <v>-0.10630000000000001</v>
          </cell>
          <cell r="I32">
            <v>19480.68</v>
          </cell>
          <cell r="J32">
            <v>469.32</v>
          </cell>
          <cell r="K32">
            <v>2.41E-2</v>
          </cell>
          <cell r="L32">
            <v>19408</v>
          </cell>
          <cell r="M32">
            <v>542</v>
          </cell>
          <cell r="N32">
            <v>2.7900000000000001E-2</v>
          </cell>
          <cell r="O32">
            <v>33486</v>
          </cell>
          <cell r="P32">
            <v>28824.32</v>
          </cell>
          <cell r="Q32">
            <v>29117</v>
          </cell>
        </row>
        <row r="33">
          <cell r="A33" t="str">
            <v>6217088846</v>
          </cell>
          <cell r="B33">
            <v>62170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-5965</v>
          </cell>
          <cell r="Q33">
            <v>0</v>
          </cell>
        </row>
        <row r="34">
          <cell r="A34" t="str">
            <v>6217088890</v>
          </cell>
          <cell r="B34">
            <v>62170</v>
          </cell>
          <cell r="C34">
            <v>88890</v>
          </cell>
          <cell r="D34" t="str">
            <v>Security/Safety</v>
          </cell>
          <cell r="E34">
            <v>29849.17</v>
          </cell>
          <cell r="F34">
            <v>27554.639999999999</v>
          </cell>
          <cell r="G34">
            <v>2294.5300000000002</v>
          </cell>
          <cell r="H34">
            <v>8.3299999999999999E-2</v>
          </cell>
          <cell r="I34">
            <v>27744.22</v>
          </cell>
          <cell r="J34">
            <v>2104.9499999999998</v>
          </cell>
          <cell r="K34">
            <v>7.5899999999999995E-2</v>
          </cell>
          <cell r="L34">
            <v>27934.94</v>
          </cell>
          <cell r="M34">
            <v>1914.23</v>
          </cell>
          <cell r="N34">
            <v>6.8500000000000005E-2</v>
          </cell>
          <cell r="O34">
            <v>41332</v>
          </cell>
          <cell r="P34">
            <v>41376.22</v>
          </cell>
          <cell r="Q34">
            <v>49202.97</v>
          </cell>
        </row>
        <row r="35">
          <cell r="A35" t="str">
            <v>6217089775</v>
          </cell>
          <cell r="B35">
            <v>62170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A36" t="str">
            <v>6217089729</v>
          </cell>
          <cell r="B36">
            <v>62170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6217089786</v>
          </cell>
          <cell r="B37">
            <v>62170</v>
          </cell>
          <cell r="C37">
            <v>89786</v>
          </cell>
          <cell r="D37" t="str">
            <v>Property Tax Exp</v>
          </cell>
          <cell r="E37">
            <v>45293.27</v>
          </cell>
          <cell r="F37">
            <v>63306</v>
          </cell>
          <cell r="G37">
            <v>-18012.73</v>
          </cell>
          <cell r="H37">
            <v>-0.28449999999999998</v>
          </cell>
          <cell r="I37">
            <v>45308.959999999999</v>
          </cell>
          <cell r="J37">
            <v>-15.6900000000023</v>
          </cell>
          <cell r="K37">
            <v>-2.9999999999999997E-4</v>
          </cell>
          <cell r="L37">
            <v>62192.639999999999</v>
          </cell>
          <cell r="M37">
            <v>-16899.37</v>
          </cell>
          <cell r="N37">
            <v>-0.2717</v>
          </cell>
          <cell r="O37">
            <v>94959</v>
          </cell>
          <cell r="P37">
            <v>77024.44</v>
          </cell>
          <cell r="Q37">
            <v>93288.84</v>
          </cell>
        </row>
        <row r="38">
          <cell r="A38" t="str">
            <v>6217071040</v>
          </cell>
          <cell r="B38">
            <v>62170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 t="str">
            <v>6217072701</v>
          </cell>
          <cell r="B39">
            <v>62170</v>
          </cell>
          <cell r="C39">
            <v>72701</v>
          </cell>
          <cell r="D39" t="str">
            <v>Utilities</v>
          </cell>
          <cell r="E39">
            <v>18.25</v>
          </cell>
          <cell r="F39">
            <v>0</v>
          </cell>
          <cell r="G39">
            <v>18.25</v>
          </cell>
          <cell r="H39">
            <v>0</v>
          </cell>
          <cell r="I39">
            <v>0</v>
          </cell>
          <cell r="J39">
            <v>18.25</v>
          </cell>
          <cell r="K39">
            <v>0</v>
          </cell>
          <cell r="L39">
            <v>109.96</v>
          </cell>
          <cell r="M39">
            <v>-91.71</v>
          </cell>
          <cell r="N39">
            <v>-0.83399999999999996</v>
          </cell>
          <cell r="O39">
            <v>0</v>
          </cell>
          <cell r="P39">
            <v>0</v>
          </cell>
          <cell r="Q39">
            <v>133.84</v>
          </cell>
        </row>
        <row r="40">
          <cell r="A40" t="str">
            <v>6217072855</v>
          </cell>
          <cell r="B40">
            <v>62170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 t="str">
            <v>6217072870</v>
          </cell>
          <cell r="B41">
            <v>62170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 t="str">
            <v>6217076010</v>
          </cell>
          <cell r="B42">
            <v>62170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2.91</v>
          </cell>
          <cell r="M42">
            <v>-2.91</v>
          </cell>
          <cell r="N42">
            <v>0</v>
          </cell>
          <cell r="O42">
            <v>0</v>
          </cell>
          <cell r="P42">
            <v>0</v>
          </cell>
          <cell r="Q42">
            <v>2.91</v>
          </cell>
        </row>
        <row r="43">
          <cell r="A43" t="str">
            <v>6217076040</v>
          </cell>
          <cell r="B43">
            <v>62170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6217076051</v>
          </cell>
          <cell r="B44">
            <v>62170</v>
          </cell>
          <cell r="C44">
            <v>76051</v>
          </cell>
          <cell r="D44" t="str">
            <v>Cleaning</v>
          </cell>
          <cell r="E44">
            <v>455.1</v>
          </cell>
          <cell r="F44">
            <v>0</v>
          </cell>
          <cell r="G44">
            <v>455.1</v>
          </cell>
          <cell r="H44">
            <v>0</v>
          </cell>
          <cell r="I44">
            <v>0</v>
          </cell>
          <cell r="J44">
            <v>455.1</v>
          </cell>
          <cell r="K44">
            <v>0</v>
          </cell>
          <cell r="L44">
            <v>0</v>
          </cell>
          <cell r="M44">
            <v>455.1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 t="str">
            <v>6217076054</v>
          </cell>
          <cell r="B45">
            <v>62170</v>
          </cell>
          <cell r="C45">
            <v>76054</v>
          </cell>
          <cell r="D45" t="str">
            <v>Bldg Maintenance &amp; Repair</v>
          </cell>
          <cell r="E45">
            <v>7960.75</v>
          </cell>
          <cell r="F45">
            <v>1000</v>
          </cell>
          <cell r="G45">
            <v>6960.75</v>
          </cell>
          <cell r="H45">
            <v>6.9607999999999999</v>
          </cell>
          <cell r="I45">
            <v>26310.75</v>
          </cell>
          <cell r="J45">
            <v>-18350</v>
          </cell>
          <cell r="K45">
            <v>-0.69740000000000002</v>
          </cell>
          <cell r="L45">
            <v>95015.34</v>
          </cell>
          <cell r="M45">
            <v>-87054.59</v>
          </cell>
          <cell r="N45">
            <v>-0.91620000000000001</v>
          </cell>
          <cell r="O45">
            <v>1000</v>
          </cell>
          <cell r="P45">
            <v>36310.75</v>
          </cell>
          <cell r="Q45">
            <v>326127.71999999997</v>
          </cell>
        </row>
        <row r="46">
          <cell r="A46" t="str">
            <v>6217076060</v>
          </cell>
          <cell r="B46">
            <v>62170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 t="str">
            <v>6217076071</v>
          </cell>
          <cell r="B47">
            <v>62170</v>
          </cell>
          <cell r="C47">
            <v>76071</v>
          </cell>
          <cell r="D47" t="str">
            <v>Reimaging Maintenance</v>
          </cell>
          <cell r="E47">
            <v>4044.46</v>
          </cell>
          <cell r="F47">
            <v>0</v>
          </cell>
          <cell r="G47">
            <v>4044.46</v>
          </cell>
          <cell r="H47">
            <v>0</v>
          </cell>
          <cell r="I47">
            <v>4044.46</v>
          </cell>
          <cell r="J47">
            <v>0</v>
          </cell>
          <cell r="K47">
            <v>0</v>
          </cell>
          <cell r="L47">
            <v>0</v>
          </cell>
          <cell r="M47">
            <v>4044.46</v>
          </cell>
          <cell r="N47">
            <v>0</v>
          </cell>
          <cell r="O47">
            <v>0</v>
          </cell>
          <cell r="P47">
            <v>4044.46</v>
          </cell>
          <cell r="Q47">
            <v>104106.18</v>
          </cell>
        </row>
        <row r="48">
          <cell r="A48" t="str">
            <v>6217076090</v>
          </cell>
          <cell r="B48">
            <v>62170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A49" t="str">
            <v>6217077001</v>
          </cell>
          <cell r="B49">
            <v>62170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-51.97</v>
          </cell>
        </row>
        <row r="50">
          <cell r="A50" t="str">
            <v>6217077022</v>
          </cell>
          <cell r="B50">
            <v>62170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 t="str">
            <v>6217084200</v>
          </cell>
          <cell r="B51">
            <v>62170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A52" t="str">
            <v>6217084240</v>
          </cell>
          <cell r="B52">
            <v>62170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115.06</v>
          </cell>
          <cell r="M52">
            <v>-115.06</v>
          </cell>
          <cell r="N52">
            <v>0</v>
          </cell>
          <cell r="O52">
            <v>0</v>
          </cell>
          <cell r="P52">
            <v>0</v>
          </cell>
          <cell r="Q52">
            <v>13.77</v>
          </cell>
        </row>
        <row r="53">
          <cell r="A53" t="str">
            <v>6217084242</v>
          </cell>
          <cell r="B53">
            <v>62170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 t="str">
            <v>6217084243</v>
          </cell>
          <cell r="B54">
            <v>62170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6217084244</v>
          </cell>
          <cell r="B55">
            <v>62170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A56" t="str">
            <v>6217084265</v>
          </cell>
          <cell r="B56">
            <v>62170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6217088037</v>
          </cell>
          <cell r="B57">
            <v>62170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A58" t="str">
            <v>6217085016</v>
          </cell>
          <cell r="B58">
            <v>62170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1500</v>
          </cell>
          <cell r="G58">
            <v>-1500</v>
          </cell>
          <cell r="H58">
            <v>0</v>
          </cell>
          <cell r="I58">
            <v>-201.55</v>
          </cell>
          <cell r="J58">
            <v>201.55</v>
          </cell>
          <cell r="K58">
            <v>0</v>
          </cell>
          <cell r="L58">
            <v>48</v>
          </cell>
          <cell r="M58">
            <v>-48</v>
          </cell>
          <cell r="N58">
            <v>0</v>
          </cell>
          <cell r="O58">
            <v>3000</v>
          </cell>
          <cell r="P58">
            <v>1298.45</v>
          </cell>
          <cell r="Q58">
            <v>-1452</v>
          </cell>
        </row>
        <row r="59">
          <cell r="A59" t="str">
            <v>6217085022</v>
          </cell>
          <cell r="B59">
            <v>62170</v>
          </cell>
          <cell r="C59">
            <v>85022</v>
          </cell>
          <cell r="D59" t="str">
            <v>Prof Svc-Audit/Acctng</v>
          </cell>
          <cell r="E59">
            <v>-700</v>
          </cell>
          <cell r="F59">
            <v>0</v>
          </cell>
          <cell r="G59">
            <v>-700</v>
          </cell>
          <cell r="H59">
            <v>0</v>
          </cell>
          <cell r="I59">
            <v>-700</v>
          </cell>
          <cell r="J59">
            <v>0</v>
          </cell>
          <cell r="K59">
            <v>0</v>
          </cell>
          <cell r="L59">
            <v>0</v>
          </cell>
          <cell r="M59">
            <v>-700</v>
          </cell>
          <cell r="N59">
            <v>0</v>
          </cell>
          <cell r="O59">
            <v>2500</v>
          </cell>
          <cell r="P59">
            <v>1800</v>
          </cell>
          <cell r="Q59">
            <v>2650</v>
          </cell>
        </row>
        <row r="60">
          <cell r="A60" t="str">
            <v>6217085065</v>
          </cell>
          <cell r="B60">
            <v>62170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A61" t="str">
            <v>6217085500</v>
          </cell>
          <cell r="B61">
            <v>62170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7500</v>
          </cell>
          <cell r="G61">
            <v>-7500</v>
          </cell>
          <cell r="H61">
            <v>0</v>
          </cell>
          <cell r="I61">
            <v>7500</v>
          </cell>
          <cell r="J61">
            <v>-7500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10000</v>
          </cell>
          <cell r="P61">
            <v>10000</v>
          </cell>
          <cell r="Q61">
            <v>0</v>
          </cell>
        </row>
        <row r="62">
          <cell r="A62" t="str">
            <v>6217085566</v>
          </cell>
          <cell r="B62">
            <v>62170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A63" t="str">
            <v>6217085581</v>
          </cell>
          <cell r="B63">
            <v>62170</v>
          </cell>
          <cell r="C63">
            <v>85581</v>
          </cell>
          <cell r="D63" t="str">
            <v>Bldg Admin- Salaries</v>
          </cell>
          <cell r="E63">
            <v>14160.03</v>
          </cell>
          <cell r="F63">
            <v>14744</v>
          </cell>
          <cell r="G63">
            <v>-583.969999999999</v>
          </cell>
          <cell r="H63">
            <v>-3.9600000000000003E-2</v>
          </cell>
          <cell r="I63">
            <v>14384.41</v>
          </cell>
          <cell r="J63">
            <v>-224.379999999999</v>
          </cell>
          <cell r="K63">
            <v>-1.5599999999999999E-2</v>
          </cell>
          <cell r="L63">
            <v>15937.02</v>
          </cell>
          <cell r="M63">
            <v>-1776.99</v>
          </cell>
          <cell r="N63">
            <v>-0.1115</v>
          </cell>
          <cell r="O63">
            <v>22116</v>
          </cell>
          <cell r="P63">
            <v>22496.16</v>
          </cell>
          <cell r="Q63">
            <v>25092.03</v>
          </cell>
        </row>
        <row r="64">
          <cell r="A64" t="str">
            <v>6217085583</v>
          </cell>
          <cell r="B64">
            <v>62170</v>
          </cell>
          <cell r="C64">
            <v>85583</v>
          </cell>
          <cell r="D64" t="str">
            <v>Bldg Admin-Office Exp.</v>
          </cell>
          <cell r="E64">
            <v>2035.31</v>
          </cell>
          <cell r="F64">
            <v>2138.64</v>
          </cell>
          <cell r="G64">
            <v>-103.33</v>
          </cell>
          <cell r="H64">
            <v>-4.8300000000000003E-2</v>
          </cell>
          <cell r="I64">
            <v>2155.5700000000002</v>
          </cell>
          <cell r="J64">
            <v>-120.26</v>
          </cell>
          <cell r="K64">
            <v>-5.5800000000000002E-2</v>
          </cell>
          <cell r="L64">
            <v>2033.96</v>
          </cell>
          <cell r="M64">
            <v>1.3499999999999099</v>
          </cell>
          <cell r="N64">
            <v>6.9999999999999999E-4</v>
          </cell>
          <cell r="O64">
            <v>3208</v>
          </cell>
          <cell r="P64">
            <v>3159.55</v>
          </cell>
          <cell r="Q64">
            <v>3255.92</v>
          </cell>
        </row>
        <row r="65">
          <cell r="A65" t="str">
            <v>6217085530</v>
          </cell>
          <cell r="B65">
            <v>62170</v>
          </cell>
          <cell r="C65">
            <v>85530</v>
          </cell>
          <cell r="D65" t="str">
            <v>Bldg Admin - Office Exp</v>
          </cell>
          <cell r="E65">
            <v>2035.31</v>
          </cell>
          <cell r="F65">
            <v>2138.64</v>
          </cell>
          <cell r="G65">
            <v>-103.33</v>
          </cell>
          <cell r="H65">
            <v>-4.8300000000000003E-2</v>
          </cell>
          <cell r="I65">
            <v>2155.5700000000002</v>
          </cell>
          <cell r="J65">
            <v>-120.26</v>
          </cell>
          <cell r="K65">
            <v>-5.5800000000000002E-2</v>
          </cell>
          <cell r="L65">
            <v>2033.96</v>
          </cell>
          <cell r="M65">
            <v>1.3499999999999099</v>
          </cell>
          <cell r="N65">
            <v>6.9999999999999999E-4</v>
          </cell>
          <cell r="O65">
            <v>3208</v>
          </cell>
          <cell r="P65">
            <v>3159.55</v>
          </cell>
          <cell r="Q65">
            <v>3255.92</v>
          </cell>
        </row>
        <row r="66">
          <cell r="A66" t="str">
            <v>6217086012</v>
          </cell>
          <cell r="B66">
            <v>62170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A67" t="str">
            <v>6217086037</v>
          </cell>
          <cell r="B67">
            <v>62170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A68" t="str">
            <v>6217083050</v>
          </cell>
          <cell r="B68">
            <v>62170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A69" t="str">
            <v>6217086510</v>
          </cell>
          <cell r="B69">
            <v>62170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A70" t="str">
            <v>6217086537</v>
          </cell>
          <cell r="B70">
            <v>62170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A71" t="str">
            <v>6217086566</v>
          </cell>
          <cell r="B71">
            <v>62170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A72" t="str">
            <v>6217086955</v>
          </cell>
          <cell r="B72">
            <v>62170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A73" t="str">
            <v>6217086985</v>
          </cell>
          <cell r="B73">
            <v>62170</v>
          </cell>
          <cell r="C73">
            <v>86985</v>
          </cell>
          <cell r="D73" t="str">
            <v>Purchased Svcs _ Other</v>
          </cell>
          <cell r="E73">
            <v>35.93</v>
          </cell>
          <cell r="F73">
            <v>0</v>
          </cell>
          <cell r="G73">
            <v>35.93</v>
          </cell>
          <cell r="H73">
            <v>0</v>
          </cell>
          <cell r="I73">
            <v>35.93</v>
          </cell>
          <cell r="J73">
            <v>0</v>
          </cell>
          <cell r="K73">
            <v>0</v>
          </cell>
          <cell r="L73">
            <v>0</v>
          </cell>
          <cell r="M73">
            <v>35.93</v>
          </cell>
          <cell r="N73">
            <v>0</v>
          </cell>
          <cell r="O73">
            <v>0</v>
          </cell>
          <cell r="P73">
            <v>620.92999999999995</v>
          </cell>
          <cell r="Q73">
            <v>0</v>
          </cell>
        </row>
        <row r="74">
          <cell r="A74" t="str">
            <v>6217086880</v>
          </cell>
          <cell r="B74">
            <v>62170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6217088710</v>
          </cell>
          <cell r="B75">
            <v>62170</v>
          </cell>
          <cell r="C75">
            <v>88710</v>
          </cell>
          <cell r="D75" t="str">
            <v>Losses-Bad Debts</v>
          </cell>
          <cell r="E75">
            <v>3407</v>
          </cell>
          <cell r="F75">
            <v>0</v>
          </cell>
          <cell r="G75">
            <v>3407</v>
          </cell>
          <cell r="H75">
            <v>0</v>
          </cell>
          <cell r="I75">
            <v>0</v>
          </cell>
          <cell r="J75">
            <v>3407</v>
          </cell>
          <cell r="K75">
            <v>0</v>
          </cell>
          <cell r="L75">
            <v>4814.1899999999996</v>
          </cell>
          <cell r="M75">
            <v>-1407.19</v>
          </cell>
          <cell r="N75">
            <v>-0.2923</v>
          </cell>
          <cell r="O75">
            <v>0</v>
          </cell>
          <cell r="P75">
            <v>0</v>
          </cell>
          <cell r="Q75">
            <v>-3992.81</v>
          </cell>
        </row>
        <row r="76">
          <cell r="A76" t="str">
            <v>6217088711</v>
          </cell>
          <cell r="B76">
            <v>62170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6217088785</v>
          </cell>
          <cell r="B77">
            <v>62170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A78" t="str">
            <v>6217088847</v>
          </cell>
          <cell r="B78">
            <v>62170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A79" t="str">
            <v>6217088866</v>
          </cell>
          <cell r="B79">
            <v>62170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A80" t="str">
            <v>6217088870</v>
          </cell>
          <cell r="B80">
            <v>62170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A81" t="str">
            <v>6217088889</v>
          </cell>
          <cell r="B81">
            <v>62170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>6217089776</v>
          </cell>
          <cell r="B82">
            <v>62170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6217089787</v>
          </cell>
          <cell r="B83">
            <v>62170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 t="str">
            <v>6217089510</v>
          </cell>
          <cell r="B84">
            <v>62170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226183</v>
          </cell>
          <cell r="G84">
            <v>-226183</v>
          </cell>
          <cell r="H84">
            <v>0</v>
          </cell>
          <cell r="I84">
            <v>63803</v>
          </cell>
          <cell r="J84">
            <v>-63803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226183</v>
          </cell>
          <cell r="P84">
            <v>63803</v>
          </cell>
          <cell r="Q84">
            <v>0</v>
          </cell>
        </row>
        <row r="85">
          <cell r="A85" t="str">
            <v>6217089511</v>
          </cell>
          <cell r="B85">
            <v>62170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 t="str">
            <v>6217089512</v>
          </cell>
          <cell r="B86">
            <v>62170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A87" t="str">
            <v>6217089528</v>
          </cell>
          <cell r="B87">
            <v>62170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 t="str">
            <v>6217089529</v>
          </cell>
          <cell r="B88">
            <v>62170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8557</v>
          </cell>
          <cell r="G88">
            <v>-8557</v>
          </cell>
          <cell r="H88">
            <v>0</v>
          </cell>
          <cell r="I88">
            <v>4667</v>
          </cell>
          <cell r="J88">
            <v>-4667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8557</v>
          </cell>
          <cell r="P88">
            <v>4667</v>
          </cell>
          <cell r="Q88">
            <v>0</v>
          </cell>
        </row>
        <row r="89">
          <cell r="A89" t="str">
            <v>6217089567</v>
          </cell>
          <cell r="B89">
            <v>62170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 t="str">
            <v>6217085058</v>
          </cell>
          <cell r="B90">
            <v>62170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 t="str">
            <v>6217086513</v>
          </cell>
          <cell r="B91">
            <v>62170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1302.74</v>
          </cell>
          <cell r="G91">
            <v>-1302.74</v>
          </cell>
          <cell r="H91">
            <v>0</v>
          </cell>
          <cell r="I91">
            <v>141.77000000000001</v>
          </cell>
          <cell r="J91">
            <v>-141.77000000000001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2069.42</v>
          </cell>
          <cell r="P91">
            <v>208.48</v>
          </cell>
          <cell r="Q91">
            <v>0</v>
          </cell>
        </row>
        <row r="92">
          <cell r="A92" t="str">
            <v>6217086519</v>
          </cell>
          <cell r="B92">
            <v>62170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 t="str">
            <v>6217088770</v>
          </cell>
          <cell r="B93">
            <v>62170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 t="str">
            <v>6217088862</v>
          </cell>
          <cell r="B94">
            <v>62170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 t="str">
            <v>6217088874</v>
          </cell>
          <cell r="B95">
            <v>62170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A96" t="str">
            <v>6217089910</v>
          </cell>
          <cell r="B96">
            <v>62170</v>
          </cell>
          <cell r="C96">
            <v>89910</v>
          </cell>
          <cell r="D96" t="str">
            <v>Depreciation</v>
          </cell>
          <cell r="E96">
            <v>0</v>
          </cell>
          <cell r="F96">
            <v>120771.17</v>
          </cell>
          <cell r="G96">
            <v>-120771.17</v>
          </cell>
          <cell r="H96">
            <v>0</v>
          </cell>
          <cell r="I96">
            <v>117164.64</v>
          </cell>
          <cell r="J96">
            <v>-117164.64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179840.72</v>
          </cell>
          <cell r="P96">
            <v>175384.25</v>
          </cell>
          <cell r="Q96">
            <v>0</v>
          </cell>
        </row>
        <row r="97">
          <cell r="A97" t="str">
            <v>6217089548</v>
          </cell>
          <cell r="B97">
            <v>62170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A98" t="str">
            <v>6219541010</v>
          </cell>
          <cell r="B98">
            <v>62195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A99" t="str">
            <v>6219541040</v>
          </cell>
          <cell r="B99">
            <v>62195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A100" t="str">
            <v>6219541050</v>
          </cell>
          <cell r="B100">
            <v>62195</v>
          </cell>
          <cell r="C100">
            <v>41050</v>
          </cell>
          <cell r="D100" t="str">
            <v>Rental Income - Fixed</v>
          </cell>
          <cell r="E100">
            <v>-4146310.79</v>
          </cell>
          <cell r="F100">
            <v>-4098307.69</v>
          </cell>
          <cell r="G100">
            <v>-48003.1000000001</v>
          </cell>
          <cell r="H100">
            <v>1.17E-2</v>
          </cell>
          <cell r="I100">
            <v>-4135758.75</v>
          </cell>
          <cell r="J100">
            <v>-10552.04</v>
          </cell>
          <cell r="K100">
            <v>2.5999999999999999E-3</v>
          </cell>
          <cell r="L100">
            <v>-4040321.31</v>
          </cell>
          <cell r="M100">
            <v>-105989.48</v>
          </cell>
          <cell r="N100">
            <v>2.6200000000000001E-2</v>
          </cell>
          <cell r="O100">
            <v>-6209402.8799999999</v>
          </cell>
          <cell r="P100">
            <v>-6286301.9100000001</v>
          </cell>
          <cell r="Q100">
            <v>-6121929.5899999999</v>
          </cell>
        </row>
        <row r="101">
          <cell r="A101" t="str">
            <v>6219541074</v>
          </cell>
          <cell r="B101">
            <v>62195</v>
          </cell>
          <cell r="C101">
            <v>41074</v>
          </cell>
          <cell r="D101" t="str">
            <v>Rental Income - Percentage</v>
          </cell>
          <cell r="E101">
            <v>-10935.64</v>
          </cell>
          <cell r="F101">
            <v>-16179</v>
          </cell>
          <cell r="G101">
            <v>5243.36</v>
          </cell>
          <cell r="H101">
            <v>-0.3241</v>
          </cell>
          <cell r="I101">
            <v>-6310</v>
          </cell>
          <cell r="J101">
            <v>-4625.6400000000003</v>
          </cell>
          <cell r="K101">
            <v>0.73309999999999997</v>
          </cell>
          <cell r="L101">
            <v>-11886.77</v>
          </cell>
          <cell r="M101">
            <v>951.13000000000102</v>
          </cell>
          <cell r="N101">
            <v>-0.08</v>
          </cell>
          <cell r="O101">
            <v>-16179</v>
          </cell>
          <cell r="P101">
            <v>-6310</v>
          </cell>
          <cell r="Q101">
            <v>-11886.95</v>
          </cell>
        </row>
        <row r="102">
          <cell r="A102" t="str">
            <v>6219541082</v>
          </cell>
          <cell r="B102">
            <v>62195</v>
          </cell>
          <cell r="C102">
            <v>41082</v>
          </cell>
          <cell r="D102" t="str">
            <v>Rental Income - Operating Exp</v>
          </cell>
          <cell r="E102">
            <v>-894627.3</v>
          </cell>
          <cell r="F102">
            <v>-1005723.04</v>
          </cell>
          <cell r="G102">
            <v>111095.74</v>
          </cell>
          <cell r="H102">
            <v>-0.1105</v>
          </cell>
          <cell r="I102">
            <v>-952736.83</v>
          </cell>
          <cell r="J102">
            <v>58109.529999999897</v>
          </cell>
          <cell r="K102">
            <v>-6.0999999999999999E-2</v>
          </cell>
          <cell r="L102">
            <v>-747434.1</v>
          </cell>
          <cell r="M102">
            <v>-147193.20000000001</v>
          </cell>
          <cell r="N102">
            <v>0.19689999999999999</v>
          </cell>
          <cell r="O102">
            <v>-1508584.56</v>
          </cell>
          <cell r="P102">
            <v>-1534421.83</v>
          </cell>
          <cell r="Q102">
            <v>-1283658.43</v>
          </cell>
        </row>
        <row r="103">
          <cell r="A103" t="str">
            <v>6219544610</v>
          </cell>
          <cell r="B103">
            <v>62195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A104" t="str">
            <v>6219545071</v>
          </cell>
          <cell r="B104">
            <v>62195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A105" t="str">
            <v>6219545010</v>
          </cell>
          <cell r="B105">
            <v>62195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6219545046</v>
          </cell>
          <cell r="B106">
            <v>62195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A107" t="str">
            <v>6219545070</v>
          </cell>
          <cell r="B107">
            <v>62195</v>
          </cell>
          <cell r="C107">
            <v>45070</v>
          </cell>
          <cell r="D107" t="str">
            <v>Other Income</v>
          </cell>
          <cell r="E107">
            <v>-20976.9</v>
          </cell>
          <cell r="F107">
            <v>0</v>
          </cell>
          <cell r="G107">
            <v>-20976.9</v>
          </cell>
          <cell r="H107">
            <v>0</v>
          </cell>
          <cell r="I107">
            <v>-16000.01</v>
          </cell>
          <cell r="J107">
            <v>-4976.8900000000003</v>
          </cell>
          <cell r="K107">
            <v>0.31109999999999999</v>
          </cell>
          <cell r="L107">
            <v>-1.29</v>
          </cell>
          <cell r="M107">
            <v>-20975.61</v>
          </cell>
          <cell r="N107">
            <v>16260.1628</v>
          </cell>
          <cell r="O107">
            <v>0</v>
          </cell>
          <cell r="P107">
            <v>-16000.01</v>
          </cell>
          <cell r="Q107">
            <v>-0.28000000000000003</v>
          </cell>
        </row>
        <row r="108">
          <cell r="A108" t="str">
            <v>6219541060</v>
          </cell>
          <cell r="B108">
            <v>62195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9832</v>
          </cell>
          <cell r="G108">
            <v>-9832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14748</v>
          </cell>
          <cell r="P108">
            <v>0</v>
          </cell>
          <cell r="Q108">
            <v>0</v>
          </cell>
        </row>
        <row r="109">
          <cell r="A109" t="str">
            <v>6219544870</v>
          </cell>
          <cell r="B109">
            <v>62195</v>
          </cell>
          <cell r="C109">
            <v>44870</v>
          </cell>
          <cell r="D109" t="str">
            <v>Late Fees</v>
          </cell>
          <cell r="E109">
            <v>-7279.79</v>
          </cell>
          <cell r="F109">
            <v>0</v>
          </cell>
          <cell r="G109">
            <v>-7279.79</v>
          </cell>
          <cell r="H109">
            <v>0</v>
          </cell>
          <cell r="I109">
            <v>-4972.05</v>
          </cell>
          <cell r="J109">
            <v>-2307.7399999999998</v>
          </cell>
          <cell r="K109">
            <v>0.46410000000000001</v>
          </cell>
          <cell r="L109">
            <v>-9.85</v>
          </cell>
          <cell r="M109">
            <v>-7269.94</v>
          </cell>
          <cell r="N109">
            <v>738.06500000000005</v>
          </cell>
          <cell r="O109">
            <v>0</v>
          </cell>
          <cell r="P109">
            <v>-4972.05</v>
          </cell>
          <cell r="Q109">
            <v>-6774.89</v>
          </cell>
        </row>
        <row r="110">
          <cell r="A110" t="str">
            <v>6219552542</v>
          </cell>
          <cell r="B110">
            <v>62195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6219572710</v>
          </cell>
          <cell r="B111">
            <v>62195</v>
          </cell>
          <cell r="C111">
            <v>72710</v>
          </cell>
          <cell r="D111" t="str">
            <v>Utilities - Electricity</v>
          </cell>
          <cell r="E111">
            <v>39383.040000000001</v>
          </cell>
          <cell r="F111">
            <v>52664</v>
          </cell>
          <cell r="G111">
            <v>-13280.96</v>
          </cell>
          <cell r="H111">
            <v>-0.25219999999999998</v>
          </cell>
          <cell r="I111">
            <v>42761.01</v>
          </cell>
          <cell r="J111">
            <v>-3377.97</v>
          </cell>
          <cell r="K111">
            <v>-7.9000000000000001E-2</v>
          </cell>
          <cell r="L111">
            <v>48798.16</v>
          </cell>
          <cell r="M111">
            <v>-9415.1200000000008</v>
          </cell>
          <cell r="N111">
            <v>-0.19289999999999999</v>
          </cell>
          <cell r="O111">
            <v>78996</v>
          </cell>
          <cell r="P111">
            <v>70693.009999999995</v>
          </cell>
          <cell r="Q111">
            <v>68033.13</v>
          </cell>
        </row>
        <row r="112">
          <cell r="A112" t="str">
            <v>6219572740</v>
          </cell>
          <cell r="B112">
            <v>62195</v>
          </cell>
          <cell r="C112">
            <v>72740</v>
          </cell>
          <cell r="D112" t="str">
            <v>Utilities - Gas</v>
          </cell>
          <cell r="E112">
            <v>1783.87</v>
          </cell>
          <cell r="F112">
            <v>0</v>
          </cell>
          <cell r="G112">
            <v>1783.87</v>
          </cell>
          <cell r="H112">
            <v>0</v>
          </cell>
          <cell r="I112">
            <v>407.61</v>
          </cell>
          <cell r="J112">
            <v>1376.26</v>
          </cell>
          <cell r="K112">
            <v>3.3763999999999998</v>
          </cell>
          <cell r="L112">
            <v>44.74</v>
          </cell>
          <cell r="M112">
            <v>1739.13</v>
          </cell>
          <cell r="N112">
            <v>38.871899999999997</v>
          </cell>
          <cell r="O112">
            <v>0</v>
          </cell>
          <cell r="P112">
            <v>1007.61</v>
          </cell>
          <cell r="Q112">
            <v>855.35</v>
          </cell>
        </row>
        <row r="113">
          <cell r="A113" t="str">
            <v>6219572770</v>
          </cell>
          <cell r="B113">
            <v>62195</v>
          </cell>
          <cell r="C113">
            <v>72770</v>
          </cell>
          <cell r="D113" t="str">
            <v>Utilities - Water</v>
          </cell>
          <cell r="E113">
            <v>19185.77</v>
          </cell>
          <cell r="F113">
            <v>18952</v>
          </cell>
          <cell r="G113">
            <v>233.77</v>
          </cell>
          <cell r="H113">
            <v>1.23E-2</v>
          </cell>
          <cell r="I113">
            <v>19769.509999999998</v>
          </cell>
          <cell r="J113">
            <v>-583.73999999999796</v>
          </cell>
          <cell r="K113">
            <v>-2.9499999999999998E-2</v>
          </cell>
          <cell r="L113">
            <v>13083.86</v>
          </cell>
          <cell r="M113">
            <v>6101.91</v>
          </cell>
          <cell r="N113">
            <v>0.46639999999999998</v>
          </cell>
          <cell r="O113">
            <v>28428</v>
          </cell>
          <cell r="P113">
            <v>29769.51</v>
          </cell>
          <cell r="Q113">
            <v>17643.939999999999</v>
          </cell>
        </row>
        <row r="114">
          <cell r="A114" t="str">
            <v>6219576000</v>
          </cell>
          <cell r="B114">
            <v>62195</v>
          </cell>
          <cell r="C114">
            <v>76000</v>
          </cell>
          <cell r="D114" t="str">
            <v>Bldg Maintenance &amp; Repair</v>
          </cell>
          <cell r="E114">
            <v>61870.62</v>
          </cell>
          <cell r="F114">
            <v>113373.64</v>
          </cell>
          <cell r="G114">
            <v>-51503.02</v>
          </cell>
          <cell r="H114">
            <v>-0.45429999999999998</v>
          </cell>
          <cell r="I114">
            <v>71419.039999999994</v>
          </cell>
          <cell r="J114">
            <v>-9548.4199999999892</v>
          </cell>
          <cell r="K114">
            <v>-0.13370000000000001</v>
          </cell>
          <cell r="L114">
            <v>51846.92</v>
          </cell>
          <cell r="M114">
            <v>10023.700000000001</v>
          </cell>
          <cell r="N114">
            <v>0.1933</v>
          </cell>
          <cell r="O114">
            <v>137351</v>
          </cell>
          <cell r="P114">
            <v>121205.4</v>
          </cell>
          <cell r="Q114">
            <v>162708.97</v>
          </cell>
        </row>
        <row r="115">
          <cell r="A115" t="str">
            <v>6219576020</v>
          </cell>
          <cell r="B115">
            <v>62195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A116" t="str">
            <v>6219576034</v>
          </cell>
          <cell r="B116">
            <v>62195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A117" t="str">
            <v>6219576050</v>
          </cell>
          <cell r="B117">
            <v>62195</v>
          </cell>
          <cell r="C117">
            <v>76050</v>
          </cell>
          <cell r="D117" t="str">
            <v>Cleaning Expense</v>
          </cell>
          <cell r="E117">
            <v>103810.51</v>
          </cell>
          <cell r="F117">
            <v>95288</v>
          </cell>
          <cell r="G117">
            <v>8522.5099999999893</v>
          </cell>
          <cell r="H117">
            <v>8.9399999999999993E-2</v>
          </cell>
          <cell r="I117">
            <v>102766.89</v>
          </cell>
          <cell r="J117">
            <v>1043.6199999999999</v>
          </cell>
          <cell r="K117">
            <v>1.0200000000000001E-2</v>
          </cell>
          <cell r="L117">
            <v>95147.76</v>
          </cell>
          <cell r="M117">
            <v>8662.75</v>
          </cell>
          <cell r="N117">
            <v>9.0999999999999998E-2</v>
          </cell>
          <cell r="O117">
            <v>142932</v>
          </cell>
          <cell r="P117">
            <v>151966.89000000001</v>
          </cell>
          <cell r="Q117">
            <v>144309.60999999999</v>
          </cell>
        </row>
        <row r="118">
          <cell r="A118" t="str">
            <v>6219576056</v>
          </cell>
          <cell r="B118">
            <v>62195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A119" t="str">
            <v>6219576070</v>
          </cell>
          <cell r="B119">
            <v>62195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A120" t="str">
            <v>6219576091</v>
          </cell>
          <cell r="B120">
            <v>62195</v>
          </cell>
          <cell r="C120">
            <v>76091</v>
          </cell>
          <cell r="D120" t="str">
            <v>Parking Maintenance</v>
          </cell>
          <cell r="E120">
            <v>43165.120000000003</v>
          </cell>
          <cell r="F120">
            <v>42048</v>
          </cell>
          <cell r="G120">
            <v>1117.1199999999999</v>
          </cell>
          <cell r="H120">
            <v>2.6599999999999999E-2</v>
          </cell>
          <cell r="I120">
            <v>42852.62</v>
          </cell>
          <cell r="J120">
            <v>312.5</v>
          </cell>
          <cell r="K120">
            <v>7.3000000000000001E-3</v>
          </cell>
          <cell r="L120">
            <v>48764.62</v>
          </cell>
          <cell r="M120">
            <v>-5599.5</v>
          </cell>
          <cell r="N120">
            <v>-0.1148</v>
          </cell>
          <cell r="O120">
            <v>93322</v>
          </cell>
          <cell r="P120">
            <v>103514.62</v>
          </cell>
          <cell r="Q120">
            <v>79597.740000000005</v>
          </cell>
        </row>
        <row r="121">
          <cell r="A121" t="str">
            <v>6219577000</v>
          </cell>
          <cell r="B121">
            <v>62195</v>
          </cell>
          <cell r="C121">
            <v>77000</v>
          </cell>
          <cell r="D121" t="str">
            <v>Grounds Maintenance</v>
          </cell>
          <cell r="E121">
            <v>46787.33</v>
          </cell>
          <cell r="F121">
            <v>77665.72</v>
          </cell>
          <cell r="G121">
            <v>-30878.39</v>
          </cell>
          <cell r="H121">
            <v>-0.39760000000000001</v>
          </cell>
          <cell r="I121">
            <v>43506.76</v>
          </cell>
          <cell r="J121">
            <v>3280.57</v>
          </cell>
          <cell r="K121">
            <v>7.5399999999999995E-2</v>
          </cell>
          <cell r="L121">
            <v>53188.44</v>
          </cell>
          <cell r="M121">
            <v>-6401.11</v>
          </cell>
          <cell r="N121">
            <v>-0.1203</v>
          </cell>
          <cell r="O121">
            <v>100282</v>
          </cell>
          <cell r="P121">
            <v>101048.03</v>
          </cell>
          <cell r="Q121">
            <v>73452.820000000007</v>
          </cell>
        </row>
        <row r="122">
          <cell r="A122" t="str">
            <v>6219577053</v>
          </cell>
          <cell r="B122">
            <v>62195</v>
          </cell>
          <cell r="C122">
            <v>77053</v>
          </cell>
          <cell r="D122" t="str">
            <v>Landscaping</v>
          </cell>
          <cell r="E122">
            <v>95646.9</v>
          </cell>
          <cell r="F122">
            <v>135017</v>
          </cell>
          <cell r="G122">
            <v>-39370.1</v>
          </cell>
          <cell r="H122">
            <v>-0.29160000000000003</v>
          </cell>
          <cell r="I122">
            <v>130707.65</v>
          </cell>
          <cell r="J122">
            <v>-35060.75</v>
          </cell>
          <cell r="K122">
            <v>-0.26819999999999999</v>
          </cell>
          <cell r="L122">
            <v>58487.77</v>
          </cell>
          <cell r="M122">
            <v>37159.129999999997</v>
          </cell>
          <cell r="N122">
            <v>0.63529999999999998</v>
          </cell>
          <cell r="O122">
            <v>176338</v>
          </cell>
          <cell r="P122">
            <v>175090.65</v>
          </cell>
          <cell r="Q122">
            <v>141114.59</v>
          </cell>
        </row>
        <row r="123">
          <cell r="A123" t="str">
            <v>6219578020</v>
          </cell>
          <cell r="B123">
            <v>62195</v>
          </cell>
          <cell r="C123">
            <v>78020</v>
          </cell>
          <cell r="D123" t="str">
            <v>Amortized CAM Exp</v>
          </cell>
          <cell r="E123">
            <v>0</v>
          </cell>
          <cell r="F123">
            <v>11111.36</v>
          </cell>
          <cell r="G123">
            <v>-11111.36</v>
          </cell>
          <cell r="H123">
            <v>0</v>
          </cell>
          <cell r="I123">
            <v>9375</v>
          </cell>
          <cell r="J123">
            <v>-9375</v>
          </cell>
          <cell r="K123">
            <v>0</v>
          </cell>
          <cell r="L123">
            <v>11112</v>
          </cell>
          <cell r="M123">
            <v>-11112</v>
          </cell>
          <cell r="N123">
            <v>0</v>
          </cell>
          <cell r="O123">
            <v>16667</v>
          </cell>
          <cell r="P123">
            <v>25000</v>
          </cell>
          <cell r="Q123">
            <v>0</v>
          </cell>
        </row>
        <row r="124">
          <cell r="A124" t="str">
            <v>6219584264</v>
          </cell>
          <cell r="B124">
            <v>62195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A125" t="str">
            <v>6219585555</v>
          </cell>
          <cell r="B125">
            <v>62195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A126" t="str">
            <v>6219585584</v>
          </cell>
          <cell r="B126">
            <v>62195</v>
          </cell>
          <cell r="C126">
            <v>85584</v>
          </cell>
          <cell r="D126" t="str">
            <v>Bldg Admin-Office Costs</v>
          </cell>
          <cell r="E126">
            <v>14386.51</v>
          </cell>
          <cell r="F126">
            <v>12880</v>
          </cell>
          <cell r="G126">
            <v>1506.51</v>
          </cell>
          <cell r="H126">
            <v>0.11700000000000001</v>
          </cell>
          <cell r="I126">
            <v>14133.66</v>
          </cell>
          <cell r="J126">
            <v>252.85</v>
          </cell>
          <cell r="K126">
            <v>1.7899999999999999E-2</v>
          </cell>
          <cell r="L126">
            <v>12820.67</v>
          </cell>
          <cell r="M126">
            <v>1565.84</v>
          </cell>
          <cell r="N126">
            <v>0.1221</v>
          </cell>
          <cell r="O126">
            <v>19320</v>
          </cell>
          <cell r="P126">
            <v>20944.18</v>
          </cell>
          <cell r="Q126">
            <v>20109.59</v>
          </cell>
        </row>
        <row r="127">
          <cell r="A127" t="str">
            <v>6219585582</v>
          </cell>
          <cell r="B127">
            <v>62195</v>
          </cell>
          <cell r="C127">
            <v>85582</v>
          </cell>
          <cell r="D127" t="str">
            <v>Bldg Admin-Salaries</v>
          </cell>
          <cell r="E127">
            <v>92831.039999999994</v>
          </cell>
          <cell r="F127">
            <v>86770</v>
          </cell>
          <cell r="G127">
            <v>6061.03999999999</v>
          </cell>
          <cell r="H127">
            <v>6.9900000000000004E-2</v>
          </cell>
          <cell r="I127">
            <v>94264.52</v>
          </cell>
          <cell r="J127">
            <v>-1433.48000000001</v>
          </cell>
          <cell r="K127">
            <v>-1.52E-2</v>
          </cell>
          <cell r="L127">
            <v>75735.59</v>
          </cell>
          <cell r="M127">
            <v>17095.45</v>
          </cell>
          <cell r="N127">
            <v>0.22570000000000001</v>
          </cell>
          <cell r="O127">
            <v>130155</v>
          </cell>
          <cell r="P127">
            <v>145621.09</v>
          </cell>
          <cell r="Q127">
            <v>123218.23</v>
          </cell>
        </row>
        <row r="128">
          <cell r="A128" t="str">
            <v>6219586564</v>
          </cell>
          <cell r="B128">
            <v>62195</v>
          </cell>
          <cell r="C128">
            <v>86564</v>
          </cell>
          <cell r="D128" t="str">
            <v>Insurance</v>
          </cell>
          <cell r="E128">
            <v>62011.28</v>
          </cell>
          <cell r="F128">
            <v>71312.639999999999</v>
          </cell>
          <cell r="G128">
            <v>-9301.36</v>
          </cell>
          <cell r="H128">
            <v>-0.13039999999999999</v>
          </cell>
          <cell r="I128">
            <v>60193.3</v>
          </cell>
          <cell r="J128">
            <v>1817.98</v>
          </cell>
          <cell r="K128">
            <v>3.0200000000000001E-2</v>
          </cell>
          <cell r="L128">
            <v>62016</v>
          </cell>
          <cell r="M128">
            <v>-4.7200000000011597</v>
          </cell>
          <cell r="N128">
            <v>-1E-4</v>
          </cell>
          <cell r="O128">
            <v>106969</v>
          </cell>
          <cell r="P128">
            <v>88762.94</v>
          </cell>
          <cell r="Q128">
            <v>93016</v>
          </cell>
        </row>
        <row r="129">
          <cell r="A129" t="str">
            <v>6219588846</v>
          </cell>
          <cell r="B129">
            <v>62195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5197</v>
          </cell>
          <cell r="Q129">
            <v>0</v>
          </cell>
        </row>
        <row r="130">
          <cell r="A130" t="str">
            <v>6219588890</v>
          </cell>
          <cell r="B130">
            <v>62195</v>
          </cell>
          <cell r="C130">
            <v>88890</v>
          </cell>
          <cell r="D130" t="str">
            <v>Security/Safety</v>
          </cell>
          <cell r="E130">
            <v>36298.269999999997</v>
          </cell>
          <cell r="F130">
            <v>34542</v>
          </cell>
          <cell r="G130">
            <v>1756.27</v>
          </cell>
          <cell r="H130">
            <v>5.0799999999999998E-2</v>
          </cell>
          <cell r="I130">
            <v>36179.360000000001</v>
          </cell>
          <cell r="J130">
            <v>118.909999999996</v>
          </cell>
          <cell r="K130">
            <v>3.3E-3</v>
          </cell>
          <cell r="L130">
            <v>33301.980000000003</v>
          </cell>
          <cell r="M130">
            <v>2996.28999999999</v>
          </cell>
          <cell r="N130">
            <v>0.09</v>
          </cell>
          <cell r="O130">
            <v>51813</v>
          </cell>
          <cell r="P130">
            <v>52771.360000000001</v>
          </cell>
          <cell r="Q130">
            <v>50206.66</v>
          </cell>
        </row>
        <row r="131">
          <cell r="A131" t="str">
            <v>6219589775</v>
          </cell>
          <cell r="B131">
            <v>62195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32">
          <cell r="A132" t="str">
            <v>6219589729</v>
          </cell>
          <cell r="B132">
            <v>62195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A133" t="str">
            <v>6219589786</v>
          </cell>
          <cell r="B133">
            <v>62195</v>
          </cell>
          <cell r="C133">
            <v>89786</v>
          </cell>
          <cell r="D133" t="str">
            <v>Property Tax Exp</v>
          </cell>
          <cell r="E133">
            <v>176931.98</v>
          </cell>
          <cell r="F133">
            <v>173147.36</v>
          </cell>
          <cell r="G133">
            <v>3784.6200000000199</v>
          </cell>
          <cell r="H133">
            <v>2.1899999999999999E-2</v>
          </cell>
          <cell r="I133">
            <v>177825.58</v>
          </cell>
          <cell r="J133">
            <v>-893.59999999997694</v>
          </cell>
          <cell r="K133">
            <v>-5.0000000000000001E-3</v>
          </cell>
          <cell r="L133">
            <v>148097.68</v>
          </cell>
          <cell r="M133">
            <v>28834.3</v>
          </cell>
          <cell r="N133">
            <v>0.19470000000000001</v>
          </cell>
          <cell r="O133">
            <v>259721</v>
          </cell>
          <cell r="P133">
            <v>274673.7</v>
          </cell>
          <cell r="Q133">
            <v>201413.42</v>
          </cell>
        </row>
        <row r="134">
          <cell r="A134" t="str">
            <v>6219571040</v>
          </cell>
          <cell r="B134">
            <v>62195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A135" t="str">
            <v>6219572701</v>
          </cell>
          <cell r="B135">
            <v>62195</v>
          </cell>
          <cell r="C135">
            <v>72701</v>
          </cell>
          <cell r="D135" t="str">
            <v>Utilities</v>
          </cell>
          <cell r="E135">
            <v>8451.84</v>
          </cell>
          <cell r="F135">
            <v>0</v>
          </cell>
          <cell r="G135">
            <v>8451.84</v>
          </cell>
          <cell r="H135">
            <v>0</v>
          </cell>
          <cell r="I135">
            <v>5871.7</v>
          </cell>
          <cell r="J135">
            <v>2580.14</v>
          </cell>
          <cell r="K135">
            <v>0.43940000000000001</v>
          </cell>
          <cell r="L135">
            <v>320.82</v>
          </cell>
          <cell r="M135">
            <v>8131.02</v>
          </cell>
          <cell r="N135">
            <v>25.3445</v>
          </cell>
          <cell r="O135">
            <v>0</v>
          </cell>
          <cell r="P135">
            <v>5871.7</v>
          </cell>
          <cell r="Q135">
            <v>908.36</v>
          </cell>
        </row>
        <row r="136">
          <cell r="A136" t="str">
            <v>6219572855</v>
          </cell>
          <cell r="B136">
            <v>62195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A137" t="str">
            <v>6219572870</v>
          </cell>
          <cell r="B137">
            <v>62195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A138" t="str">
            <v>6219576010</v>
          </cell>
          <cell r="B138">
            <v>62195</v>
          </cell>
          <cell r="C138">
            <v>76010</v>
          </cell>
          <cell r="D138" t="str">
            <v>Tenant Alterations</v>
          </cell>
          <cell r="E138">
            <v>778.24</v>
          </cell>
          <cell r="F138">
            <v>0</v>
          </cell>
          <cell r="G138">
            <v>778.24</v>
          </cell>
          <cell r="H138">
            <v>0</v>
          </cell>
          <cell r="I138">
            <v>643.24</v>
          </cell>
          <cell r="J138">
            <v>135</v>
          </cell>
          <cell r="K138">
            <v>0.2099</v>
          </cell>
          <cell r="L138">
            <v>145.30000000000001</v>
          </cell>
          <cell r="M138">
            <v>632.94000000000005</v>
          </cell>
          <cell r="N138">
            <v>4.3560999999999996</v>
          </cell>
          <cell r="O138">
            <v>0</v>
          </cell>
          <cell r="P138">
            <v>643.24</v>
          </cell>
          <cell r="Q138">
            <v>145.30000000000001</v>
          </cell>
        </row>
        <row r="139">
          <cell r="A139" t="str">
            <v>6219576040</v>
          </cell>
          <cell r="B139">
            <v>62195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A140" t="str">
            <v>6219576051</v>
          </cell>
          <cell r="B140">
            <v>62195</v>
          </cell>
          <cell r="C140">
            <v>76051</v>
          </cell>
          <cell r="D140" t="str">
            <v>Cleaning</v>
          </cell>
          <cell r="E140">
            <v>360.61</v>
          </cell>
          <cell r="F140">
            <v>0</v>
          </cell>
          <cell r="G140">
            <v>360.61</v>
          </cell>
          <cell r="H140">
            <v>0</v>
          </cell>
          <cell r="I140">
            <v>0</v>
          </cell>
          <cell r="J140">
            <v>360.61</v>
          </cell>
          <cell r="K140">
            <v>0</v>
          </cell>
          <cell r="L140">
            <v>0</v>
          </cell>
          <cell r="M140">
            <v>360.61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</row>
        <row r="141">
          <cell r="A141" t="str">
            <v>6219576054</v>
          </cell>
          <cell r="B141">
            <v>62195</v>
          </cell>
          <cell r="C141">
            <v>76054</v>
          </cell>
          <cell r="D141" t="str">
            <v>Bldg Maintenance &amp; Repair</v>
          </cell>
          <cell r="E141">
            <v>6141.5</v>
          </cell>
          <cell r="F141">
            <v>22500</v>
          </cell>
          <cell r="G141">
            <v>-16358.5</v>
          </cell>
          <cell r="H141">
            <v>-0.72699999999999998</v>
          </cell>
          <cell r="I141">
            <v>16284.5</v>
          </cell>
          <cell r="J141">
            <v>-10143</v>
          </cell>
          <cell r="K141">
            <v>-0.62290000000000001</v>
          </cell>
          <cell r="L141">
            <v>13027.82</v>
          </cell>
          <cell r="M141">
            <v>-6886.32</v>
          </cell>
          <cell r="N141">
            <v>-0.52859999999999996</v>
          </cell>
          <cell r="O141">
            <v>22500</v>
          </cell>
          <cell r="P141">
            <v>36284.5</v>
          </cell>
          <cell r="Q141">
            <v>84358.31</v>
          </cell>
        </row>
        <row r="142">
          <cell r="A142" t="str">
            <v>6219576060</v>
          </cell>
          <cell r="B142">
            <v>62195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6219576071</v>
          </cell>
          <cell r="B143">
            <v>62195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</row>
        <row r="144">
          <cell r="A144" t="str">
            <v>6219576090</v>
          </cell>
          <cell r="B144">
            <v>62195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A145" t="str">
            <v>6219577001</v>
          </cell>
          <cell r="B145">
            <v>62195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A146" t="str">
            <v>6219577022</v>
          </cell>
          <cell r="B146">
            <v>62195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A147" t="str">
            <v>6219584200</v>
          </cell>
          <cell r="B147">
            <v>62195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A148" t="str">
            <v>6219584240</v>
          </cell>
          <cell r="B148">
            <v>62195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14441.27</v>
          </cell>
          <cell r="M148">
            <v>-14441.27</v>
          </cell>
          <cell r="N148">
            <v>0</v>
          </cell>
          <cell r="O148">
            <v>0</v>
          </cell>
          <cell r="P148">
            <v>0</v>
          </cell>
          <cell r="Q148">
            <v>22709.31</v>
          </cell>
        </row>
        <row r="149">
          <cell r="A149" t="str">
            <v>6219584242</v>
          </cell>
          <cell r="B149">
            <v>62195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</row>
        <row r="150">
          <cell r="A150" t="str">
            <v>6219584243</v>
          </cell>
          <cell r="B150">
            <v>62195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-48405.47</v>
          </cell>
        </row>
        <row r="151">
          <cell r="A151" t="str">
            <v>6219584244</v>
          </cell>
          <cell r="B151">
            <v>62195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A152" t="str">
            <v>6219584265</v>
          </cell>
          <cell r="B152">
            <v>62195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3">
          <cell r="A153" t="str">
            <v>6219588037</v>
          </cell>
          <cell r="B153">
            <v>62195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A154" t="str">
            <v>6219585016</v>
          </cell>
          <cell r="B154">
            <v>62195</v>
          </cell>
          <cell r="C154">
            <v>85016</v>
          </cell>
          <cell r="D154" t="str">
            <v>Prof Svc-Attorney Outside</v>
          </cell>
          <cell r="E154">
            <v>32926.370000000003</v>
          </cell>
          <cell r="F154">
            <v>4000</v>
          </cell>
          <cell r="G154">
            <v>28926.37</v>
          </cell>
          <cell r="H154">
            <v>7.2316000000000003</v>
          </cell>
          <cell r="I154">
            <v>10707.6</v>
          </cell>
          <cell r="J154">
            <v>22218.77</v>
          </cell>
          <cell r="K154">
            <v>2.0750000000000002</v>
          </cell>
          <cell r="L154">
            <v>4601.42</v>
          </cell>
          <cell r="M154">
            <v>28324.95</v>
          </cell>
          <cell r="N154">
            <v>6.1557000000000004</v>
          </cell>
          <cell r="O154">
            <v>5000</v>
          </cell>
          <cell r="P154">
            <v>11707.6</v>
          </cell>
          <cell r="Q154">
            <v>7676.74</v>
          </cell>
        </row>
        <row r="155">
          <cell r="A155" t="str">
            <v>6219585022</v>
          </cell>
          <cell r="B155">
            <v>62195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3000</v>
          </cell>
          <cell r="P155">
            <v>3000</v>
          </cell>
          <cell r="Q155">
            <v>2725</v>
          </cell>
        </row>
        <row r="156">
          <cell r="A156" t="str">
            <v>6219585065</v>
          </cell>
          <cell r="B156">
            <v>62195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A157" t="str">
            <v>6219585500</v>
          </cell>
          <cell r="B157">
            <v>62195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3000</v>
          </cell>
          <cell r="G157">
            <v>-3000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6000</v>
          </cell>
          <cell r="P157">
            <v>3000</v>
          </cell>
          <cell r="Q157">
            <v>50</v>
          </cell>
        </row>
        <row r="158">
          <cell r="A158" t="str">
            <v>6219585566</v>
          </cell>
          <cell r="B158">
            <v>62195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A159" t="str">
            <v>6219585581</v>
          </cell>
          <cell r="B159">
            <v>62195</v>
          </cell>
          <cell r="C159">
            <v>85581</v>
          </cell>
          <cell r="D159" t="str">
            <v>Bldg Admin- Salaries</v>
          </cell>
          <cell r="E159">
            <v>52573.54</v>
          </cell>
          <cell r="F159">
            <v>51856</v>
          </cell>
          <cell r="G159">
            <v>717.54000000000099</v>
          </cell>
          <cell r="H159">
            <v>1.38E-2</v>
          </cell>
          <cell r="I159">
            <v>53563.839999999997</v>
          </cell>
          <cell r="J159">
            <v>-990.29999999999598</v>
          </cell>
          <cell r="K159">
            <v>-1.8499999999999999E-2</v>
          </cell>
          <cell r="L159">
            <v>43413.42</v>
          </cell>
          <cell r="M159">
            <v>9160.1200000000008</v>
          </cell>
          <cell r="N159">
            <v>0.21099999999999999</v>
          </cell>
          <cell r="O159">
            <v>77780</v>
          </cell>
          <cell r="P159">
            <v>84113.44</v>
          </cell>
          <cell r="Q159">
            <v>67201.710000000006</v>
          </cell>
        </row>
        <row r="160">
          <cell r="A160" t="str">
            <v>6219585583</v>
          </cell>
          <cell r="B160">
            <v>62195</v>
          </cell>
          <cell r="C160">
            <v>85583</v>
          </cell>
          <cell r="D160" t="str">
            <v>Bldg Admin-Office Exp.</v>
          </cell>
          <cell r="E160">
            <v>8030.6</v>
          </cell>
          <cell r="F160">
            <v>7521.36</v>
          </cell>
          <cell r="G160">
            <v>509.24000000000098</v>
          </cell>
          <cell r="H160">
            <v>6.7699999999999996E-2</v>
          </cell>
          <cell r="I160">
            <v>8132.44</v>
          </cell>
          <cell r="J160">
            <v>-101.83999999999899</v>
          </cell>
          <cell r="K160">
            <v>-1.2500000000000001E-2</v>
          </cell>
          <cell r="L160">
            <v>7221.14</v>
          </cell>
          <cell r="M160">
            <v>809.46</v>
          </cell>
          <cell r="N160">
            <v>0.11210000000000001</v>
          </cell>
          <cell r="O160">
            <v>11282</v>
          </cell>
          <cell r="P160">
            <v>11910.27</v>
          </cell>
          <cell r="Q160">
            <v>11237.35</v>
          </cell>
        </row>
        <row r="161">
          <cell r="A161" t="str">
            <v>6219585530</v>
          </cell>
          <cell r="B161">
            <v>62195</v>
          </cell>
          <cell r="C161">
            <v>85530</v>
          </cell>
          <cell r="D161" t="str">
            <v>Bldg Admin - Office Exp</v>
          </cell>
          <cell r="E161">
            <v>8030.6</v>
          </cell>
          <cell r="F161">
            <v>7521.36</v>
          </cell>
          <cell r="G161">
            <v>509.24000000000098</v>
          </cell>
          <cell r="H161">
            <v>6.7699999999999996E-2</v>
          </cell>
          <cell r="I161">
            <v>8132.44</v>
          </cell>
          <cell r="J161">
            <v>-101.83999999999899</v>
          </cell>
          <cell r="K161">
            <v>-1.2500000000000001E-2</v>
          </cell>
          <cell r="L161">
            <v>7221.14</v>
          </cell>
          <cell r="M161">
            <v>809.46</v>
          </cell>
          <cell r="N161">
            <v>0.11210000000000001</v>
          </cell>
          <cell r="O161">
            <v>11282</v>
          </cell>
          <cell r="P161">
            <v>11910.27</v>
          </cell>
          <cell r="Q161">
            <v>11237.35</v>
          </cell>
        </row>
        <row r="162">
          <cell r="A162" t="str">
            <v>6219586012</v>
          </cell>
          <cell r="B162">
            <v>62195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A163" t="str">
            <v>6219586037</v>
          </cell>
          <cell r="B163">
            <v>62195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A164" t="str">
            <v>6219583050</v>
          </cell>
          <cell r="B164">
            <v>62195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A165" t="str">
            <v>6219586510</v>
          </cell>
          <cell r="B165">
            <v>62195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A166" t="str">
            <v>6219586537</v>
          </cell>
          <cell r="B166">
            <v>62195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A167" t="str">
            <v>6219586566</v>
          </cell>
          <cell r="B167">
            <v>62195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A168" t="str">
            <v>6219586955</v>
          </cell>
          <cell r="B168">
            <v>62195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A169" t="str">
            <v>6219586985</v>
          </cell>
          <cell r="B169">
            <v>62195</v>
          </cell>
          <cell r="C169">
            <v>86985</v>
          </cell>
          <cell r="D169" t="str">
            <v>Purchased Svcs _ Other</v>
          </cell>
          <cell r="E169">
            <v>272.95999999999998</v>
          </cell>
          <cell r="F169">
            <v>0</v>
          </cell>
          <cell r="G169">
            <v>272.95999999999998</v>
          </cell>
          <cell r="H169">
            <v>0</v>
          </cell>
          <cell r="I169">
            <v>272.95999999999998</v>
          </cell>
          <cell r="J169">
            <v>0</v>
          </cell>
          <cell r="K169">
            <v>0</v>
          </cell>
          <cell r="L169">
            <v>0</v>
          </cell>
          <cell r="M169">
            <v>272.95999999999998</v>
          </cell>
          <cell r="N169">
            <v>0</v>
          </cell>
          <cell r="O169">
            <v>0</v>
          </cell>
          <cell r="P169">
            <v>-6890.04</v>
          </cell>
          <cell r="Q169">
            <v>0</v>
          </cell>
        </row>
        <row r="170">
          <cell r="A170" t="str">
            <v>6219586880</v>
          </cell>
          <cell r="B170">
            <v>62195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  <row r="171">
          <cell r="A171" t="str">
            <v>6219588710</v>
          </cell>
          <cell r="B171">
            <v>62195</v>
          </cell>
          <cell r="C171">
            <v>88710</v>
          </cell>
          <cell r="D171" t="str">
            <v>Losses-Bad Debts</v>
          </cell>
          <cell r="E171">
            <v>-30379.69</v>
          </cell>
          <cell r="F171">
            <v>61000</v>
          </cell>
          <cell r="G171">
            <v>-91379.69</v>
          </cell>
          <cell r="H171">
            <v>-1.498</v>
          </cell>
          <cell r="I171">
            <v>-27084.69</v>
          </cell>
          <cell r="J171">
            <v>-3295</v>
          </cell>
          <cell r="K171">
            <v>0.1217</v>
          </cell>
          <cell r="L171">
            <v>251534.99</v>
          </cell>
          <cell r="M171">
            <v>-281914.68</v>
          </cell>
          <cell r="N171">
            <v>-1.1208</v>
          </cell>
          <cell r="O171">
            <v>122000</v>
          </cell>
          <cell r="P171">
            <v>-27084.69</v>
          </cell>
          <cell r="Q171">
            <v>362857.99</v>
          </cell>
        </row>
        <row r="172">
          <cell r="A172" t="str">
            <v>6219588711</v>
          </cell>
          <cell r="B172">
            <v>62195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73">
          <cell r="A173" t="str">
            <v>6219588785</v>
          </cell>
          <cell r="B173">
            <v>62195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A174" t="str">
            <v>6219588847</v>
          </cell>
          <cell r="B174">
            <v>62195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</row>
        <row r="175">
          <cell r="A175" t="str">
            <v>6219588866</v>
          </cell>
          <cell r="B175">
            <v>62195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A176" t="str">
            <v>6219588870</v>
          </cell>
          <cell r="B176">
            <v>62195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</row>
        <row r="177">
          <cell r="A177" t="str">
            <v>6219588889</v>
          </cell>
          <cell r="B177">
            <v>62195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A178" t="str">
            <v>6219589776</v>
          </cell>
          <cell r="B178">
            <v>62195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</row>
        <row r="179">
          <cell r="A179" t="str">
            <v>6219589787</v>
          </cell>
          <cell r="B179">
            <v>62195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</row>
        <row r="180">
          <cell r="A180" t="str">
            <v>6219589510</v>
          </cell>
          <cell r="B180">
            <v>62195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557916</v>
          </cell>
          <cell r="G180">
            <v>-557916</v>
          </cell>
          <cell r="H180">
            <v>0</v>
          </cell>
          <cell r="I180">
            <v>157381</v>
          </cell>
          <cell r="J180">
            <v>-157381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557916</v>
          </cell>
          <cell r="P180">
            <v>157381</v>
          </cell>
          <cell r="Q180">
            <v>0</v>
          </cell>
        </row>
        <row r="181">
          <cell r="A181" t="str">
            <v>6219589511</v>
          </cell>
          <cell r="B181">
            <v>62195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2">
          <cell r="A182" t="str">
            <v>6219589512</v>
          </cell>
          <cell r="B182">
            <v>62195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</row>
        <row r="183">
          <cell r="A183" t="str">
            <v>6219589528</v>
          </cell>
          <cell r="B183">
            <v>62195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A184" t="str">
            <v>6219589529</v>
          </cell>
          <cell r="B184">
            <v>62195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21108</v>
          </cell>
          <cell r="G184">
            <v>-21108</v>
          </cell>
          <cell r="H184">
            <v>0</v>
          </cell>
          <cell r="I184">
            <v>11513</v>
          </cell>
          <cell r="J184">
            <v>-11513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21108</v>
          </cell>
          <cell r="P184">
            <v>11513</v>
          </cell>
          <cell r="Q184">
            <v>0</v>
          </cell>
        </row>
        <row r="185">
          <cell r="A185" t="str">
            <v>6219589567</v>
          </cell>
          <cell r="B185">
            <v>62195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A186" t="str">
            <v>6219585058</v>
          </cell>
          <cell r="B186">
            <v>62195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</row>
        <row r="187">
          <cell r="A187" t="str">
            <v>6219586513</v>
          </cell>
          <cell r="B187">
            <v>62195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204.02</v>
          </cell>
          <cell r="J187">
            <v>-204.02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474.71</v>
          </cell>
          <cell r="Q187">
            <v>0</v>
          </cell>
        </row>
        <row r="188">
          <cell r="A188" t="str">
            <v>6219586519</v>
          </cell>
          <cell r="B188">
            <v>62195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A189" t="str">
            <v>6219588770</v>
          </cell>
          <cell r="B189">
            <v>62195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A190" t="str">
            <v>6219588862</v>
          </cell>
          <cell r="B190">
            <v>62195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A191" t="str">
            <v>6219588874</v>
          </cell>
          <cell r="B191">
            <v>62195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A192" t="str">
            <v>6219589910</v>
          </cell>
          <cell r="B192">
            <v>62195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857133.1</v>
          </cell>
          <cell r="G192">
            <v>-857133.1</v>
          </cell>
          <cell r="H192">
            <v>0</v>
          </cell>
          <cell r="I192">
            <v>823919.39</v>
          </cell>
          <cell r="J192">
            <v>-823919.39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1279640.45</v>
          </cell>
          <cell r="P192">
            <v>1231292.18</v>
          </cell>
          <cell r="Q192">
            <v>0</v>
          </cell>
        </row>
        <row r="193">
          <cell r="A193" t="str">
            <v>6219589548</v>
          </cell>
          <cell r="B193">
            <v>62195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4">
          <cell r="A194" t="str">
            <v>6221541010</v>
          </cell>
          <cell r="B194">
            <v>62215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5">
          <cell r="A195" t="str">
            <v>6221541040</v>
          </cell>
          <cell r="B195">
            <v>62215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</row>
        <row r="196">
          <cell r="A196" t="str">
            <v>6221541050</v>
          </cell>
          <cell r="B196">
            <v>62215</v>
          </cell>
          <cell r="C196">
            <v>41050</v>
          </cell>
          <cell r="D196" t="str">
            <v>Rental Income - Fixed</v>
          </cell>
          <cell r="E196">
            <v>-871294.13</v>
          </cell>
          <cell r="F196">
            <v>-928767.35</v>
          </cell>
          <cell r="G196">
            <v>57473.22</v>
          </cell>
          <cell r="H196">
            <v>-6.1899999999999997E-2</v>
          </cell>
          <cell r="I196">
            <v>-908050.27</v>
          </cell>
          <cell r="J196">
            <v>36756.14</v>
          </cell>
          <cell r="K196">
            <v>-4.0500000000000001E-2</v>
          </cell>
          <cell r="L196">
            <v>-887956.99</v>
          </cell>
          <cell r="M196">
            <v>16662.86</v>
          </cell>
          <cell r="N196">
            <v>-1.8800000000000001E-2</v>
          </cell>
          <cell r="O196">
            <v>-1415061.77</v>
          </cell>
          <cell r="P196">
            <v>-1434058.81</v>
          </cell>
          <cell r="Q196">
            <v>-1361201.03</v>
          </cell>
        </row>
        <row r="197">
          <cell r="A197" t="str">
            <v>6221541074</v>
          </cell>
          <cell r="B197">
            <v>62215</v>
          </cell>
          <cell r="C197">
            <v>41074</v>
          </cell>
          <cell r="D197" t="str">
            <v>Rental Income - Percentage</v>
          </cell>
          <cell r="E197">
            <v>-9433.3799999999992</v>
          </cell>
          <cell r="F197">
            <v>-1405</v>
          </cell>
          <cell r="G197">
            <v>-8028.38</v>
          </cell>
          <cell r="H197">
            <v>5.7141000000000002</v>
          </cell>
          <cell r="I197">
            <v>-11206.95</v>
          </cell>
          <cell r="J197">
            <v>1773.57</v>
          </cell>
          <cell r="K197">
            <v>-0.1583</v>
          </cell>
          <cell r="L197">
            <v>-1376.17</v>
          </cell>
          <cell r="M197">
            <v>-8057.21</v>
          </cell>
          <cell r="N197">
            <v>5.8548</v>
          </cell>
          <cell r="O197">
            <v>-1405</v>
          </cell>
          <cell r="P197">
            <v>-11206.95</v>
          </cell>
          <cell r="Q197">
            <v>-1376.17</v>
          </cell>
        </row>
        <row r="198">
          <cell r="A198" t="str">
            <v>6221541082</v>
          </cell>
          <cell r="B198">
            <v>62215</v>
          </cell>
          <cell r="C198">
            <v>41082</v>
          </cell>
          <cell r="D198" t="str">
            <v>Rental Income - Operating Exp</v>
          </cell>
          <cell r="E198">
            <v>-217250.38</v>
          </cell>
          <cell r="F198">
            <v>-243714</v>
          </cell>
          <cell r="G198">
            <v>26463.62</v>
          </cell>
          <cell r="H198">
            <v>-0.1086</v>
          </cell>
          <cell r="I198">
            <v>-246759.65</v>
          </cell>
          <cell r="J198">
            <v>29509.27</v>
          </cell>
          <cell r="K198">
            <v>-0.1196</v>
          </cell>
          <cell r="L198">
            <v>-181291.3</v>
          </cell>
          <cell r="M198">
            <v>-35959.08</v>
          </cell>
          <cell r="N198">
            <v>0.1983</v>
          </cell>
          <cell r="O198">
            <v>-365571</v>
          </cell>
          <cell r="P198">
            <v>-375402.65</v>
          </cell>
          <cell r="Q198">
            <v>-209027.44</v>
          </cell>
        </row>
        <row r="199">
          <cell r="A199" t="str">
            <v>6221544610</v>
          </cell>
          <cell r="B199">
            <v>62215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A200" t="str">
            <v>6221545071</v>
          </cell>
          <cell r="B200">
            <v>62215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A201" t="str">
            <v>6221545010</v>
          </cell>
          <cell r="B201">
            <v>62215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02">
          <cell r="A202" t="str">
            <v>6221545046</v>
          </cell>
          <cell r="B202">
            <v>62215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 t="str">
            <v>6221545070</v>
          </cell>
          <cell r="B203">
            <v>62215</v>
          </cell>
          <cell r="C203">
            <v>45070</v>
          </cell>
          <cell r="D203" t="str">
            <v>Other Income</v>
          </cell>
          <cell r="E203">
            <v>-1299.92</v>
          </cell>
          <cell r="F203">
            <v>0</v>
          </cell>
          <cell r="G203">
            <v>-1299.92</v>
          </cell>
          <cell r="H203">
            <v>0</v>
          </cell>
          <cell r="I203">
            <v>-1000</v>
          </cell>
          <cell r="J203">
            <v>-299.92</v>
          </cell>
          <cell r="K203">
            <v>0.2999</v>
          </cell>
          <cell r="L203">
            <v>-523.33000000000004</v>
          </cell>
          <cell r="M203">
            <v>-776.59</v>
          </cell>
          <cell r="N203">
            <v>1.4839</v>
          </cell>
          <cell r="O203">
            <v>0</v>
          </cell>
          <cell r="P203">
            <v>-1000</v>
          </cell>
          <cell r="Q203">
            <v>-923.37</v>
          </cell>
        </row>
        <row r="204">
          <cell r="A204" t="str">
            <v>6221541060</v>
          </cell>
          <cell r="B204">
            <v>62215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20416</v>
          </cell>
          <cell r="G204">
            <v>-20416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30624</v>
          </cell>
          <cell r="P204">
            <v>0</v>
          </cell>
          <cell r="Q204">
            <v>0</v>
          </cell>
        </row>
        <row r="205">
          <cell r="A205" t="str">
            <v>6221544870</v>
          </cell>
          <cell r="B205">
            <v>62215</v>
          </cell>
          <cell r="C205">
            <v>44870</v>
          </cell>
          <cell r="D205" t="str">
            <v>Late Fees</v>
          </cell>
          <cell r="E205">
            <v>-3990.8</v>
          </cell>
          <cell r="F205">
            <v>-1333.36</v>
          </cell>
          <cell r="G205">
            <v>-2657.44</v>
          </cell>
          <cell r="H205">
            <v>1.9930000000000001</v>
          </cell>
          <cell r="I205">
            <v>-3657.04</v>
          </cell>
          <cell r="J205">
            <v>-333.76</v>
          </cell>
          <cell r="K205">
            <v>9.1300000000000006E-2</v>
          </cell>
          <cell r="L205">
            <v>-974.4</v>
          </cell>
          <cell r="M205">
            <v>-3016.4</v>
          </cell>
          <cell r="N205">
            <v>3.0956000000000001</v>
          </cell>
          <cell r="O205">
            <v>-2000</v>
          </cell>
          <cell r="P205">
            <v>-4323.68</v>
          </cell>
          <cell r="Q205">
            <v>-2373.2800000000002</v>
          </cell>
        </row>
        <row r="206">
          <cell r="A206" t="str">
            <v>6221552542</v>
          </cell>
          <cell r="B206">
            <v>62215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A207" t="str">
            <v>6221572710</v>
          </cell>
          <cell r="B207">
            <v>62215</v>
          </cell>
          <cell r="C207">
            <v>72710</v>
          </cell>
          <cell r="D207" t="str">
            <v>Utilities - Electricity</v>
          </cell>
          <cell r="E207">
            <v>13830.59</v>
          </cell>
          <cell r="F207">
            <v>15136</v>
          </cell>
          <cell r="G207">
            <v>-1305.4100000000001</v>
          </cell>
          <cell r="H207">
            <v>-8.6199999999999999E-2</v>
          </cell>
          <cell r="I207">
            <v>9867.34</v>
          </cell>
          <cell r="J207">
            <v>3963.25</v>
          </cell>
          <cell r="K207">
            <v>0.4017</v>
          </cell>
          <cell r="L207">
            <v>12495.75</v>
          </cell>
          <cell r="M207">
            <v>1334.84</v>
          </cell>
          <cell r="N207">
            <v>0.10680000000000001</v>
          </cell>
          <cell r="O207">
            <v>22704</v>
          </cell>
          <cell r="P207">
            <v>15867.34</v>
          </cell>
          <cell r="Q207">
            <v>17943.29</v>
          </cell>
        </row>
        <row r="208">
          <cell r="A208" t="str">
            <v>6221572740</v>
          </cell>
          <cell r="B208">
            <v>62215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A209" t="str">
            <v>6221572770</v>
          </cell>
          <cell r="B209">
            <v>62215</v>
          </cell>
          <cell r="C209">
            <v>72770</v>
          </cell>
          <cell r="D209" t="str">
            <v>Utilities - Water</v>
          </cell>
          <cell r="E209">
            <v>7896.13</v>
          </cell>
          <cell r="F209">
            <v>9800</v>
          </cell>
          <cell r="G209">
            <v>-1903.87</v>
          </cell>
          <cell r="H209">
            <v>-0.1943</v>
          </cell>
          <cell r="I209">
            <v>9076.01</v>
          </cell>
          <cell r="J209">
            <v>-1179.8800000000001</v>
          </cell>
          <cell r="K209">
            <v>-0.13</v>
          </cell>
          <cell r="L209">
            <v>8811.8700000000008</v>
          </cell>
          <cell r="M209">
            <v>-915.74000000000103</v>
          </cell>
          <cell r="N209">
            <v>-0.10390000000000001</v>
          </cell>
          <cell r="O209">
            <v>14700</v>
          </cell>
          <cell r="P209">
            <v>13976.01</v>
          </cell>
          <cell r="Q209">
            <v>12874.53</v>
          </cell>
        </row>
        <row r="210">
          <cell r="A210" t="str">
            <v>6221576000</v>
          </cell>
          <cell r="B210">
            <v>62215</v>
          </cell>
          <cell r="C210">
            <v>76000</v>
          </cell>
          <cell r="D210" t="str">
            <v>Bldg Maintenance &amp; Repair</v>
          </cell>
          <cell r="E210">
            <v>16262.35</v>
          </cell>
          <cell r="F210">
            <v>41861.360000000001</v>
          </cell>
          <cell r="G210">
            <v>-25599.01</v>
          </cell>
          <cell r="H210">
            <v>-0.61150000000000004</v>
          </cell>
          <cell r="I210">
            <v>36177.269999999997</v>
          </cell>
          <cell r="J210">
            <v>-19914.919999999998</v>
          </cell>
          <cell r="K210">
            <v>-0.55049999999999999</v>
          </cell>
          <cell r="L210">
            <v>19318.05</v>
          </cell>
          <cell r="M210">
            <v>-3055.7</v>
          </cell>
          <cell r="N210">
            <v>-0.15820000000000001</v>
          </cell>
          <cell r="O210">
            <v>59760</v>
          </cell>
          <cell r="P210">
            <v>59644.15</v>
          </cell>
          <cell r="Q210">
            <v>26952.87</v>
          </cell>
        </row>
        <row r="211">
          <cell r="A211" t="str">
            <v>6221576020</v>
          </cell>
          <cell r="B211">
            <v>62215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A212" t="str">
            <v>6221576034</v>
          </cell>
          <cell r="B212">
            <v>62215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</row>
        <row r="213">
          <cell r="A213" t="str">
            <v>6221576050</v>
          </cell>
          <cell r="B213">
            <v>62215</v>
          </cell>
          <cell r="C213">
            <v>76050</v>
          </cell>
          <cell r="D213" t="str">
            <v>Cleaning Expense</v>
          </cell>
          <cell r="E213">
            <v>14431.08</v>
          </cell>
          <cell r="F213">
            <v>14480</v>
          </cell>
          <cell r="G213">
            <v>-48.920000000000101</v>
          </cell>
          <cell r="H213">
            <v>-3.3999999999999998E-3</v>
          </cell>
          <cell r="I213">
            <v>14563.8</v>
          </cell>
          <cell r="J213">
            <v>-132.719999999999</v>
          </cell>
          <cell r="K213">
            <v>-9.1000000000000004E-3</v>
          </cell>
          <cell r="L213">
            <v>13566.22</v>
          </cell>
          <cell r="M213">
            <v>864.86000000000104</v>
          </cell>
          <cell r="N213">
            <v>6.3799999999999996E-2</v>
          </cell>
          <cell r="O213">
            <v>21720</v>
          </cell>
          <cell r="P213">
            <v>21803.8</v>
          </cell>
          <cell r="Q213">
            <v>20169.240000000002</v>
          </cell>
        </row>
        <row r="214">
          <cell r="A214" t="str">
            <v>6221576056</v>
          </cell>
          <cell r="B214">
            <v>62215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A215" t="str">
            <v>6221576070</v>
          </cell>
          <cell r="B215">
            <v>62215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6">
          <cell r="A216" t="str">
            <v>6221576091</v>
          </cell>
          <cell r="B216">
            <v>62215</v>
          </cell>
          <cell r="C216">
            <v>76091</v>
          </cell>
          <cell r="D216" t="str">
            <v>Parking Maintenance</v>
          </cell>
          <cell r="E216">
            <v>13422.75</v>
          </cell>
          <cell r="F216">
            <v>11356.64</v>
          </cell>
          <cell r="G216">
            <v>2066.11</v>
          </cell>
          <cell r="H216">
            <v>0.18190000000000001</v>
          </cell>
          <cell r="I216">
            <v>13370.49</v>
          </cell>
          <cell r="J216">
            <v>52.260000000000197</v>
          </cell>
          <cell r="K216">
            <v>3.8999999999999998E-3</v>
          </cell>
          <cell r="L216">
            <v>13739.31</v>
          </cell>
          <cell r="M216">
            <v>-316.55999999999898</v>
          </cell>
          <cell r="N216">
            <v>-2.3E-2</v>
          </cell>
          <cell r="O216">
            <v>17035</v>
          </cell>
          <cell r="P216">
            <v>19048.849999999999</v>
          </cell>
          <cell r="Q216">
            <v>20850.98</v>
          </cell>
        </row>
        <row r="217">
          <cell r="A217" t="str">
            <v>6221577000</v>
          </cell>
          <cell r="B217">
            <v>62215</v>
          </cell>
          <cell r="C217">
            <v>77000</v>
          </cell>
          <cell r="D217" t="str">
            <v>Grounds Maintenance</v>
          </cell>
          <cell r="E217">
            <v>10578.47</v>
          </cell>
          <cell r="F217">
            <v>19525.36</v>
          </cell>
          <cell r="G217">
            <v>-8946.89</v>
          </cell>
          <cell r="H217">
            <v>-0.4582</v>
          </cell>
          <cell r="I217">
            <v>14407.89</v>
          </cell>
          <cell r="J217">
            <v>-3829.42</v>
          </cell>
          <cell r="K217">
            <v>-0.26579999999999998</v>
          </cell>
          <cell r="L217">
            <v>13847.98</v>
          </cell>
          <cell r="M217">
            <v>-3269.51</v>
          </cell>
          <cell r="N217">
            <v>-0.2361</v>
          </cell>
          <cell r="O217">
            <v>24003</v>
          </cell>
          <cell r="P217">
            <v>19501.37</v>
          </cell>
          <cell r="Q217">
            <v>22510.91</v>
          </cell>
        </row>
        <row r="218">
          <cell r="A218" t="str">
            <v>6221577053</v>
          </cell>
          <cell r="B218">
            <v>62215</v>
          </cell>
          <cell r="C218">
            <v>77053</v>
          </cell>
          <cell r="D218" t="str">
            <v>Landscaping</v>
          </cell>
          <cell r="E218">
            <v>19028.490000000002</v>
          </cell>
          <cell r="F218">
            <v>31295</v>
          </cell>
          <cell r="G218">
            <v>-12266.51</v>
          </cell>
          <cell r="H218">
            <v>-0.39200000000000002</v>
          </cell>
          <cell r="I218">
            <v>22066.07</v>
          </cell>
          <cell r="J218">
            <v>-3037.58</v>
          </cell>
          <cell r="K218">
            <v>-0.13769999999999999</v>
          </cell>
          <cell r="L218">
            <v>15391.02</v>
          </cell>
          <cell r="M218">
            <v>3637.47</v>
          </cell>
          <cell r="N218">
            <v>0.23630000000000001</v>
          </cell>
          <cell r="O218">
            <v>40935</v>
          </cell>
          <cell r="P218">
            <v>35714.07</v>
          </cell>
          <cell r="Q218">
            <v>26932.61</v>
          </cell>
        </row>
        <row r="219">
          <cell r="A219" t="str">
            <v>6221578020</v>
          </cell>
          <cell r="B219">
            <v>62215</v>
          </cell>
          <cell r="C219">
            <v>78020</v>
          </cell>
          <cell r="D219" t="str">
            <v>Amortized CAM Exp</v>
          </cell>
          <cell r="E219">
            <v>-3702</v>
          </cell>
          <cell r="F219">
            <v>13333.36</v>
          </cell>
          <cell r="G219">
            <v>-17035.36</v>
          </cell>
          <cell r="H219">
            <v>-1.2776000000000001</v>
          </cell>
          <cell r="I219">
            <v>-2313.75</v>
          </cell>
          <cell r="J219">
            <v>-1388.25</v>
          </cell>
          <cell r="K219">
            <v>0.6</v>
          </cell>
          <cell r="L219">
            <v>7777.77</v>
          </cell>
          <cell r="M219">
            <v>-11479.77</v>
          </cell>
          <cell r="N219">
            <v>-1.476</v>
          </cell>
          <cell r="O219">
            <v>20000</v>
          </cell>
          <cell r="P219">
            <v>0.5</v>
          </cell>
          <cell r="Q219">
            <v>56111</v>
          </cell>
        </row>
        <row r="220">
          <cell r="A220" t="str">
            <v>6221584264</v>
          </cell>
          <cell r="B220">
            <v>62215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A221" t="str">
            <v>6221585555</v>
          </cell>
          <cell r="B221">
            <v>62215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</row>
        <row r="222">
          <cell r="A222" t="str">
            <v>6221585584</v>
          </cell>
          <cell r="B222">
            <v>62215</v>
          </cell>
          <cell r="C222">
            <v>85584</v>
          </cell>
          <cell r="D222" t="str">
            <v>Bldg Admin-Office Costs</v>
          </cell>
          <cell r="E222">
            <v>2371.44</v>
          </cell>
          <cell r="F222">
            <v>2256</v>
          </cell>
          <cell r="G222">
            <v>115.44</v>
          </cell>
          <cell r="H222">
            <v>5.1200000000000002E-2</v>
          </cell>
          <cell r="I222">
            <v>2325.46</v>
          </cell>
          <cell r="J222">
            <v>45.98</v>
          </cell>
          <cell r="K222">
            <v>1.9800000000000002E-2</v>
          </cell>
          <cell r="L222">
            <v>2259.73</v>
          </cell>
          <cell r="M222">
            <v>111.71</v>
          </cell>
          <cell r="N222">
            <v>4.9399999999999999E-2</v>
          </cell>
          <cell r="O222">
            <v>3384</v>
          </cell>
          <cell r="P222">
            <v>3436.69</v>
          </cell>
          <cell r="Q222">
            <v>3539.03</v>
          </cell>
        </row>
        <row r="223">
          <cell r="A223" t="str">
            <v>6221585582</v>
          </cell>
          <cell r="B223">
            <v>62215</v>
          </cell>
          <cell r="C223">
            <v>85582</v>
          </cell>
          <cell r="D223" t="str">
            <v>Bldg Admin-Salaries</v>
          </cell>
          <cell r="E223">
            <v>15340.75</v>
          </cell>
          <cell r="F223">
            <v>15216</v>
          </cell>
          <cell r="G223">
            <v>124.75</v>
          </cell>
          <cell r="H223">
            <v>8.2000000000000007E-3</v>
          </cell>
          <cell r="I223">
            <v>15533.48</v>
          </cell>
          <cell r="J223">
            <v>-192.73</v>
          </cell>
          <cell r="K223">
            <v>-1.24E-2</v>
          </cell>
          <cell r="L223">
            <v>13274.88</v>
          </cell>
          <cell r="M223">
            <v>2065.87</v>
          </cell>
          <cell r="N223">
            <v>0.15559999999999999</v>
          </cell>
          <cell r="O223">
            <v>22824</v>
          </cell>
          <cell r="P223">
            <v>23901.53</v>
          </cell>
          <cell r="Q223">
            <v>21597.45</v>
          </cell>
        </row>
        <row r="224">
          <cell r="A224" t="str">
            <v>6221586564</v>
          </cell>
          <cell r="B224">
            <v>62215</v>
          </cell>
          <cell r="C224">
            <v>86564</v>
          </cell>
          <cell r="D224" t="str">
            <v>Insurance</v>
          </cell>
          <cell r="E224">
            <v>10940.67</v>
          </cell>
          <cell r="F224">
            <v>15582</v>
          </cell>
          <cell r="G224">
            <v>-4641.33</v>
          </cell>
          <cell r="H224">
            <v>-0.2979</v>
          </cell>
          <cell r="I224">
            <v>10979.26</v>
          </cell>
          <cell r="J224">
            <v>-38.590000000000103</v>
          </cell>
          <cell r="K224">
            <v>-3.5000000000000001E-3</v>
          </cell>
          <cell r="L224">
            <v>13560</v>
          </cell>
          <cell r="M224">
            <v>-2619.33</v>
          </cell>
          <cell r="N224">
            <v>-0.19320000000000001</v>
          </cell>
          <cell r="O224">
            <v>23373</v>
          </cell>
          <cell r="P224">
            <v>16499.900000000001</v>
          </cell>
          <cell r="Q224">
            <v>20324</v>
          </cell>
        </row>
        <row r="225">
          <cell r="A225" t="str">
            <v>6221588846</v>
          </cell>
          <cell r="B225">
            <v>62215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11410</v>
          </cell>
          <cell r="Q225">
            <v>0</v>
          </cell>
        </row>
        <row r="226">
          <cell r="A226" t="str">
            <v>6221588890</v>
          </cell>
          <cell r="B226">
            <v>62215</v>
          </cell>
          <cell r="C226">
            <v>88890</v>
          </cell>
          <cell r="D226" t="str">
            <v>Security/Safety</v>
          </cell>
          <cell r="E226">
            <v>4460.2700000000004</v>
          </cell>
          <cell r="F226">
            <v>3600</v>
          </cell>
          <cell r="G226">
            <v>860.27</v>
          </cell>
          <cell r="H226">
            <v>0.23899999999999999</v>
          </cell>
          <cell r="I226">
            <v>4662.7700000000004</v>
          </cell>
          <cell r="J226">
            <v>-202.5</v>
          </cell>
          <cell r="K226">
            <v>-4.3400000000000001E-2</v>
          </cell>
          <cell r="L226">
            <v>2304.7399999999998</v>
          </cell>
          <cell r="M226">
            <v>2155.5300000000002</v>
          </cell>
          <cell r="N226">
            <v>0.93530000000000002</v>
          </cell>
          <cell r="O226">
            <v>5400</v>
          </cell>
          <cell r="P226">
            <v>6462.77</v>
          </cell>
          <cell r="Q226">
            <v>3983.43</v>
          </cell>
        </row>
        <row r="227">
          <cell r="A227" t="str">
            <v>6221589775</v>
          </cell>
          <cell r="B227">
            <v>62215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A228" t="str">
            <v>6221589729</v>
          </cell>
          <cell r="B228">
            <v>62215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 t="str">
            <v>6221589786</v>
          </cell>
          <cell r="B229">
            <v>62215</v>
          </cell>
          <cell r="C229">
            <v>89786</v>
          </cell>
          <cell r="D229" t="str">
            <v>Property Tax Exp</v>
          </cell>
          <cell r="E229">
            <v>15616</v>
          </cell>
          <cell r="F229">
            <v>32742.639999999999</v>
          </cell>
          <cell r="G229">
            <v>-17126.64</v>
          </cell>
          <cell r="H229">
            <v>-0.52310000000000001</v>
          </cell>
          <cell r="I229">
            <v>16177.66</v>
          </cell>
          <cell r="J229">
            <v>-561.66</v>
          </cell>
          <cell r="K229">
            <v>-3.4700000000000002E-2</v>
          </cell>
          <cell r="L229">
            <v>31994.720000000001</v>
          </cell>
          <cell r="M229">
            <v>-16378.72</v>
          </cell>
          <cell r="N229">
            <v>-0.51190000000000002</v>
          </cell>
          <cell r="O229">
            <v>49114</v>
          </cell>
          <cell r="P229">
            <v>34795.46</v>
          </cell>
          <cell r="Q229">
            <v>-97126.02</v>
          </cell>
        </row>
        <row r="230">
          <cell r="A230" t="str">
            <v>6221571040</v>
          </cell>
          <cell r="B230">
            <v>62215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A231" t="str">
            <v>6221572701</v>
          </cell>
          <cell r="B231">
            <v>62215</v>
          </cell>
          <cell r="C231">
            <v>72701</v>
          </cell>
          <cell r="D231" t="str">
            <v>Utilities</v>
          </cell>
          <cell r="E231">
            <v>155.1</v>
          </cell>
          <cell r="F231">
            <v>0</v>
          </cell>
          <cell r="G231">
            <v>155.1</v>
          </cell>
          <cell r="H231">
            <v>0</v>
          </cell>
          <cell r="I231">
            <v>980.1</v>
          </cell>
          <cell r="J231">
            <v>-825</v>
          </cell>
          <cell r="K231">
            <v>-0.84179999999999999</v>
          </cell>
          <cell r="L231">
            <v>640.45000000000005</v>
          </cell>
          <cell r="M231">
            <v>-485.35</v>
          </cell>
          <cell r="N231">
            <v>-0.75780000000000003</v>
          </cell>
          <cell r="O231">
            <v>0</v>
          </cell>
          <cell r="P231">
            <v>2080.1</v>
          </cell>
          <cell r="Q231">
            <v>1054.42</v>
          </cell>
        </row>
        <row r="232">
          <cell r="A232" t="str">
            <v>6221572855</v>
          </cell>
          <cell r="B232">
            <v>62215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A233" t="str">
            <v>6221572870</v>
          </cell>
          <cell r="B233">
            <v>62215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A234" t="str">
            <v>6221576010</v>
          </cell>
          <cell r="B234">
            <v>62215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96.98</v>
          </cell>
          <cell r="M234">
            <v>-96.98</v>
          </cell>
          <cell r="N234">
            <v>0</v>
          </cell>
          <cell r="O234">
            <v>0</v>
          </cell>
          <cell r="P234">
            <v>0</v>
          </cell>
          <cell r="Q234">
            <v>96.98</v>
          </cell>
        </row>
        <row r="235">
          <cell r="A235" t="str">
            <v>6221576040</v>
          </cell>
          <cell r="B235">
            <v>62215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A236" t="str">
            <v>6221576051</v>
          </cell>
          <cell r="B236">
            <v>62215</v>
          </cell>
          <cell r="C236">
            <v>76051</v>
          </cell>
          <cell r="D236" t="str">
            <v>Cleaning</v>
          </cell>
          <cell r="E236">
            <v>376.32</v>
          </cell>
          <cell r="F236">
            <v>0</v>
          </cell>
          <cell r="G236">
            <v>376.32</v>
          </cell>
          <cell r="H236">
            <v>0</v>
          </cell>
          <cell r="I236">
            <v>0</v>
          </cell>
          <cell r="J236">
            <v>376.32</v>
          </cell>
          <cell r="K236">
            <v>0</v>
          </cell>
          <cell r="L236">
            <v>0</v>
          </cell>
          <cell r="M236">
            <v>376.32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</row>
        <row r="237">
          <cell r="A237" t="str">
            <v>6221576054</v>
          </cell>
          <cell r="B237">
            <v>62215</v>
          </cell>
          <cell r="C237">
            <v>76054</v>
          </cell>
          <cell r="D237" t="str">
            <v>Bldg Maintenance &amp; Repair</v>
          </cell>
          <cell r="E237">
            <v>24450.3</v>
          </cell>
          <cell r="F237">
            <v>1700</v>
          </cell>
          <cell r="G237">
            <v>22750.3</v>
          </cell>
          <cell r="H237">
            <v>13.3825</v>
          </cell>
          <cell r="I237">
            <v>5793.97</v>
          </cell>
          <cell r="J237">
            <v>18656.330000000002</v>
          </cell>
          <cell r="K237">
            <v>3.22</v>
          </cell>
          <cell r="L237">
            <v>5770.75</v>
          </cell>
          <cell r="M237">
            <v>18679.55</v>
          </cell>
          <cell r="N237">
            <v>3.2368999999999999</v>
          </cell>
          <cell r="O237">
            <v>51900</v>
          </cell>
          <cell r="P237">
            <v>55993.97</v>
          </cell>
          <cell r="Q237">
            <v>-19236.53</v>
          </cell>
        </row>
        <row r="238">
          <cell r="A238" t="str">
            <v>6221576060</v>
          </cell>
          <cell r="B238">
            <v>62215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A239" t="str">
            <v>6221576071</v>
          </cell>
          <cell r="B239">
            <v>62215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</row>
        <row r="240">
          <cell r="A240" t="str">
            <v>6221576090</v>
          </cell>
          <cell r="B240">
            <v>62215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A241" t="str">
            <v>6221577001</v>
          </cell>
          <cell r="B241">
            <v>62215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</row>
        <row r="242">
          <cell r="A242" t="str">
            <v>6221577022</v>
          </cell>
          <cell r="B242">
            <v>62215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A243" t="str">
            <v>6221584200</v>
          </cell>
          <cell r="B243">
            <v>62215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A244" t="str">
            <v>6221584240</v>
          </cell>
          <cell r="B244">
            <v>62215</v>
          </cell>
          <cell r="C244">
            <v>84240</v>
          </cell>
          <cell r="D244" t="str">
            <v>Marketing Leasing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3313.32</v>
          </cell>
          <cell r="M244">
            <v>-3313.32</v>
          </cell>
          <cell r="N244">
            <v>0</v>
          </cell>
          <cell r="O244">
            <v>0</v>
          </cell>
          <cell r="P244">
            <v>0</v>
          </cell>
          <cell r="Q244">
            <v>5211.68</v>
          </cell>
        </row>
        <row r="245">
          <cell r="A245" t="str">
            <v>6221584242</v>
          </cell>
          <cell r="B245">
            <v>62215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A246" t="str">
            <v>6221584243</v>
          </cell>
          <cell r="B246">
            <v>62215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-11735.75</v>
          </cell>
        </row>
        <row r="247">
          <cell r="A247" t="str">
            <v>6221584244</v>
          </cell>
          <cell r="B247">
            <v>62215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A248" t="str">
            <v>6221584265</v>
          </cell>
          <cell r="B248">
            <v>62215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A249" t="str">
            <v>6221588037</v>
          </cell>
          <cell r="B249">
            <v>62215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A250" t="str">
            <v>6221585016</v>
          </cell>
          <cell r="B250">
            <v>62215</v>
          </cell>
          <cell r="C250">
            <v>85016</v>
          </cell>
          <cell r="D250" t="str">
            <v>Prof Svc-Attorney Outside</v>
          </cell>
          <cell r="E250">
            <v>-1098</v>
          </cell>
          <cell r="F250">
            <v>2250</v>
          </cell>
          <cell r="G250">
            <v>-3348</v>
          </cell>
          <cell r="H250">
            <v>-1.488</v>
          </cell>
          <cell r="I250">
            <v>-2202</v>
          </cell>
          <cell r="J250">
            <v>1104</v>
          </cell>
          <cell r="K250">
            <v>-0.50139999999999996</v>
          </cell>
          <cell r="L250">
            <v>5344.68</v>
          </cell>
          <cell r="M250">
            <v>-6442.68</v>
          </cell>
          <cell r="N250">
            <v>-1.2054</v>
          </cell>
          <cell r="O250">
            <v>3000</v>
          </cell>
          <cell r="P250">
            <v>-1452</v>
          </cell>
          <cell r="Q250">
            <v>3844.68</v>
          </cell>
        </row>
        <row r="251">
          <cell r="A251" t="str">
            <v>6221585022</v>
          </cell>
          <cell r="B251">
            <v>62215</v>
          </cell>
          <cell r="C251">
            <v>85022</v>
          </cell>
          <cell r="D251" t="str">
            <v>Prof Svc-Audit/Acctng</v>
          </cell>
          <cell r="E251">
            <v>-1350</v>
          </cell>
          <cell r="F251">
            <v>750</v>
          </cell>
          <cell r="G251">
            <v>-2100</v>
          </cell>
          <cell r="H251">
            <v>-2.8</v>
          </cell>
          <cell r="I251">
            <v>-600</v>
          </cell>
          <cell r="J251">
            <v>-750</v>
          </cell>
          <cell r="K251">
            <v>1.25</v>
          </cell>
          <cell r="L251">
            <v>-600</v>
          </cell>
          <cell r="M251">
            <v>-750</v>
          </cell>
          <cell r="N251">
            <v>1.25</v>
          </cell>
          <cell r="O251">
            <v>750</v>
          </cell>
          <cell r="P251">
            <v>-600</v>
          </cell>
          <cell r="Q251">
            <v>1425</v>
          </cell>
        </row>
        <row r="252">
          <cell r="A252" t="str">
            <v>6221585065</v>
          </cell>
          <cell r="B252">
            <v>62215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A253" t="str">
            <v>6221585500</v>
          </cell>
          <cell r="B253">
            <v>62215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290</v>
          </cell>
          <cell r="M253">
            <v>-290</v>
          </cell>
          <cell r="N253">
            <v>0</v>
          </cell>
          <cell r="O253">
            <v>0</v>
          </cell>
          <cell r="P253">
            <v>0</v>
          </cell>
          <cell r="Q253">
            <v>1740</v>
          </cell>
        </row>
        <row r="254">
          <cell r="A254" t="str">
            <v>6221585566</v>
          </cell>
          <cell r="B254">
            <v>62215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</row>
        <row r="255">
          <cell r="A255" t="str">
            <v>6221585581</v>
          </cell>
          <cell r="B255">
            <v>62215</v>
          </cell>
          <cell r="C255">
            <v>85581</v>
          </cell>
          <cell r="D255" t="str">
            <v>Bldg Admin- Salaries</v>
          </cell>
          <cell r="E255">
            <v>8690.42</v>
          </cell>
          <cell r="F255">
            <v>9096.64</v>
          </cell>
          <cell r="G255">
            <v>-406.219999999999</v>
          </cell>
          <cell r="H255">
            <v>-4.4699999999999997E-2</v>
          </cell>
          <cell r="I255">
            <v>8828.0300000000007</v>
          </cell>
          <cell r="J255">
            <v>-137.61000000000101</v>
          </cell>
          <cell r="K255">
            <v>-1.5599999999999999E-2</v>
          </cell>
          <cell r="L255">
            <v>6477.09</v>
          </cell>
          <cell r="M255">
            <v>2213.33</v>
          </cell>
          <cell r="N255">
            <v>0.3417</v>
          </cell>
          <cell r="O255">
            <v>13645</v>
          </cell>
          <cell r="P255">
            <v>13806.27</v>
          </cell>
          <cell r="Q255">
            <v>10197.43</v>
          </cell>
        </row>
        <row r="256">
          <cell r="A256" t="str">
            <v>6221585583</v>
          </cell>
          <cell r="B256">
            <v>62215</v>
          </cell>
          <cell r="C256">
            <v>85583</v>
          </cell>
          <cell r="D256" t="str">
            <v>Bldg Admin-Office Exp.</v>
          </cell>
          <cell r="E256">
            <v>2057.6799999999998</v>
          </cell>
          <cell r="F256">
            <v>1543.64</v>
          </cell>
          <cell r="G256">
            <v>514.04</v>
          </cell>
          <cell r="H256">
            <v>0.33300000000000002</v>
          </cell>
          <cell r="I256">
            <v>2286.2800000000002</v>
          </cell>
          <cell r="J256">
            <v>-228.6</v>
          </cell>
          <cell r="K256">
            <v>-0.1</v>
          </cell>
          <cell r="L256">
            <v>1319.01</v>
          </cell>
          <cell r="M256">
            <v>738.67</v>
          </cell>
          <cell r="N256">
            <v>0.56000000000000005</v>
          </cell>
          <cell r="O256">
            <v>2253</v>
          </cell>
          <cell r="P256">
            <v>3352.18</v>
          </cell>
          <cell r="Q256">
            <v>2023.99</v>
          </cell>
        </row>
        <row r="257">
          <cell r="A257" t="str">
            <v>6221585530</v>
          </cell>
          <cell r="B257">
            <v>62215</v>
          </cell>
          <cell r="C257">
            <v>85530</v>
          </cell>
          <cell r="D257" t="str">
            <v>Bldg Admin - Office Exp</v>
          </cell>
          <cell r="E257">
            <v>2057.6799999999998</v>
          </cell>
          <cell r="F257">
            <v>1543.64</v>
          </cell>
          <cell r="G257">
            <v>514.04</v>
          </cell>
          <cell r="H257">
            <v>0.33300000000000002</v>
          </cell>
          <cell r="I257">
            <v>2286.2800000000002</v>
          </cell>
          <cell r="J257">
            <v>-228.6</v>
          </cell>
          <cell r="K257">
            <v>-0.1</v>
          </cell>
          <cell r="L257">
            <v>1319.01</v>
          </cell>
          <cell r="M257">
            <v>738.67</v>
          </cell>
          <cell r="N257">
            <v>0.56000000000000005</v>
          </cell>
          <cell r="O257">
            <v>2253</v>
          </cell>
          <cell r="P257">
            <v>3352.18</v>
          </cell>
          <cell r="Q257">
            <v>2023.99</v>
          </cell>
        </row>
        <row r="258">
          <cell r="A258" t="str">
            <v>6221586012</v>
          </cell>
          <cell r="B258">
            <v>62215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A259" t="str">
            <v>6221586037</v>
          </cell>
          <cell r="B259">
            <v>62215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A260" t="str">
            <v>6221583050</v>
          </cell>
          <cell r="B260">
            <v>62215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</row>
        <row r="261">
          <cell r="A261" t="str">
            <v>6221586510</v>
          </cell>
          <cell r="B261">
            <v>62215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A262" t="str">
            <v>6221586537</v>
          </cell>
          <cell r="B262">
            <v>62215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3">
          <cell r="A263" t="str">
            <v>6221586566</v>
          </cell>
          <cell r="B263">
            <v>62215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A264" t="str">
            <v>6221586955</v>
          </cell>
          <cell r="B264">
            <v>62215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</row>
        <row r="265">
          <cell r="A265" t="str">
            <v>6221586985</v>
          </cell>
          <cell r="B265">
            <v>62215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-441</v>
          </cell>
          <cell r="Q265">
            <v>0</v>
          </cell>
        </row>
        <row r="266">
          <cell r="A266" t="str">
            <v>6221586880</v>
          </cell>
          <cell r="B266">
            <v>62215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A267" t="str">
            <v>6221588710</v>
          </cell>
          <cell r="B267">
            <v>62215</v>
          </cell>
          <cell r="C267">
            <v>88710</v>
          </cell>
          <cell r="D267" t="str">
            <v>Losses-Bad Debts</v>
          </cell>
          <cell r="E267">
            <v>-26739.74</v>
          </cell>
          <cell r="F267">
            <v>0</v>
          </cell>
          <cell r="G267">
            <v>-26739.74</v>
          </cell>
          <cell r="H267">
            <v>0</v>
          </cell>
          <cell r="I267">
            <v>-11408</v>
          </cell>
          <cell r="J267">
            <v>-15331.74</v>
          </cell>
          <cell r="K267">
            <v>1.3439000000000001</v>
          </cell>
          <cell r="L267">
            <v>-9901.2000000000007</v>
          </cell>
          <cell r="M267">
            <v>-16838.54</v>
          </cell>
          <cell r="N267">
            <v>1.7007000000000001</v>
          </cell>
          <cell r="O267">
            <v>0</v>
          </cell>
          <cell r="P267">
            <v>-11408</v>
          </cell>
          <cell r="Q267">
            <v>42123.8</v>
          </cell>
        </row>
        <row r="268">
          <cell r="A268" t="str">
            <v>6221588711</v>
          </cell>
          <cell r="B268">
            <v>62215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A269" t="str">
            <v>6221588785</v>
          </cell>
          <cell r="B269">
            <v>62215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</row>
        <row r="270">
          <cell r="A270" t="str">
            <v>6221588847</v>
          </cell>
          <cell r="B270">
            <v>62215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A271" t="str">
            <v>6221588866</v>
          </cell>
          <cell r="B271">
            <v>62215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A272" t="str">
            <v>6221588870</v>
          </cell>
          <cell r="B272">
            <v>62215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</row>
        <row r="273">
          <cell r="A273" t="str">
            <v>6221588889</v>
          </cell>
          <cell r="B273">
            <v>62215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A274" t="str">
            <v>6221589776</v>
          </cell>
          <cell r="B274">
            <v>62215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</row>
        <row r="275">
          <cell r="A275" t="str">
            <v>6221589787</v>
          </cell>
          <cell r="B275">
            <v>62215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A276" t="str">
            <v>6221589510</v>
          </cell>
          <cell r="B276">
            <v>62215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A277" t="str">
            <v>6221589511</v>
          </cell>
          <cell r="B277">
            <v>62215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</row>
        <row r="278">
          <cell r="A278" t="str">
            <v>6221589512</v>
          </cell>
          <cell r="B278">
            <v>62215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A279" t="str">
            <v>6221589528</v>
          </cell>
          <cell r="B279">
            <v>62215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A280" t="str">
            <v>6221589529</v>
          </cell>
          <cell r="B280">
            <v>62215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1">
          <cell r="A281" t="str">
            <v>6221589567</v>
          </cell>
          <cell r="B281">
            <v>62215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A282" t="str">
            <v>6221585058</v>
          </cell>
          <cell r="B282">
            <v>62215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A283" t="str">
            <v>6221586513</v>
          </cell>
          <cell r="B283">
            <v>62215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964.75</v>
          </cell>
          <cell r="G283">
            <v>-964.75</v>
          </cell>
          <cell r="H283">
            <v>0</v>
          </cell>
          <cell r="I283">
            <v>430.74</v>
          </cell>
          <cell r="J283">
            <v>-430.74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1801.31</v>
          </cell>
          <cell r="P283">
            <v>1005.06</v>
          </cell>
          <cell r="Q283">
            <v>0</v>
          </cell>
        </row>
        <row r="284">
          <cell r="A284" t="str">
            <v>6221586519</v>
          </cell>
          <cell r="B284">
            <v>62215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A285" t="str">
            <v>6221588770</v>
          </cell>
          <cell r="B285">
            <v>62215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A286" t="str">
            <v>6221588862</v>
          </cell>
          <cell r="B286">
            <v>62215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</row>
        <row r="287">
          <cell r="A287" t="str">
            <v>6221588874</v>
          </cell>
          <cell r="B287">
            <v>62215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A288" t="str">
            <v>6221589910</v>
          </cell>
          <cell r="B288">
            <v>62215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152509.74</v>
          </cell>
          <cell r="G288">
            <v>-152509.74</v>
          </cell>
          <cell r="H288">
            <v>0</v>
          </cell>
          <cell r="I288">
            <v>125518.9</v>
          </cell>
          <cell r="J288">
            <v>-125518.9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225611.59</v>
          </cell>
          <cell r="P288">
            <v>188278.32</v>
          </cell>
          <cell r="Q288">
            <v>0</v>
          </cell>
        </row>
        <row r="289">
          <cell r="A289" t="str">
            <v>6221589548</v>
          </cell>
          <cell r="B289">
            <v>62215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 t="str">
            <v>6221741010</v>
          </cell>
          <cell r="B290">
            <v>62217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A291" t="str">
            <v>6221741040</v>
          </cell>
          <cell r="B291">
            <v>62217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A292" t="str">
            <v>6221741050</v>
          </cell>
          <cell r="B292">
            <v>62217</v>
          </cell>
          <cell r="C292">
            <v>41050</v>
          </cell>
          <cell r="D292" t="str">
            <v>Rental Income - Fixed</v>
          </cell>
          <cell r="E292">
            <v>-2416593.27</v>
          </cell>
          <cell r="F292">
            <v>-2628153.11</v>
          </cell>
          <cell r="G292">
            <v>211559.84</v>
          </cell>
          <cell r="H292">
            <v>-8.0500000000000002E-2</v>
          </cell>
          <cell r="I292">
            <v>-2455236.7200000002</v>
          </cell>
          <cell r="J292">
            <v>38643.450000000201</v>
          </cell>
          <cell r="K292">
            <v>-1.5699999999999999E-2</v>
          </cell>
          <cell r="L292">
            <v>-1938141.24</v>
          </cell>
          <cell r="M292">
            <v>-478452.03</v>
          </cell>
          <cell r="N292">
            <v>0.24690000000000001</v>
          </cell>
          <cell r="O292">
            <v>-3959279.32</v>
          </cell>
          <cell r="P292">
            <v>-3851235</v>
          </cell>
          <cell r="Q292">
            <v>-3057904.29</v>
          </cell>
        </row>
        <row r="293">
          <cell r="A293" t="str">
            <v>6221741074</v>
          </cell>
          <cell r="B293">
            <v>62217</v>
          </cell>
          <cell r="C293">
            <v>41074</v>
          </cell>
          <cell r="D293" t="str">
            <v>Rental Income - Percentage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A294" t="str">
            <v>6221741082</v>
          </cell>
          <cell r="B294">
            <v>62217</v>
          </cell>
          <cell r="C294">
            <v>41082</v>
          </cell>
          <cell r="D294" t="str">
            <v>Rental Income - Operating Exp</v>
          </cell>
          <cell r="E294">
            <v>-310221.13</v>
          </cell>
          <cell r="F294">
            <v>-746228.08</v>
          </cell>
          <cell r="G294">
            <v>436006.95</v>
          </cell>
          <cell r="H294">
            <v>-0.58430000000000004</v>
          </cell>
          <cell r="I294">
            <v>-270456.88</v>
          </cell>
          <cell r="J294">
            <v>-39764.25</v>
          </cell>
          <cell r="K294">
            <v>0.14699999999999999</v>
          </cell>
          <cell r="L294">
            <v>-579787.29</v>
          </cell>
          <cell r="M294">
            <v>269566.15999999997</v>
          </cell>
          <cell r="N294">
            <v>-0.46489999999999998</v>
          </cell>
          <cell r="O294">
            <v>-1119342.1200000001</v>
          </cell>
          <cell r="P294">
            <v>-665504.36</v>
          </cell>
          <cell r="Q294">
            <v>-936918.55</v>
          </cell>
        </row>
        <row r="295">
          <cell r="A295" t="str">
            <v>6221744610</v>
          </cell>
          <cell r="B295">
            <v>62217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A296" t="str">
            <v>6221745071</v>
          </cell>
          <cell r="B296">
            <v>62217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A297" t="str">
            <v>6221745010</v>
          </cell>
          <cell r="B297">
            <v>62217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A298" t="str">
            <v>6221745046</v>
          </cell>
          <cell r="B298">
            <v>62217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</row>
        <row r="299">
          <cell r="A299" t="str">
            <v>6221745070</v>
          </cell>
          <cell r="B299">
            <v>62217</v>
          </cell>
          <cell r="C299">
            <v>45070</v>
          </cell>
          <cell r="D299" t="str">
            <v>Other Income</v>
          </cell>
          <cell r="E299">
            <v>-98125.42</v>
          </cell>
          <cell r="F299">
            <v>0</v>
          </cell>
          <cell r="G299">
            <v>-98125.42</v>
          </cell>
          <cell r="H299">
            <v>0</v>
          </cell>
          <cell r="I299">
            <v>0.11</v>
          </cell>
          <cell r="J299">
            <v>-98125.53</v>
          </cell>
          <cell r="K299">
            <v>-892050.27269999997</v>
          </cell>
          <cell r="L299">
            <v>-941.48</v>
          </cell>
          <cell r="M299">
            <v>-97183.94</v>
          </cell>
          <cell r="N299">
            <v>103.2246</v>
          </cell>
          <cell r="O299">
            <v>0</v>
          </cell>
          <cell r="P299">
            <v>0.11</v>
          </cell>
          <cell r="Q299">
            <v>-942.42</v>
          </cell>
        </row>
        <row r="300">
          <cell r="A300" t="str">
            <v>6221741060</v>
          </cell>
          <cell r="B300">
            <v>62217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176664</v>
          </cell>
          <cell r="G300">
            <v>-176664</v>
          </cell>
          <cell r="H300">
            <v>0</v>
          </cell>
          <cell r="I300">
            <v>35314.14</v>
          </cell>
          <cell r="J300">
            <v>-35314.14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264996</v>
          </cell>
          <cell r="P300">
            <v>82399.62</v>
          </cell>
          <cell r="Q300">
            <v>0</v>
          </cell>
        </row>
        <row r="301">
          <cell r="A301" t="str">
            <v>6221744870</v>
          </cell>
          <cell r="B301">
            <v>62217</v>
          </cell>
          <cell r="C301">
            <v>44870</v>
          </cell>
          <cell r="D301" t="str">
            <v>Late Fees</v>
          </cell>
          <cell r="E301">
            <v>-15610.78</v>
          </cell>
          <cell r="F301">
            <v>-1333.36</v>
          </cell>
          <cell r="G301">
            <v>-14277.42</v>
          </cell>
          <cell r="H301">
            <v>10.7079</v>
          </cell>
          <cell r="I301">
            <v>-11993.86</v>
          </cell>
          <cell r="J301">
            <v>-3616.92</v>
          </cell>
          <cell r="K301">
            <v>0.30159999999999998</v>
          </cell>
          <cell r="L301">
            <v>-1525</v>
          </cell>
          <cell r="M301">
            <v>-14085.78</v>
          </cell>
          <cell r="N301">
            <v>9.2365999999999993</v>
          </cell>
          <cell r="O301">
            <v>-2000</v>
          </cell>
          <cell r="P301">
            <v>-15660.5</v>
          </cell>
          <cell r="Q301">
            <v>-5809.48</v>
          </cell>
        </row>
        <row r="302">
          <cell r="A302" t="str">
            <v>6221752542</v>
          </cell>
          <cell r="B302">
            <v>62217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A303" t="str">
            <v>6221772710</v>
          </cell>
          <cell r="B303">
            <v>62217</v>
          </cell>
          <cell r="C303">
            <v>72710</v>
          </cell>
          <cell r="D303" t="str">
            <v>Utilities - Electricity</v>
          </cell>
          <cell r="E303">
            <v>44601.3</v>
          </cell>
          <cell r="F303">
            <v>38336</v>
          </cell>
          <cell r="G303">
            <v>6265.3</v>
          </cell>
          <cell r="H303">
            <v>0.16339999999999999</v>
          </cell>
          <cell r="I303">
            <v>47530.94</v>
          </cell>
          <cell r="J303">
            <v>-2929.64</v>
          </cell>
          <cell r="K303">
            <v>-6.1600000000000002E-2</v>
          </cell>
          <cell r="L303">
            <v>48989.43</v>
          </cell>
          <cell r="M303">
            <v>-4388.13</v>
          </cell>
          <cell r="N303">
            <v>-8.9599999999999999E-2</v>
          </cell>
          <cell r="O303">
            <v>57504</v>
          </cell>
          <cell r="P303">
            <v>72530.94</v>
          </cell>
          <cell r="Q303">
            <v>64974.87</v>
          </cell>
        </row>
        <row r="304">
          <cell r="A304" t="str">
            <v>6221772740</v>
          </cell>
          <cell r="B304">
            <v>62217</v>
          </cell>
          <cell r="C304">
            <v>72740</v>
          </cell>
          <cell r="D304" t="str">
            <v>Utilities - Gas</v>
          </cell>
          <cell r="E304">
            <v>997.96</v>
          </cell>
          <cell r="F304">
            <v>0</v>
          </cell>
          <cell r="G304">
            <v>997.96</v>
          </cell>
          <cell r="H304">
            <v>0</v>
          </cell>
          <cell r="I304">
            <v>293.56</v>
          </cell>
          <cell r="J304">
            <v>704.4</v>
          </cell>
          <cell r="K304">
            <v>2.3995000000000002</v>
          </cell>
          <cell r="L304">
            <v>1074.26</v>
          </cell>
          <cell r="M304">
            <v>-76.3</v>
          </cell>
          <cell r="N304">
            <v>-7.0999999999999994E-2</v>
          </cell>
          <cell r="O304">
            <v>0</v>
          </cell>
          <cell r="P304">
            <v>493.56</v>
          </cell>
          <cell r="Q304">
            <v>1803.86</v>
          </cell>
        </row>
        <row r="305">
          <cell r="A305" t="str">
            <v>6221772770</v>
          </cell>
          <cell r="B305">
            <v>62217</v>
          </cell>
          <cell r="C305">
            <v>72770</v>
          </cell>
          <cell r="D305" t="str">
            <v>Utilities - Water</v>
          </cell>
          <cell r="E305">
            <v>9031.74</v>
          </cell>
          <cell r="F305">
            <v>8000</v>
          </cell>
          <cell r="G305">
            <v>1031.74</v>
          </cell>
          <cell r="H305">
            <v>0.129</v>
          </cell>
          <cell r="I305">
            <v>9848.2000000000007</v>
          </cell>
          <cell r="J305">
            <v>-816.46000000000095</v>
          </cell>
          <cell r="K305">
            <v>-8.2900000000000001E-2</v>
          </cell>
          <cell r="L305">
            <v>9040.0300000000007</v>
          </cell>
          <cell r="M305">
            <v>-8.2900000000008696</v>
          </cell>
          <cell r="N305">
            <v>-8.9999999999999998E-4</v>
          </cell>
          <cell r="O305">
            <v>12000</v>
          </cell>
          <cell r="P305">
            <v>14048.2</v>
          </cell>
          <cell r="Q305">
            <v>11550.5</v>
          </cell>
        </row>
        <row r="306">
          <cell r="A306" t="str">
            <v>6221776000</v>
          </cell>
          <cell r="B306">
            <v>62217</v>
          </cell>
          <cell r="C306">
            <v>76000</v>
          </cell>
          <cell r="D306" t="str">
            <v>Bldg Maintenance &amp; Repair</v>
          </cell>
          <cell r="E306">
            <v>63040.95</v>
          </cell>
          <cell r="F306">
            <v>80903.360000000001</v>
          </cell>
          <cell r="G306">
            <v>-17862.41</v>
          </cell>
          <cell r="H306">
            <v>-0.2208</v>
          </cell>
          <cell r="I306">
            <v>76336.990000000005</v>
          </cell>
          <cell r="J306">
            <v>-13296.04</v>
          </cell>
          <cell r="K306">
            <v>-0.17419999999999999</v>
          </cell>
          <cell r="L306">
            <v>42889.17</v>
          </cell>
          <cell r="M306">
            <v>20151.78</v>
          </cell>
          <cell r="N306">
            <v>0.46989999999999998</v>
          </cell>
          <cell r="O306">
            <v>115935</v>
          </cell>
          <cell r="P306">
            <v>112642.82</v>
          </cell>
          <cell r="Q306">
            <v>66051.27</v>
          </cell>
        </row>
        <row r="307">
          <cell r="A307" t="str">
            <v>6221776020</v>
          </cell>
          <cell r="B307">
            <v>62217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8">
          <cell r="A308" t="str">
            <v>6221776034</v>
          </cell>
          <cell r="B308">
            <v>62217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</row>
        <row r="309">
          <cell r="A309" t="str">
            <v>6221776050</v>
          </cell>
          <cell r="B309">
            <v>62217</v>
          </cell>
          <cell r="C309">
            <v>76050</v>
          </cell>
          <cell r="D309" t="str">
            <v>Cleaning Expense</v>
          </cell>
          <cell r="E309">
            <v>70053.06</v>
          </cell>
          <cell r="F309">
            <v>64288</v>
          </cell>
          <cell r="G309">
            <v>5765.06</v>
          </cell>
          <cell r="H309">
            <v>8.9700000000000002E-2</v>
          </cell>
          <cell r="I309">
            <v>72473.64</v>
          </cell>
          <cell r="J309">
            <v>-2420.58</v>
          </cell>
          <cell r="K309">
            <v>-3.3399999999999999E-2</v>
          </cell>
          <cell r="L309">
            <v>60563.69</v>
          </cell>
          <cell r="M309">
            <v>9489.3700000000008</v>
          </cell>
          <cell r="N309">
            <v>0.15670000000000001</v>
          </cell>
          <cell r="O309">
            <v>96532</v>
          </cell>
          <cell r="P309">
            <v>109477.64</v>
          </cell>
          <cell r="Q309">
            <v>92635.66</v>
          </cell>
        </row>
        <row r="310">
          <cell r="A310" t="str">
            <v>6221776056</v>
          </cell>
          <cell r="B310">
            <v>62217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 t="str">
            <v>6221776070</v>
          </cell>
          <cell r="B311">
            <v>62217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A312" t="str">
            <v>6221776091</v>
          </cell>
          <cell r="B312">
            <v>62217</v>
          </cell>
          <cell r="C312">
            <v>76091</v>
          </cell>
          <cell r="D312" t="str">
            <v>Parking Maintenance</v>
          </cell>
          <cell r="E312">
            <v>31717</v>
          </cell>
          <cell r="F312">
            <v>40837.360000000001</v>
          </cell>
          <cell r="G312">
            <v>-9120.36</v>
          </cell>
          <cell r="H312">
            <v>-0.2233</v>
          </cell>
          <cell r="I312">
            <v>33774.01</v>
          </cell>
          <cell r="J312">
            <v>-2057.0100000000002</v>
          </cell>
          <cell r="K312">
            <v>-6.0900000000000003E-2</v>
          </cell>
          <cell r="L312">
            <v>35656.550000000003</v>
          </cell>
          <cell r="M312">
            <v>-3939.55</v>
          </cell>
          <cell r="N312">
            <v>-0.1105</v>
          </cell>
          <cell r="O312">
            <v>56756</v>
          </cell>
          <cell r="P312">
            <v>53622.65</v>
          </cell>
          <cell r="Q312">
            <v>50315.93</v>
          </cell>
        </row>
        <row r="313">
          <cell r="A313" t="str">
            <v>6221777000</v>
          </cell>
          <cell r="B313">
            <v>62217</v>
          </cell>
          <cell r="C313">
            <v>77000</v>
          </cell>
          <cell r="D313" t="str">
            <v>Grounds Maintenance</v>
          </cell>
          <cell r="E313">
            <v>46767.83</v>
          </cell>
          <cell r="F313">
            <v>60870</v>
          </cell>
          <cell r="G313">
            <v>-14102.17</v>
          </cell>
          <cell r="H313">
            <v>-0.23169999999999999</v>
          </cell>
          <cell r="I313">
            <v>45214.39</v>
          </cell>
          <cell r="J313">
            <v>1553.44</v>
          </cell>
          <cell r="K313">
            <v>3.44E-2</v>
          </cell>
          <cell r="L313">
            <v>42495.02</v>
          </cell>
          <cell r="M313">
            <v>4272.8100000000004</v>
          </cell>
          <cell r="N313">
            <v>0.10050000000000001</v>
          </cell>
          <cell r="O313">
            <v>71005</v>
          </cell>
          <cell r="P313">
            <v>63631.87</v>
          </cell>
          <cell r="Q313">
            <v>58664.09</v>
          </cell>
        </row>
        <row r="314">
          <cell r="A314" t="str">
            <v>6221777053</v>
          </cell>
          <cell r="B314">
            <v>62217</v>
          </cell>
          <cell r="C314">
            <v>77053</v>
          </cell>
          <cell r="D314" t="str">
            <v>Landscaping</v>
          </cell>
          <cell r="E314">
            <v>47170.75</v>
          </cell>
          <cell r="F314">
            <v>52245</v>
          </cell>
          <cell r="G314">
            <v>-5074.25</v>
          </cell>
          <cell r="H314">
            <v>-9.7100000000000006E-2</v>
          </cell>
          <cell r="I314">
            <v>44068</v>
          </cell>
          <cell r="J314">
            <v>3102.75</v>
          </cell>
          <cell r="K314">
            <v>7.0400000000000004E-2</v>
          </cell>
          <cell r="L314">
            <v>20790</v>
          </cell>
          <cell r="M314">
            <v>26380.75</v>
          </cell>
          <cell r="N314">
            <v>1.2688999999999999</v>
          </cell>
          <cell r="O314">
            <v>81216</v>
          </cell>
          <cell r="P314">
            <v>91516</v>
          </cell>
          <cell r="Q314">
            <v>73432.789999999994</v>
          </cell>
        </row>
        <row r="315">
          <cell r="A315" t="str">
            <v>6221778020</v>
          </cell>
          <cell r="B315">
            <v>62217</v>
          </cell>
          <cell r="C315">
            <v>78020</v>
          </cell>
          <cell r="D315" t="str">
            <v>Amortized CAM Exp</v>
          </cell>
          <cell r="E315">
            <v>17777.759999999998</v>
          </cell>
          <cell r="F315">
            <v>17778</v>
          </cell>
          <cell r="G315">
            <v>-0.24000000000160099</v>
          </cell>
          <cell r="H315">
            <v>0</v>
          </cell>
          <cell r="I315">
            <v>17777.91</v>
          </cell>
          <cell r="J315">
            <v>-0.150000000001455</v>
          </cell>
          <cell r="K315">
            <v>0</v>
          </cell>
          <cell r="L315">
            <v>0</v>
          </cell>
          <cell r="M315">
            <v>17777.759999999998</v>
          </cell>
          <cell r="N315">
            <v>0</v>
          </cell>
          <cell r="O315">
            <v>26667</v>
          </cell>
          <cell r="P315">
            <v>26666.95</v>
          </cell>
          <cell r="Q315">
            <v>0</v>
          </cell>
        </row>
        <row r="316">
          <cell r="A316" t="str">
            <v>6221784264</v>
          </cell>
          <cell r="B316">
            <v>62217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 t="str">
            <v>6221785555</v>
          </cell>
          <cell r="B317">
            <v>62217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</row>
        <row r="318">
          <cell r="A318" t="str">
            <v>6221785584</v>
          </cell>
          <cell r="B318">
            <v>62217</v>
          </cell>
          <cell r="C318">
            <v>85584</v>
          </cell>
          <cell r="D318" t="str">
            <v>Bldg Admin-Office Costs</v>
          </cell>
          <cell r="E318">
            <v>7215.42</v>
          </cell>
          <cell r="F318">
            <v>6824</v>
          </cell>
          <cell r="G318">
            <v>391.42</v>
          </cell>
          <cell r="H318">
            <v>5.74E-2</v>
          </cell>
          <cell r="I318">
            <v>6862.04</v>
          </cell>
          <cell r="J318">
            <v>353.38</v>
          </cell>
          <cell r="K318">
            <v>5.1499999999999997E-2</v>
          </cell>
          <cell r="L318">
            <v>6744.97</v>
          </cell>
          <cell r="M318">
            <v>470.45</v>
          </cell>
          <cell r="N318">
            <v>6.9699999999999998E-2</v>
          </cell>
          <cell r="O318">
            <v>10236</v>
          </cell>
          <cell r="P318">
            <v>9957.75</v>
          </cell>
          <cell r="Q318">
            <v>10614.42</v>
          </cell>
        </row>
        <row r="319">
          <cell r="A319" t="str">
            <v>6221785582</v>
          </cell>
          <cell r="B319">
            <v>62217</v>
          </cell>
          <cell r="C319">
            <v>85582</v>
          </cell>
          <cell r="D319" t="str">
            <v>Bldg Admin-Salaries</v>
          </cell>
          <cell r="E319">
            <v>46677.599999999999</v>
          </cell>
          <cell r="F319">
            <v>45976</v>
          </cell>
          <cell r="G319">
            <v>701.599999999999</v>
          </cell>
          <cell r="H319">
            <v>1.5299999999999999E-2</v>
          </cell>
          <cell r="I319">
            <v>45762.93</v>
          </cell>
          <cell r="J319">
            <v>914.66999999999803</v>
          </cell>
          <cell r="K319">
            <v>0.02</v>
          </cell>
          <cell r="L319">
            <v>40149.08</v>
          </cell>
          <cell r="M319">
            <v>6528.52</v>
          </cell>
          <cell r="N319">
            <v>0.16259999999999999</v>
          </cell>
          <cell r="O319">
            <v>68964</v>
          </cell>
          <cell r="P319">
            <v>69230.37</v>
          </cell>
          <cell r="Q319">
            <v>65321.31</v>
          </cell>
        </row>
        <row r="320">
          <cell r="A320" t="str">
            <v>6221786564</v>
          </cell>
          <cell r="B320">
            <v>62217</v>
          </cell>
          <cell r="C320">
            <v>86564</v>
          </cell>
          <cell r="D320" t="str">
            <v>Insurance</v>
          </cell>
          <cell r="E320">
            <v>38239.32</v>
          </cell>
          <cell r="F320">
            <v>55136.639999999999</v>
          </cell>
          <cell r="G320">
            <v>-16897.32</v>
          </cell>
          <cell r="H320">
            <v>-0.30649999999999999</v>
          </cell>
          <cell r="I320">
            <v>35019.269999999997</v>
          </cell>
          <cell r="J320">
            <v>3220.05</v>
          </cell>
          <cell r="K320">
            <v>9.1999999999999998E-2</v>
          </cell>
          <cell r="L320">
            <v>46744</v>
          </cell>
          <cell r="M320">
            <v>-8504.68</v>
          </cell>
          <cell r="N320">
            <v>-0.18190000000000001</v>
          </cell>
          <cell r="O320">
            <v>82705</v>
          </cell>
          <cell r="P320">
            <v>49841.59</v>
          </cell>
          <cell r="Q320">
            <v>70108</v>
          </cell>
        </row>
        <row r="321">
          <cell r="A321" t="str">
            <v>6221788846</v>
          </cell>
          <cell r="B321">
            <v>62217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15088</v>
          </cell>
          <cell r="Q321">
            <v>0</v>
          </cell>
        </row>
        <row r="322">
          <cell r="A322" t="str">
            <v>6221788890</v>
          </cell>
          <cell r="B322">
            <v>62217</v>
          </cell>
          <cell r="C322">
            <v>88890</v>
          </cell>
          <cell r="D322" t="str">
            <v>Security/Safety</v>
          </cell>
          <cell r="E322">
            <v>30990.15</v>
          </cell>
          <cell r="F322">
            <v>30480</v>
          </cell>
          <cell r="G322">
            <v>510.150000000001</v>
          </cell>
          <cell r="H322">
            <v>1.67E-2</v>
          </cell>
          <cell r="I322">
            <v>30816.15</v>
          </cell>
          <cell r="J322">
            <v>174</v>
          </cell>
          <cell r="K322">
            <v>5.5999999999999999E-3</v>
          </cell>
          <cell r="L322">
            <v>29248.400000000001</v>
          </cell>
          <cell r="M322">
            <v>1741.75</v>
          </cell>
          <cell r="N322">
            <v>5.96E-2</v>
          </cell>
          <cell r="O322">
            <v>45720</v>
          </cell>
          <cell r="P322">
            <v>46056.15</v>
          </cell>
          <cell r="Q322">
            <v>44755.15</v>
          </cell>
        </row>
        <row r="323">
          <cell r="A323" t="str">
            <v>6221789775</v>
          </cell>
          <cell r="B323">
            <v>62217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</row>
        <row r="324">
          <cell r="A324" t="str">
            <v>6221789729</v>
          </cell>
          <cell r="B324">
            <v>62217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A325" t="str">
            <v>6221789786</v>
          </cell>
          <cell r="B325">
            <v>62217</v>
          </cell>
          <cell r="C325">
            <v>89786</v>
          </cell>
          <cell r="D325" t="str">
            <v>Property Tax Exp</v>
          </cell>
          <cell r="E325">
            <v>-141504.34</v>
          </cell>
          <cell r="F325">
            <v>186852.64</v>
          </cell>
          <cell r="G325">
            <v>-328356.98</v>
          </cell>
          <cell r="H325">
            <v>-1.7573000000000001</v>
          </cell>
          <cell r="I325">
            <v>-184475.25</v>
          </cell>
          <cell r="J325">
            <v>42970.91</v>
          </cell>
          <cell r="K325">
            <v>-0.2329</v>
          </cell>
          <cell r="L325">
            <v>170112.72</v>
          </cell>
          <cell r="M325">
            <v>-311617.06</v>
          </cell>
          <cell r="N325">
            <v>-1.8318000000000001</v>
          </cell>
          <cell r="O325">
            <v>280279</v>
          </cell>
          <cell r="P325">
            <v>-117284.34</v>
          </cell>
          <cell r="Q325">
            <v>255169</v>
          </cell>
        </row>
        <row r="326">
          <cell r="A326" t="str">
            <v>6221771040</v>
          </cell>
          <cell r="B326">
            <v>62217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A327" t="str">
            <v>6221772701</v>
          </cell>
          <cell r="B327">
            <v>62217</v>
          </cell>
          <cell r="C327">
            <v>72701</v>
          </cell>
          <cell r="D327" t="str">
            <v>Utilities</v>
          </cell>
          <cell r="E327">
            <v>2.5</v>
          </cell>
          <cell r="F327">
            <v>0</v>
          </cell>
          <cell r="G327">
            <v>2.5</v>
          </cell>
          <cell r="H327">
            <v>0</v>
          </cell>
          <cell r="I327">
            <v>2.5</v>
          </cell>
          <cell r="J327">
            <v>0</v>
          </cell>
          <cell r="K327">
            <v>0</v>
          </cell>
          <cell r="L327">
            <v>0</v>
          </cell>
          <cell r="M327">
            <v>2.5</v>
          </cell>
          <cell r="N327">
            <v>0</v>
          </cell>
          <cell r="O327">
            <v>0</v>
          </cell>
          <cell r="P327">
            <v>2.5</v>
          </cell>
          <cell r="Q327">
            <v>396.02</v>
          </cell>
        </row>
        <row r="328">
          <cell r="A328" t="str">
            <v>6221772855</v>
          </cell>
          <cell r="B328">
            <v>62217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</row>
        <row r="329">
          <cell r="A329" t="str">
            <v>6221772870</v>
          </cell>
          <cell r="B329">
            <v>62217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A330" t="str">
            <v>6221776010</v>
          </cell>
          <cell r="B330">
            <v>62217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132.13999999999999</v>
          </cell>
          <cell r="M330">
            <v>-132.13999999999999</v>
          </cell>
          <cell r="N330">
            <v>0</v>
          </cell>
          <cell r="O330">
            <v>0</v>
          </cell>
          <cell r="P330">
            <v>0</v>
          </cell>
          <cell r="Q330">
            <v>156.97</v>
          </cell>
        </row>
        <row r="331">
          <cell r="A331" t="str">
            <v>6221776040</v>
          </cell>
          <cell r="B331">
            <v>62217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A332" t="str">
            <v>6221776051</v>
          </cell>
          <cell r="B332">
            <v>62217</v>
          </cell>
          <cell r="C332">
            <v>76051</v>
          </cell>
          <cell r="D332" t="str">
            <v>Cleaning</v>
          </cell>
          <cell r="E332">
            <v>766.65</v>
          </cell>
          <cell r="F332">
            <v>0</v>
          </cell>
          <cell r="G332">
            <v>766.65</v>
          </cell>
          <cell r="H332">
            <v>0</v>
          </cell>
          <cell r="I332">
            <v>0</v>
          </cell>
          <cell r="J332">
            <v>766.65</v>
          </cell>
          <cell r="K332">
            <v>0</v>
          </cell>
          <cell r="L332">
            <v>0</v>
          </cell>
          <cell r="M332">
            <v>766.65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</row>
        <row r="333">
          <cell r="A333" t="str">
            <v>6221776054</v>
          </cell>
          <cell r="B333">
            <v>62217</v>
          </cell>
          <cell r="C333">
            <v>76054</v>
          </cell>
          <cell r="D333" t="str">
            <v>Bldg Maintenance &amp; Repair</v>
          </cell>
          <cell r="E333">
            <v>774</v>
          </cell>
          <cell r="F333">
            <v>1750</v>
          </cell>
          <cell r="G333">
            <v>-976</v>
          </cell>
          <cell r="H333">
            <v>-0.55769999999999997</v>
          </cell>
          <cell r="I333">
            <v>8932</v>
          </cell>
          <cell r="J333">
            <v>-8158</v>
          </cell>
          <cell r="K333">
            <v>-0.9133</v>
          </cell>
          <cell r="L333">
            <v>1596.52</v>
          </cell>
          <cell r="M333">
            <v>-822.52</v>
          </cell>
          <cell r="N333">
            <v>-0.51519999999999999</v>
          </cell>
          <cell r="O333">
            <v>2000</v>
          </cell>
          <cell r="P333">
            <v>9182</v>
          </cell>
          <cell r="Q333">
            <v>1360.29</v>
          </cell>
        </row>
        <row r="334">
          <cell r="A334" t="str">
            <v>6221776060</v>
          </cell>
          <cell r="B334">
            <v>62217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A335" t="str">
            <v>6221776071</v>
          </cell>
          <cell r="B335">
            <v>62217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A336" t="str">
            <v>6221776090</v>
          </cell>
          <cell r="B336">
            <v>62217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A337" t="str">
            <v>6221777001</v>
          </cell>
          <cell r="B337">
            <v>62217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A338" t="str">
            <v>6221777022</v>
          </cell>
          <cell r="B338">
            <v>62217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A339" t="str">
            <v>6221784200</v>
          </cell>
          <cell r="B339">
            <v>62217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</row>
        <row r="340">
          <cell r="A340" t="str">
            <v>6221784240</v>
          </cell>
          <cell r="B340">
            <v>62217</v>
          </cell>
          <cell r="C340">
            <v>84240</v>
          </cell>
          <cell r="D340" t="str">
            <v>Marketing Leasing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5391.61</v>
          </cell>
          <cell r="M340">
            <v>-5391.61</v>
          </cell>
          <cell r="N340">
            <v>0</v>
          </cell>
          <cell r="O340">
            <v>0</v>
          </cell>
          <cell r="P340">
            <v>0</v>
          </cell>
          <cell r="Q340">
            <v>8474.73</v>
          </cell>
        </row>
        <row r="341">
          <cell r="A341" t="str">
            <v>6221784242</v>
          </cell>
          <cell r="B341">
            <v>62217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A342" t="str">
            <v>6221784243</v>
          </cell>
          <cell r="B342">
            <v>62217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-15488.72</v>
          </cell>
        </row>
        <row r="343">
          <cell r="A343" t="str">
            <v>6221784244</v>
          </cell>
          <cell r="B343">
            <v>62217</v>
          </cell>
          <cell r="C343">
            <v>84244</v>
          </cell>
          <cell r="D343" t="str">
            <v>Marketing-Net Required</v>
          </cell>
          <cell r="E343">
            <v>45000</v>
          </cell>
          <cell r="F343">
            <v>33333.360000000001</v>
          </cell>
          <cell r="G343">
            <v>11666.64</v>
          </cell>
          <cell r="H343">
            <v>0.35</v>
          </cell>
          <cell r="I343">
            <v>33333.339999999997</v>
          </cell>
          <cell r="J343">
            <v>11666.66</v>
          </cell>
          <cell r="K343">
            <v>0.35</v>
          </cell>
          <cell r="L343">
            <v>0</v>
          </cell>
          <cell r="M343">
            <v>45000</v>
          </cell>
          <cell r="N343">
            <v>0</v>
          </cell>
          <cell r="O343">
            <v>50000</v>
          </cell>
          <cell r="P343">
            <v>49999.99</v>
          </cell>
          <cell r="Q343">
            <v>0</v>
          </cell>
        </row>
        <row r="344">
          <cell r="A344" t="str">
            <v>6221784265</v>
          </cell>
          <cell r="B344">
            <v>62217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  <row r="345">
          <cell r="A345" t="str">
            <v>6221788037</v>
          </cell>
          <cell r="B345">
            <v>62217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</row>
        <row r="346">
          <cell r="A346" t="str">
            <v>6221785016</v>
          </cell>
          <cell r="B346">
            <v>62217</v>
          </cell>
          <cell r="C346">
            <v>85016</v>
          </cell>
          <cell r="D346" t="str">
            <v>Prof Svc-Attorney Outside</v>
          </cell>
          <cell r="E346">
            <v>6085.57</v>
          </cell>
          <cell r="F346">
            <v>2250</v>
          </cell>
          <cell r="G346">
            <v>3835.57</v>
          </cell>
          <cell r="H346">
            <v>1.7047000000000001</v>
          </cell>
          <cell r="I346">
            <v>4042.09</v>
          </cell>
          <cell r="J346">
            <v>2043.48</v>
          </cell>
          <cell r="K346">
            <v>0.50560000000000005</v>
          </cell>
          <cell r="L346">
            <v>3675.6</v>
          </cell>
          <cell r="M346">
            <v>2409.9699999999998</v>
          </cell>
          <cell r="N346">
            <v>0.65569999999999995</v>
          </cell>
          <cell r="O346">
            <v>3000</v>
          </cell>
          <cell r="P346">
            <v>4792.09</v>
          </cell>
          <cell r="Q346">
            <v>5872.39</v>
          </cell>
        </row>
        <row r="347">
          <cell r="A347" t="str">
            <v>6221785022</v>
          </cell>
          <cell r="B347">
            <v>62217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</row>
        <row r="348">
          <cell r="A348" t="str">
            <v>6221785065</v>
          </cell>
          <cell r="B348">
            <v>62217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</row>
        <row r="349">
          <cell r="A349" t="str">
            <v>6221785500</v>
          </cell>
          <cell r="B349">
            <v>62217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</row>
        <row r="350">
          <cell r="A350" t="str">
            <v>6221785566</v>
          </cell>
          <cell r="B350">
            <v>62217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</row>
        <row r="351">
          <cell r="A351" t="str">
            <v>6221785581</v>
          </cell>
          <cell r="B351">
            <v>62217</v>
          </cell>
          <cell r="C351">
            <v>85581</v>
          </cell>
          <cell r="D351" t="str">
            <v>Bldg Admin- Salaries</v>
          </cell>
          <cell r="E351">
            <v>26441.56</v>
          </cell>
          <cell r="F351">
            <v>27476</v>
          </cell>
          <cell r="G351">
            <v>-1034.44</v>
          </cell>
          <cell r="H351">
            <v>-3.7600000000000001E-2</v>
          </cell>
          <cell r="I351">
            <v>25980.78</v>
          </cell>
          <cell r="J351">
            <v>460.78000000000202</v>
          </cell>
          <cell r="K351">
            <v>1.77E-2</v>
          </cell>
          <cell r="L351">
            <v>24217.21</v>
          </cell>
          <cell r="M351">
            <v>2224.35</v>
          </cell>
          <cell r="N351">
            <v>9.1800000000000007E-2</v>
          </cell>
          <cell r="O351">
            <v>41212</v>
          </cell>
          <cell r="P351">
            <v>39960.239999999998</v>
          </cell>
          <cell r="Q351">
            <v>38128.28</v>
          </cell>
        </row>
        <row r="352">
          <cell r="A352" t="str">
            <v>6221785583</v>
          </cell>
          <cell r="B352">
            <v>62217</v>
          </cell>
          <cell r="C352">
            <v>85583</v>
          </cell>
          <cell r="D352" t="str">
            <v>Bldg Admin-Office Exp.</v>
          </cell>
          <cell r="E352">
            <v>3971.2</v>
          </cell>
          <cell r="F352">
            <v>4195.3599999999997</v>
          </cell>
          <cell r="G352">
            <v>-224.16</v>
          </cell>
          <cell r="H352">
            <v>-5.3400000000000003E-2</v>
          </cell>
          <cell r="I352">
            <v>4096</v>
          </cell>
          <cell r="J352">
            <v>-124.8</v>
          </cell>
          <cell r="K352">
            <v>-3.0499999999999999E-2</v>
          </cell>
          <cell r="L352">
            <v>4181.8100000000004</v>
          </cell>
          <cell r="M352">
            <v>-210.61000000000101</v>
          </cell>
          <cell r="N352">
            <v>-5.04E-2</v>
          </cell>
          <cell r="O352">
            <v>6283</v>
          </cell>
          <cell r="P352">
            <v>5905.36</v>
          </cell>
          <cell r="Q352">
            <v>6443.31</v>
          </cell>
        </row>
        <row r="353">
          <cell r="A353" t="str">
            <v>6221785530</v>
          </cell>
          <cell r="B353">
            <v>62217</v>
          </cell>
          <cell r="C353">
            <v>85530</v>
          </cell>
          <cell r="D353" t="str">
            <v>Bldg Admin - Office Exp</v>
          </cell>
          <cell r="E353">
            <v>3971.2</v>
          </cell>
          <cell r="F353">
            <v>4195.3599999999997</v>
          </cell>
          <cell r="G353">
            <v>-224.16</v>
          </cell>
          <cell r="H353">
            <v>-5.3400000000000003E-2</v>
          </cell>
          <cell r="I353">
            <v>4096</v>
          </cell>
          <cell r="J353">
            <v>-124.8</v>
          </cell>
          <cell r="K353">
            <v>-3.0499999999999999E-2</v>
          </cell>
          <cell r="L353">
            <v>4181.8100000000004</v>
          </cell>
          <cell r="M353">
            <v>-210.61000000000101</v>
          </cell>
          <cell r="N353">
            <v>-5.04E-2</v>
          </cell>
          <cell r="O353">
            <v>6283</v>
          </cell>
          <cell r="P353">
            <v>5905.36</v>
          </cell>
          <cell r="Q353">
            <v>6443.31</v>
          </cell>
        </row>
        <row r="354">
          <cell r="A354" t="str">
            <v>6221786012</v>
          </cell>
          <cell r="B354">
            <v>62217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</row>
        <row r="355">
          <cell r="A355" t="str">
            <v>6221786037</v>
          </cell>
          <cell r="B355">
            <v>62217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A356" t="str">
            <v>6221783050</v>
          </cell>
          <cell r="B356">
            <v>62217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</row>
        <row r="357">
          <cell r="A357" t="str">
            <v>6221786510</v>
          </cell>
          <cell r="B357">
            <v>62217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</row>
        <row r="358">
          <cell r="A358" t="str">
            <v>6221786537</v>
          </cell>
          <cell r="B358">
            <v>62217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</row>
        <row r="359">
          <cell r="A359" t="str">
            <v>6221786566</v>
          </cell>
          <cell r="B359">
            <v>62217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</row>
        <row r="360">
          <cell r="A360" t="str">
            <v>6221786955</v>
          </cell>
          <cell r="B360">
            <v>62217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</row>
        <row r="361">
          <cell r="A361" t="str">
            <v>6221786985</v>
          </cell>
          <cell r="B361">
            <v>62217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-517</v>
          </cell>
          <cell r="Q361">
            <v>0</v>
          </cell>
        </row>
        <row r="362">
          <cell r="A362" t="str">
            <v>6221786880</v>
          </cell>
          <cell r="B362">
            <v>62217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3">
          <cell r="A363" t="str">
            <v>6221788710</v>
          </cell>
          <cell r="B363">
            <v>62217</v>
          </cell>
          <cell r="C363">
            <v>88710</v>
          </cell>
          <cell r="D363" t="str">
            <v>Losses-Bad Debts</v>
          </cell>
          <cell r="E363">
            <v>29098.09</v>
          </cell>
          <cell r="F363">
            <v>35700</v>
          </cell>
          <cell r="G363">
            <v>-6601.91</v>
          </cell>
          <cell r="H363">
            <v>-0.18490000000000001</v>
          </cell>
          <cell r="I363">
            <v>-3705.61</v>
          </cell>
          <cell r="J363">
            <v>32803.699999999997</v>
          </cell>
          <cell r="K363">
            <v>-8.8523999999999994</v>
          </cell>
          <cell r="L363">
            <v>60117</v>
          </cell>
          <cell r="M363">
            <v>-31018.91</v>
          </cell>
          <cell r="N363">
            <v>-0.51600000000000001</v>
          </cell>
          <cell r="O363">
            <v>71400</v>
          </cell>
          <cell r="P363">
            <v>-3705.13</v>
          </cell>
          <cell r="Q363">
            <v>28179</v>
          </cell>
        </row>
        <row r="364">
          <cell r="A364" t="str">
            <v>6221788711</v>
          </cell>
          <cell r="B364">
            <v>62217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65">
          <cell r="A365" t="str">
            <v>6221788785</v>
          </cell>
          <cell r="B365">
            <v>62217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</row>
        <row r="366">
          <cell r="A366" t="str">
            <v>6221788847</v>
          </cell>
          <cell r="B366">
            <v>62217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A367" t="str">
            <v>6221788866</v>
          </cell>
          <cell r="B367">
            <v>62217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</row>
        <row r="368">
          <cell r="A368" t="str">
            <v>6221788870</v>
          </cell>
          <cell r="B368">
            <v>62217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</row>
        <row r="369">
          <cell r="A369" t="str">
            <v>6221788889</v>
          </cell>
          <cell r="B369">
            <v>62217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</row>
        <row r="370">
          <cell r="A370" t="str">
            <v>6221789776</v>
          </cell>
          <cell r="B370">
            <v>62217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</row>
        <row r="371">
          <cell r="A371" t="str">
            <v>6221789787</v>
          </cell>
          <cell r="B371">
            <v>62217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2">
          <cell r="A372" t="str">
            <v>6221789510</v>
          </cell>
          <cell r="B372">
            <v>62217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</row>
        <row r="373">
          <cell r="A373" t="str">
            <v>6221789511</v>
          </cell>
          <cell r="B373">
            <v>62217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</row>
        <row r="374">
          <cell r="A374" t="str">
            <v>6221789512</v>
          </cell>
          <cell r="B374">
            <v>62217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</row>
        <row r="375">
          <cell r="A375" t="str">
            <v>6221789528</v>
          </cell>
          <cell r="B375">
            <v>62217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</row>
        <row r="376">
          <cell r="A376" t="str">
            <v>6221789529</v>
          </cell>
          <cell r="B376">
            <v>62217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</row>
        <row r="377">
          <cell r="A377" t="str">
            <v>6221789567</v>
          </cell>
          <cell r="B377">
            <v>62217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</row>
        <row r="378">
          <cell r="A378" t="str">
            <v>6221785058</v>
          </cell>
          <cell r="B378">
            <v>62217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</row>
        <row r="379">
          <cell r="A379" t="str">
            <v>6221786513</v>
          </cell>
          <cell r="B379">
            <v>62217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1132.51</v>
          </cell>
          <cell r="J379">
            <v>-1132.51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4176.05</v>
          </cell>
          <cell r="Q379">
            <v>0</v>
          </cell>
        </row>
        <row r="380">
          <cell r="A380" t="str">
            <v>6221786519</v>
          </cell>
          <cell r="B380">
            <v>62217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</row>
        <row r="381">
          <cell r="A381" t="str">
            <v>6221788770</v>
          </cell>
          <cell r="B381">
            <v>62217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</row>
        <row r="382">
          <cell r="A382" t="str">
            <v>6221788862</v>
          </cell>
          <cell r="B382">
            <v>62217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</row>
        <row r="383">
          <cell r="A383" t="str">
            <v>6221788874</v>
          </cell>
          <cell r="B383">
            <v>62217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</row>
        <row r="384">
          <cell r="A384" t="str">
            <v>6221789910</v>
          </cell>
          <cell r="B384">
            <v>62217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534288.02</v>
          </cell>
          <cell r="G384">
            <v>-534288.02</v>
          </cell>
          <cell r="H384">
            <v>0</v>
          </cell>
          <cell r="I384">
            <v>478056.11</v>
          </cell>
          <cell r="J384">
            <v>-478056.11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801432.06</v>
          </cell>
          <cell r="P384">
            <v>728191.32</v>
          </cell>
          <cell r="Q384">
            <v>0</v>
          </cell>
        </row>
        <row r="385">
          <cell r="A385" t="str">
            <v>6221789548</v>
          </cell>
          <cell r="B385">
            <v>62217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</row>
        <row r="386">
          <cell r="A386" t="str">
            <v>6222041010</v>
          </cell>
          <cell r="B386">
            <v>62220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87">
          <cell r="A387" t="str">
            <v>6222041040</v>
          </cell>
          <cell r="B387">
            <v>62220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</row>
        <row r="388">
          <cell r="A388" t="str">
            <v>6222041050</v>
          </cell>
          <cell r="B388">
            <v>62220</v>
          </cell>
          <cell r="C388">
            <v>41050</v>
          </cell>
          <cell r="D388" t="str">
            <v>Rental Income - Fixed</v>
          </cell>
          <cell r="E388">
            <v>-2022265.26</v>
          </cell>
          <cell r="F388">
            <v>-2168150.0299999998</v>
          </cell>
          <cell r="G388">
            <v>145884.76999999999</v>
          </cell>
          <cell r="H388">
            <v>-6.7299999999999999E-2</v>
          </cell>
          <cell r="I388">
            <v>-2077820.39</v>
          </cell>
          <cell r="J388">
            <v>55555.129999999903</v>
          </cell>
          <cell r="K388">
            <v>-2.6700000000000002E-2</v>
          </cell>
          <cell r="L388">
            <v>-1553537.94</v>
          </cell>
          <cell r="M388">
            <v>-468727.32</v>
          </cell>
          <cell r="N388">
            <v>0.30170000000000002</v>
          </cell>
          <cell r="O388">
            <v>-3298330.87</v>
          </cell>
          <cell r="P388">
            <v>-3228283.84</v>
          </cell>
          <cell r="Q388">
            <v>-2484300.81</v>
          </cell>
        </row>
        <row r="389">
          <cell r="A389" t="str">
            <v>6222041074</v>
          </cell>
          <cell r="B389">
            <v>62220</v>
          </cell>
          <cell r="C389">
            <v>41074</v>
          </cell>
          <cell r="D389" t="str">
            <v>Rental Income - Percentage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</row>
        <row r="390">
          <cell r="A390" t="str">
            <v>6222041082</v>
          </cell>
          <cell r="B390">
            <v>62220</v>
          </cell>
          <cell r="C390">
            <v>41082</v>
          </cell>
          <cell r="D390" t="str">
            <v>Rental Income - Operating Exp</v>
          </cell>
          <cell r="E390">
            <v>-600379.23</v>
          </cell>
          <cell r="F390">
            <v>-626920.24</v>
          </cell>
          <cell r="G390">
            <v>26541.01</v>
          </cell>
          <cell r="H390">
            <v>-4.2299999999999997E-2</v>
          </cell>
          <cell r="I390">
            <v>-600177.11</v>
          </cell>
          <cell r="J390">
            <v>-202.119999999995</v>
          </cell>
          <cell r="K390">
            <v>2.9999999999999997E-4</v>
          </cell>
          <cell r="L390">
            <v>-460679.38</v>
          </cell>
          <cell r="M390">
            <v>-139699.85</v>
          </cell>
          <cell r="N390">
            <v>0.30320000000000003</v>
          </cell>
          <cell r="O390">
            <v>-940380.36</v>
          </cell>
          <cell r="P390">
            <v>-1018244.11</v>
          </cell>
          <cell r="Q390">
            <v>-682382.73</v>
          </cell>
        </row>
        <row r="391">
          <cell r="A391" t="str">
            <v>6222044610</v>
          </cell>
          <cell r="B391">
            <v>62220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</row>
        <row r="392">
          <cell r="A392" t="str">
            <v>6222045071</v>
          </cell>
          <cell r="B392">
            <v>62220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-50000</v>
          </cell>
        </row>
        <row r="393">
          <cell r="A393" t="str">
            <v>6222045010</v>
          </cell>
          <cell r="B393">
            <v>62220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</row>
        <row r="394">
          <cell r="A394" t="str">
            <v>6222045046</v>
          </cell>
          <cell r="B394">
            <v>62220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</row>
        <row r="395">
          <cell r="A395" t="str">
            <v>6222045070</v>
          </cell>
          <cell r="B395">
            <v>62220</v>
          </cell>
          <cell r="C395">
            <v>45070</v>
          </cell>
          <cell r="D395" t="str">
            <v>Other Income</v>
          </cell>
          <cell r="E395">
            <v>-108273.54</v>
          </cell>
          <cell r="F395">
            <v>0</v>
          </cell>
          <cell r="G395">
            <v>-108273.54</v>
          </cell>
          <cell r="H395">
            <v>0</v>
          </cell>
          <cell r="I395">
            <v>-0.4</v>
          </cell>
          <cell r="J395">
            <v>-108273.14</v>
          </cell>
          <cell r="K395">
            <v>270682.84999999998</v>
          </cell>
          <cell r="L395">
            <v>-0.09</v>
          </cell>
          <cell r="M395">
            <v>-108273.45</v>
          </cell>
          <cell r="N395">
            <v>1203038.3333000001</v>
          </cell>
          <cell r="O395">
            <v>-902</v>
          </cell>
          <cell r="P395">
            <v>-902.4</v>
          </cell>
          <cell r="Q395">
            <v>-2.65</v>
          </cell>
        </row>
        <row r="396">
          <cell r="A396" t="str">
            <v>6222041060</v>
          </cell>
          <cell r="B396">
            <v>62220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80000</v>
          </cell>
          <cell r="G396">
            <v>-80000</v>
          </cell>
          <cell r="H396">
            <v>0</v>
          </cell>
          <cell r="I396">
            <v>75750</v>
          </cell>
          <cell r="J396">
            <v>-75750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120000</v>
          </cell>
          <cell r="P396">
            <v>176750</v>
          </cell>
          <cell r="Q396">
            <v>0</v>
          </cell>
        </row>
        <row r="397">
          <cell r="A397" t="str">
            <v>6222044870</v>
          </cell>
          <cell r="B397">
            <v>62220</v>
          </cell>
          <cell r="C397">
            <v>44870</v>
          </cell>
          <cell r="D397" t="str">
            <v>Late Fees</v>
          </cell>
          <cell r="E397">
            <v>-8472.91</v>
          </cell>
          <cell r="F397">
            <v>0</v>
          </cell>
          <cell r="G397">
            <v>-8472.91</v>
          </cell>
          <cell r="H397">
            <v>0</v>
          </cell>
          <cell r="I397">
            <v>-6952.54</v>
          </cell>
          <cell r="J397">
            <v>-1520.37</v>
          </cell>
          <cell r="K397">
            <v>0.21870000000000001</v>
          </cell>
          <cell r="L397">
            <v>0</v>
          </cell>
          <cell r="M397">
            <v>-8472.91</v>
          </cell>
          <cell r="N397">
            <v>0</v>
          </cell>
          <cell r="O397">
            <v>0</v>
          </cell>
          <cell r="P397">
            <v>-6952.54</v>
          </cell>
          <cell r="Q397">
            <v>-8627.2900000000009</v>
          </cell>
        </row>
        <row r="398">
          <cell r="A398" t="str">
            <v>6222052542</v>
          </cell>
          <cell r="B398">
            <v>62220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</row>
        <row r="399">
          <cell r="A399" t="str">
            <v>6222072710</v>
          </cell>
          <cell r="B399">
            <v>62220</v>
          </cell>
          <cell r="C399">
            <v>72710</v>
          </cell>
          <cell r="D399" t="str">
            <v>Utilities - Electricity</v>
          </cell>
          <cell r="E399">
            <v>36049.31</v>
          </cell>
          <cell r="F399">
            <v>39456</v>
          </cell>
          <cell r="G399">
            <v>-3406.69</v>
          </cell>
          <cell r="H399">
            <v>-8.6300000000000002E-2</v>
          </cell>
          <cell r="I399">
            <v>41526.25</v>
          </cell>
          <cell r="J399">
            <v>-5476.94</v>
          </cell>
          <cell r="K399">
            <v>-0.13189999999999999</v>
          </cell>
          <cell r="L399">
            <v>35844.839999999997</v>
          </cell>
          <cell r="M399">
            <v>204.47000000000099</v>
          </cell>
          <cell r="N399">
            <v>5.7000000000000002E-3</v>
          </cell>
          <cell r="O399">
            <v>59184</v>
          </cell>
          <cell r="P399">
            <v>66186.25</v>
          </cell>
          <cell r="Q399">
            <v>49323.61</v>
          </cell>
        </row>
        <row r="400">
          <cell r="A400" t="str">
            <v>6222072740</v>
          </cell>
          <cell r="B400">
            <v>62220</v>
          </cell>
          <cell r="C400">
            <v>72740</v>
          </cell>
          <cell r="D400" t="str">
            <v>Utilities - Gas</v>
          </cell>
          <cell r="E400">
            <v>905.72</v>
          </cell>
          <cell r="F400">
            <v>4000</v>
          </cell>
          <cell r="G400">
            <v>-3094.28</v>
          </cell>
          <cell r="H400">
            <v>-0.77359999999999995</v>
          </cell>
          <cell r="I400">
            <v>2451.36</v>
          </cell>
          <cell r="J400">
            <v>-1545.64</v>
          </cell>
          <cell r="K400">
            <v>-0.63049999999999995</v>
          </cell>
          <cell r="L400">
            <v>2632.4</v>
          </cell>
          <cell r="M400">
            <v>-1726.68</v>
          </cell>
          <cell r="N400">
            <v>-0.65590000000000004</v>
          </cell>
          <cell r="O400">
            <v>6000</v>
          </cell>
          <cell r="P400">
            <v>5051.3599999999997</v>
          </cell>
          <cell r="Q400">
            <v>5552.22</v>
          </cell>
        </row>
        <row r="401">
          <cell r="A401" t="str">
            <v>6222072770</v>
          </cell>
          <cell r="B401">
            <v>62220</v>
          </cell>
          <cell r="C401">
            <v>72770</v>
          </cell>
          <cell r="D401" t="str">
            <v>Utilities - Water</v>
          </cell>
          <cell r="E401">
            <v>8740.66</v>
          </cell>
          <cell r="F401">
            <v>2936</v>
          </cell>
          <cell r="G401">
            <v>5804.66</v>
          </cell>
          <cell r="H401">
            <v>1.9771000000000001</v>
          </cell>
          <cell r="I401">
            <v>7437.81</v>
          </cell>
          <cell r="J401">
            <v>1302.8499999999999</v>
          </cell>
          <cell r="K401">
            <v>0.17519999999999999</v>
          </cell>
          <cell r="L401">
            <v>2799.65</v>
          </cell>
          <cell r="M401">
            <v>5941.01</v>
          </cell>
          <cell r="N401">
            <v>2.1221000000000001</v>
          </cell>
          <cell r="O401">
            <v>4404</v>
          </cell>
          <cell r="P401">
            <v>9985.81</v>
          </cell>
          <cell r="Q401">
            <v>4660.29</v>
          </cell>
        </row>
        <row r="402">
          <cell r="A402" t="str">
            <v>6222076000</v>
          </cell>
          <cell r="B402">
            <v>62220</v>
          </cell>
          <cell r="C402">
            <v>76000</v>
          </cell>
          <cell r="D402" t="str">
            <v>Bldg Maintenance &amp; Repair</v>
          </cell>
          <cell r="E402">
            <v>60265.62</v>
          </cell>
          <cell r="F402">
            <v>75880.36</v>
          </cell>
          <cell r="G402">
            <v>-15614.74</v>
          </cell>
          <cell r="H402">
            <v>-0.20580000000000001</v>
          </cell>
          <cell r="I402">
            <v>67548.75</v>
          </cell>
          <cell r="J402">
            <v>-7283.13</v>
          </cell>
          <cell r="K402">
            <v>-0.10780000000000001</v>
          </cell>
          <cell r="L402">
            <v>25644.09</v>
          </cell>
          <cell r="M402">
            <v>34621.53</v>
          </cell>
          <cell r="N402">
            <v>1.3501000000000001</v>
          </cell>
          <cell r="O402">
            <v>92260</v>
          </cell>
          <cell r="P402">
            <v>110868.39</v>
          </cell>
          <cell r="Q402">
            <v>45683.96</v>
          </cell>
        </row>
        <row r="403">
          <cell r="A403" t="str">
            <v>6222076020</v>
          </cell>
          <cell r="B403">
            <v>62220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</row>
        <row r="404">
          <cell r="A404" t="str">
            <v>6222076034</v>
          </cell>
          <cell r="B404">
            <v>62220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</row>
        <row r="405">
          <cell r="A405" t="str">
            <v>6222076050</v>
          </cell>
          <cell r="B405">
            <v>62220</v>
          </cell>
          <cell r="C405">
            <v>76050</v>
          </cell>
          <cell r="D405" t="str">
            <v>Cleaning Expense</v>
          </cell>
          <cell r="E405">
            <v>53660.49</v>
          </cell>
          <cell r="F405">
            <v>41964.639999999999</v>
          </cell>
          <cell r="G405">
            <v>11695.85</v>
          </cell>
          <cell r="H405">
            <v>0.2787</v>
          </cell>
          <cell r="I405">
            <v>51863.69</v>
          </cell>
          <cell r="J405">
            <v>1796.8</v>
          </cell>
          <cell r="K405">
            <v>3.4599999999999999E-2</v>
          </cell>
          <cell r="L405">
            <v>43160.26</v>
          </cell>
          <cell r="M405">
            <v>10500.23</v>
          </cell>
          <cell r="N405">
            <v>0.24329999999999999</v>
          </cell>
          <cell r="O405">
            <v>62947</v>
          </cell>
          <cell r="P405">
            <v>79431.69</v>
          </cell>
          <cell r="Q405">
            <v>64445.26</v>
          </cell>
        </row>
        <row r="406">
          <cell r="A406" t="str">
            <v>6222076056</v>
          </cell>
          <cell r="B406">
            <v>62220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</row>
        <row r="407">
          <cell r="A407" t="str">
            <v>6222076070</v>
          </cell>
          <cell r="B407">
            <v>62220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</row>
        <row r="408">
          <cell r="A408" t="str">
            <v>6222076091</v>
          </cell>
          <cell r="B408">
            <v>62220</v>
          </cell>
          <cell r="C408">
            <v>76091</v>
          </cell>
          <cell r="D408" t="str">
            <v>Parking Maintenance</v>
          </cell>
          <cell r="E408">
            <v>16595</v>
          </cell>
          <cell r="F408">
            <v>31699.360000000001</v>
          </cell>
          <cell r="G408">
            <v>-15104.36</v>
          </cell>
          <cell r="H408">
            <v>-0.47649999999999998</v>
          </cell>
          <cell r="I408">
            <v>16744</v>
          </cell>
          <cell r="J408">
            <v>-149</v>
          </cell>
          <cell r="K408">
            <v>-8.8999999999999999E-3</v>
          </cell>
          <cell r="L408">
            <v>23113.35</v>
          </cell>
          <cell r="M408">
            <v>-6518.35</v>
          </cell>
          <cell r="N408">
            <v>-0.28199999999999997</v>
          </cell>
          <cell r="O408">
            <v>42199</v>
          </cell>
          <cell r="P408">
            <v>36716</v>
          </cell>
          <cell r="Q408">
            <v>32988.35</v>
          </cell>
        </row>
        <row r="409">
          <cell r="A409" t="str">
            <v>6222077000</v>
          </cell>
          <cell r="B409">
            <v>62220</v>
          </cell>
          <cell r="C409">
            <v>77000</v>
          </cell>
          <cell r="D409" t="str">
            <v>Grounds Maintenance</v>
          </cell>
          <cell r="E409">
            <v>40612.51</v>
          </cell>
          <cell r="F409">
            <v>42210.64</v>
          </cell>
          <cell r="G409">
            <v>-1598.13</v>
          </cell>
          <cell r="H409">
            <v>-3.7900000000000003E-2</v>
          </cell>
          <cell r="I409">
            <v>46264.88</v>
          </cell>
          <cell r="J409">
            <v>-5652.37</v>
          </cell>
          <cell r="K409">
            <v>-0.1222</v>
          </cell>
          <cell r="L409">
            <v>31505.69</v>
          </cell>
          <cell r="M409">
            <v>9106.82</v>
          </cell>
          <cell r="N409">
            <v>0.28910000000000002</v>
          </cell>
          <cell r="O409">
            <v>56645</v>
          </cell>
          <cell r="P409">
            <v>65805.240000000005</v>
          </cell>
          <cell r="Q409">
            <v>45401.15</v>
          </cell>
        </row>
        <row r="410">
          <cell r="A410" t="str">
            <v>6222077053</v>
          </cell>
          <cell r="B410">
            <v>62220</v>
          </cell>
          <cell r="C410">
            <v>77053</v>
          </cell>
          <cell r="D410" t="str">
            <v>Landscaping</v>
          </cell>
          <cell r="E410">
            <v>33299.5</v>
          </cell>
          <cell r="F410">
            <v>53078</v>
          </cell>
          <cell r="G410">
            <v>-19778.5</v>
          </cell>
          <cell r="H410">
            <v>-0.37259999999999999</v>
          </cell>
          <cell r="I410">
            <v>37044.5</v>
          </cell>
          <cell r="J410">
            <v>-3745</v>
          </cell>
          <cell r="K410">
            <v>-0.1011</v>
          </cell>
          <cell r="L410">
            <v>34032.49</v>
          </cell>
          <cell r="M410">
            <v>-732.98999999999796</v>
          </cell>
          <cell r="N410">
            <v>-2.1499999999999998E-2</v>
          </cell>
          <cell r="O410">
            <v>69138</v>
          </cell>
          <cell r="P410">
            <v>67204.5</v>
          </cell>
          <cell r="Q410">
            <v>66277</v>
          </cell>
        </row>
        <row r="411">
          <cell r="A411" t="str">
            <v>6222078020</v>
          </cell>
          <cell r="B411">
            <v>62220</v>
          </cell>
          <cell r="C411">
            <v>78020</v>
          </cell>
          <cell r="D411" t="str">
            <v>Amortized CAM Exp</v>
          </cell>
          <cell r="E411">
            <v>39768</v>
          </cell>
          <cell r="F411">
            <v>17778</v>
          </cell>
          <cell r="G411">
            <v>21990</v>
          </cell>
          <cell r="H411">
            <v>1.2369000000000001</v>
          </cell>
          <cell r="I411">
            <v>27379.41</v>
          </cell>
          <cell r="J411">
            <v>12388.59</v>
          </cell>
          <cell r="K411">
            <v>0.45250000000000001</v>
          </cell>
          <cell r="L411">
            <v>0</v>
          </cell>
          <cell r="M411">
            <v>39768</v>
          </cell>
          <cell r="N411">
            <v>0</v>
          </cell>
          <cell r="O411">
            <v>26667</v>
          </cell>
          <cell r="P411">
            <v>52271.72</v>
          </cell>
          <cell r="Q411">
            <v>0</v>
          </cell>
        </row>
        <row r="412">
          <cell r="A412" t="str">
            <v>6222084264</v>
          </cell>
          <cell r="B412">
            <v>62220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</row>
        <row r="413">
          <cell r="A413" t="str">
            <v>6222085555</v>
          </cell>
          <cell r="B413">
            <v>62220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</row>
        <row r="414">
          <cell r="A414" t="str">
            <v>6222085584</v>
          </cell>
          <cell r="B414">
            <v>62220</v>
          </cell>
          <cell r="C414">
            <v>85584</v>
          </cell>
          <cell r="D414" t="str">
            <v>Bldg Admin-Office Costs</v>
          </cell>
          <cell r="E414">
            <v>9206.31</v>
          </cell>
          <cell r="F414">
            <v>8608</v>
          </cell>
          <cell r="G414">
            <v>598.30999999999904</v>
          </cell>
          <cell r="H414">
            <v>6.9500000000000006E-2</v>
          </cell>
          <cell r="I414">
            <v>9033.15</v>
          </cell>
          <cell r="J414">
            <v>173.16</v>
          </cell>
          <cell r="K414">
            <v>1.9199999999999998E-2</v>
          </cell>
          <cell r="L414">
            <v>7427.59</v>
          </cell>
          <cell r="M414">
            <v>1778.72</v>
          </cell>
          <cell r="N414">
            <v>0.23949999999999999</v>
          </cell>
          <cell r="O414">
            <v>12912</v>
          </cell>
          <cell r="P414">
            <v>13360.91</v>
          </cell>
          <cell r="Q414">
            <v>12302.31</v>
          </cell>
        </row>
        <row r="415">
          <cell r="A415" t="str">
            <v>6222085582</v>
          </cell>
          <cell r="B415">
            <v>62220</v>
          </cell>
          <cell r="C415">
            <v>85582</v>
          </cell>
          <cell r="D415" t="str">
            <v>Bldg Admin-Salaries</v>
          </cell>
          <cell r="E415">
            <v>59507.81</v>
          </cell>
          <cell r="F415">
            <v>57987.360000000001</v>
          </cell>
          <cell r="G415">
            <v>1520.45</v>
          </cell>
          <cell r="H415">
            <v>2.6200000000000001E-2</v>
          </cell>
          <cell r="I415">
            <v>60308.61</v>
          </cell>
          <cell r="J415">
            <v>-800.80000000000302</v>
          </cell>
          <cell r="K415">
            <v>-1.3299999999999999E-2</v>
          </cell>
          <cell r="L415">
            <v>50519.76</v>
          </cell>
          <cell r="M415">
            <v>8988.0499999999993</v>
          </cell>
          <cell r="N415">
            <v>0.1779</v>
          </cell>
          <cell r="O415">
            <v>86981</v>
          </cell>
          <cell r="P415">
            <v>92911.42</v>
          </cell>
          <cell r="Q415">
            <v>82235.03</v>
          </cell>
        </row>
        <row r="416">
          <cell r="A416" t="str">
            <v>6222086564</v>
          </cell>
          <cell r="B416">
            <v>62220</v>
          </cell>
          <cell r="C416">
            <v>86564</v>
          </cell>
          <cell r="D416" t="str">
            <v>Insurance</v>
          </cell>
          <cell r="E416">
            <v>32563</v>
          </cell>
          <cell r="F416">
            <v>44624.639999999999</v>
          </cell>
          <cell r="G416">
            <v>-12061.64</v>
          </cell>
          <cell r="H416">
            <v>-0.27029999999999998</v>
          </cell>
          <cell r="I416">
            <v>30265.07</v>
          </cell>
          <cell r="J416">
            <v>2297.9299999999998</v>
          </cell>
          <cell r="K416">
            <v>7.5899999999999995E-2</v>
          </cell>
          <cell r="L416">
            <v>37584</v>
          </cell>
          <cell r="M416">
            <v>-5021</v>
          </cell>
          <cell r="N416">
            <v>-0.1336</v>
          </cell>
          <cell r="O416">
            <v>66937</v>
          </cell>
          <cell r="P416">
            <v>43483.39</v>
          </cell>
          <cell r="Q416">
            <v>56375</v>
          </cell>
        </row>
        <row r="417">
          <cell r="A417" t="str">
            <v>6222088846</v>
          </cell>
          <cell r="B417">
            <v>62220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10748</v>
          </cell>
          <cell r="Q417">
            <v>0</v>
          </cell>
        </row>
        <row r="418">
          <cell r="A418" t="str">
            <v>6222088890</v>
          </cell>
          <cell r="B418">
            <v>62220</v>
          </cell>
          <cell r="C418">
            <v>88890</v>
          </cell>
          <cell r="D418" t="str">
            <v>Security/Safety</v>
          </cell>
          <cell r="E418">
            <v>21296.080000000002</v>
          </cell>
          <cell r="F418">
            <v>18669.36</v>
          </cell>
          <cell r="G418">
            <v>2626.72</v>
          </cell>
          <cell r="H418">
            <v>0.14069999999999999</v>
          </cell>
          <cell r="I418">
            <v>21295.39</v>
          </cell>
          <cell r="J418">
            <v>0.69000000000232797</v>
          </cell>
          <cell r="K418">
            <v>0</v>
          </cell>
          <cell r="L418">
            <v>18224</v>
          </cell>
          <cell r="M418">
            <v>3072.08</v>
          </cell>
          <cell r="N418">
            <v>0.1686</v>
          </cell>
          <cell r="O418">
            <v>28004</v>
          </cell>
          <cell r="P418">
            <v>30807.39</v>
          </cell>
          <cell r="Q418">
            <v>27992.45</v>
          </cell>
        </row>
        <row r="419">
          <cell r="A419" t="str">
            <v>6222089775</v>
          </cell>
          <cell r="B419">
            <v>62220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16586</v>
          </cell>
          <cell r="G419">
            <v>-16586</v>
          </cell>
          <cell r="H419">
            <v>0</v>
          </cell>
          <cell r="I419">
            <v>-3109.89</v>
          </cell>
          <cell r="J419">
            <v>3109.89</v>
          </cell>
          <cell r="K419">
            <v>0</v>
          </cell>
          <cell r="L419">
            <v>16586</v>
          </cell>
          <cell r="M419">
            <v>-16586</v>
          </cell>
          <cell r="N419">
            <v>0</v>
          </cell>
          <cell r="O419">
            <v>24879</v>
          </cell>
          <cell r="P419">
            <v>-7256.37</v>
          </cell>
          <cell r="Q419">
            <v>24879</v>
          </cell>
        </row>
        <row r="420">
          <cell r="A420" t="str">
            <v>6222089729</v>
          </cell>
          <cell r="B420">
            <v>62220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</row>
        <row r="421">
          <cell r="A421" t="str">
            <v>6222089786</v>
          </cell>
          <cell r="B421">
            <v>62220</v>
          </cell>
          <cell r="C421">
            <v>89786</v>
          </cell>
          <cell r="D421" t="str">
            <v>Property Tax Exp</v>
          </cell>
          <cell r="E421">
            <v>113036.02</v>
          </cell>
          <cell r="F421">
            <v>155454</v>
          </cell>
          <cell r="G421">
            <v>-42417.98</v>
          </cell>
          <cell r="H421">
            <v>-0.27289999999999998</v>
          </cell>
          <cell r="I421">
            <v>112390.27</v>
          </cell>
          <cell r="J421">
            <v>645.75</v>
          </cell>
          <cell r="K421">
            <v>5.7000000000000002E-3</v>
          </cell>
          <cell r="L421">
            <v>199312.48</v>
          </cell>
          <cell r="M421">
            <v>-86276.46</v>
          </cell>
          <cell r="N421">
            <v>-0.43290000000000001</v>
          </cell>
          <cell r="O421">
            <v>233181</v>
          </cell>
          <cell r="P421">
            <v>239767.27</v>
          </cell>
          <cell r="Q421">
            <v>181173.82</v>
          </cell>
        </row>
        <row r="422">
          <cell r="A422" t="str">
            <v>6222071040</v>
          </cell>
          <cell r="B422">
            <v>62220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</row>
        <row r="423">
          <cell r="A423" t="str">
            <v>6222072701</v>
          </cell>
          <cell r="B423">
            <v>62220</v>
          </cell>
          <cell r="C423">
            <v>72701</v>
          </cell>
          <cell r="D423" t="str">
            <v>Utilities</v>
          </cell>
          <cell r="E423">
            <v>122.46</v>
          </cell>
          <cell r="F423">
            <v>0</v>
          </cell>
          <cell r="G423">
            <v>122.46</v>
          </cell>
          <cell r="H423">
            <v>0</v>
          </cell>
          <cell r="I423">
            <v>122.46</v>
          </cell>
          <cell r="J423">
            <v>0</v>
          </cell>
          <cell r="K423">
            <v>0</v>
          </cell>
          <cell r="L423">
            <v>0</v>
          </cell>
          <cell r="M423">
            <v>122.46</v>
          </cell>
          <cell r="N423">
            <v>0</v>
          </cell>
          <cell r="O423">
            <v>0</v>
          </cell>
          <cell r="P423">
            <v>122.46</v>
          </cell>
          <cell r="Q423">
            <v>65.44</v>
          </cell>
        </row>
        <row r="424">
          <cell r="A424" t="str">
            <v>6222072855</v>
          </cell>
          <cell r="B424">
            <v>62220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</row>
        <row r="425">
          <cell r="A425" t="str">
            <v>6222072870</v>
          </cell>
          <cell r="B425">
            <v>62220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</row>
        <row r="426">
          <cell r="A426" t="str">
            <v>6222076010</v>
          </cell>
          <cell r="B426">
            <v>62220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6.81</v>
          </cell>
          <cell r="M426">
            <v>-6.81</v>
          </cell>
          <cell r="N426">
            <v>0</v>
          </cell>
          <cell r="O426">
            <v>0</v>
          </cell>
          <cell r="P426">
            <v>0</v>
          </cell>
          <cell r="Q426">
            <v>6.81</v>
          </cell>
        </row>
        <row r="427">
          <cell r="A427" t="str">
            <v>6222076040</v>
          </cell>
          <cell r="B427">
            <v>62220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</row>
        <row r="428">
          <cell r="A428" t="str">
            <v>6222076051</v>
          </cell>
          <cell r="B428">
            <v>62220</v>
          </cell>
          <cell r="C428">
            <v>76051</v>
          </cell>
          <cell r="D428" t="str">
            <v>Cleaning</v>
          </cell>
          <cell r="E428">
            <v>616.29999999999995</v>
          </cell>
          <cell r="F428">
            <v>0</v>
          </cell>
          <cell r="G428">
            <v>616.29999999999995</v>
          </cell>
          <cell r="H428">
            <v>0</v>
          </cell>
          <cell r="I428">
            <v>0</v>
          </cell>
          <cell r="J428">
            <v>616.29999999999995</v>
          </cell>
          <cell r="K428">
            <v>0</v>
          </cell>
          <cell r="L428">
            <v>0</v>
          </cell>
          <cell r="M428">
            <v>616.29999999999995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</row>
        <row r="429">
          <cell r="A429" t="str">
            <v>6222076054</v>
          </cell>
          <cell r="B429">
            <v>62220</v>
          </cell>
          <cell r="C429">
            <v>76054</v>
          </cell>
          <cell r="D429" t="str">
            <v>Bldg Maintenance &amp; Repair</v>
          </cell>
          <cell r="E429">
            <v>124</v>
          </cell>
          <cell r="F429">
            <v>1500</v>
          </cell>
          <cell r="G429">
            <v>-1376</v>
          </cell>
          <cell r="H429">
            <v>-0.9173</v>
          </cell>
          <cell r="I429">
            <v>7697</v>
          </cell>
          <cell r="J429">
            <v>-7573</v>
          </cell>
          <cell r="K429">
            <v>-0.9839</v>
          </cell>
          <cell r="L429">
            <v>466.19</v>
          </cell>
          <cell r="M429">
            <v>-342.19</v>
          </cell>
          <cell r="N429">
            <v>-0.73399999999999999</v>
          </cell>
          <cell r="O429">
            <v>1500</v>
          </cell>
          <cell r="P429">
            <v>7697</v>
          </cell>
          <cell r="Q429">
            <v>457.62</v>
          </cell>
        </row>
        <row r="430">
          <cell r="A430" t="str">
            <v>6222076060</v>
          </cell>
          <cell r="B430">
            <v>62220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</row>
        <row r="431">
          <cell r="A431" t="str">
            <v>6222076071</v>
          </cell>
          <cell r="B431">
            <v>62220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</row>
        <row r="432">
          <cell r="A432" t="str">
            <v>6222076090</v>
          </cell>
          <cell r="B432">
            <v>62220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</row>
        <row r="433">
          <cell r="A433" t="str">
            <v>6222077001</v>
          </cell>
          <cell r="B433">
            <v>62220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</row>
        <row r="434">
          <cell r="A434" t="str">
            <v>6222077022</v>
          </cell>
          <cell r="B434">
            <v>62220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35">
          <cell r="A435" t="str">
            <v>6222084200</v>
          </cell>
          <cell r="B435">
            <v>62220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</row>
        <row r="436">
          <cell r="A436" t="str">
            <v>6222084240</v>
          </cell>
          <cell r="B436">
            <v>62220</v>
          </cell>
          <cell r="C436">
            <v>84240</v>
          </cell>
          <cell r="D436" t="str">
            <v>Marketing Leasing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</row>
        <row r="437">
          <cell r="A437" t="str">
            <v>6222084242</v>
          </cell>
          <cell r="B437">
            <v>62220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</row>
        <row r="438">
          <cell r="A438" t="str">
            <v>6222084243</v>
          </cell>
          <cell r="B438">
            <v>62220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-12031.14</v>
          </cell>
        </row>
        <row r="439">
          <cell r="A439" t="str">
            <v>6222084244</v>
          </cell>
          <cell r="B439">
            <v>62220</v>
          </cell>
          <cell r="C439">
            <v>84244</v>
          </cell>
          <cell r="D439" t="str">
            <v>Marketing-Net Required</v>
          </cell>
          <cell r="E439">
            <v>40000</v>
          </cell>
          <cell r="F439">
            <v>33333.360000000001</v>
          </cell>
          <cell r="G439">
            <v>6666.64</v>
          </cell>
          <cell r="H439">
            <v>0.2</v>
          </cell>
          <cell r="I439">
            <v>33333.19</v>
          </cell>
          <cell r="J439">
            <v>6666.81</v>
          </cell>
          <cell r="K439">
            <v>0.2</v>
          </cell>
          <cell r="L439">
            <v>0</v>
          </cell>
          <cell r="M439">
            <v>40000</v>
          </cell>
          <cell r="N439">
            <v>0</v>
          </cell>
          <cell r="O439">
            <v>50000</v>
          </cell>
          <cell r="P439">
            <v>49999.71</v>
          </cell>
          <cell r="Q439">
            <v>50000</v>
          </cell>
        </row>
        <row r="440">
          <cell r="A440" t="str">
            <v>6222084265</v>
          </cell>
          <cell r="B440">
            <v>62220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</row>
        <row r="441">
          <cell r="A441" t="str">
            <v>6222088037</v>
          </cell>
          <cell r="B441">
            <v>62220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</row>
        <row r="442">
          <cell r="A442" t="str">
            <v>6222085016</v>
          </cell>
          <cell r="B442">
            <v>62220</v>
          </cell>
          <cell r="C442">
            <v>85016</v>
          </cell>
          <cell r="D442" t="str">
            <v>Prof Svc-Attorney Outside</v>
          </cell>
          <cell r="E442">
            <v>5021.75</v>
          </cell>
          <cell r="F442">
            <v>2500</v>
          </cell>
          <cell r="G442">
            <v>2521.75</v>
          </cell>
          <cell r="H442">
            <v>1.0086999999999999</v>
          </cell>
          <cell r="I442">
            <v>4630.75</v>
          </cell>
          <cell r="J442">
            <v>391</v>
          </cell>
          <cell r="K442">
            <v>8.4400000000000003E-2</v>
          </cell>
          <cell r="L442">
            <v>1790.54</v>
          </cell>
          <cell r="M442">
            <v>3231.21</v>
          </cell>
          <cell r="N442">
            <v>1.8046</v>
          </cell>
          <cell r="O442">
            <v>5000</v>
          </cell>
          <cell r="P442">
            <v>7130.75</v>
          </cell>
          <cell r="Q442">
            <v>2187.98</v>
          </cell>
        </row>
        <row r="443">
          <cell r="A443" t="str">
            <v>6222085022</v>
          </cell>
          <cell r="B443">
            <v>62220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3200</v>
          </cell>
          <cell r="P443">
            <v>3200</v>
          </cell>
          <cell r="Q443">
            <v>1400</v>
          </cell>
        </row>
        <row r="444">
          <cell r="A444" t="str">
            <v>6222085065</v>
          </cell>
          <cell r="B444">
            <v>62220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</row>
        <row r="445">
          <cell r="A445" t="str">
            <v>6222085500</v>
          </cell>
          <cell r="B445">
            <v>62220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1664</v>
          </cell>
          <cell r="G445">
            <v>-1664</v>
          </cell>
          <cell r="H445">
            <v>0</v>
          </cell>
          <cell r="I445">
            <v>624</v>
          </cell>
          <cell r="J445">
            <v>-624</v>
          </cell>
          <cell r="K445">
            <v>0</v>
          </cell>
          <cell r="L445">
            <v>400</v>
          </cell>
          <cell r="M445">
            <v>-400</v>
          </cell>
          <cell r="N445">
            <v>0</v>
          </cell>
          <cell r="O445">
            <v>2496</v>
          </cell>
          <cell r="P445">
            <v>1456</v>
          </cell>
          <cell r="Q445">
            <v>400</v>
          </cell>
        </row>
        <row r="446">
          <cell r="A446" t="str">
            <v>6222085566</v>
          </cell>
          <cell r="B446">
            <v>62220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</row>
        <row r="447">
          <cell r="A447" t="str">
            <v>6222085581</v>
          </cell>
          <cell r="B447">
            <v>62220</v>
          </cell>
          <cell r="C447">
            <v>85581</v>
          </cell>
          <cell r="D447" t="str">
            <v>Bldg Admin- Salaries</v>
          </cell>
          <cell r="E447">
            <v>33707.89</v>
          </cell>
          <cell r="F447">
            <v>34656</v>
          </cell>
          <cell r="G447">
            <v>-948.11000000000104</v>
          </cell>
          <cell r="H447">
            <v>-2.7400000000000001E-2</v>
          </cell>
          <cell r="I447">
            <v>34272.68</v>
          </cell>
          <cell r="J447">
            <v>-564.79000000000099</v>
          </cell>
          <cell r="K447">
            <v>-1.6500000000000001E-2</v>
          </cell>
          <cell r="L447">
            <v>37267.03</v>
          </cell>
          <cell r="M447">
            <v>-3559.14</v>
          </cell>
          <cell r="N447">
            <v>-9.5500000000000002E-2</v>
          </cell>
          <cell r="O447">
            <v>51984</v>
          </cell>
          <cell r="P447">
            <v>53667.519999999997</v>
          </cell>
          <cell r="Q447">
            <v>58678.53</v>
          </cell>
        </row>
        <row r="448">
          <cell r="A448" t="str">
            <v>6222085583</v>
          </cell>
          <cell r="B448">
            <v>62220</v>
          </cell>
          <cell r="C448">
            <v>85583</v>
          </cell>
          <cell r="D448" t="str">
            <v>Bldg Admin-Office Exp.</v>
          </cell>
          <cell r="E448">
            <v>5047.2700000000004</v>
          </cell>
          <cell r="F448">
            <v>5026</v>
          </cell>
          <cell r="G448">
            <v>21.270000000000401</v>
          </cell>
          <cell r="H448">
            <v>4.1999999999999997E-3</v>
          </cell>
          <cell r="I448">
            <v>5337.46</v>
          </cell>
          <cell r="J448">
            <v>-290.19</v>
          </cell>
          <cell r="K448">
            <v>-5.4399999999999997E-2</v>
          </cell>
          <cell r="L448">
            <v>4780.0600000000004</v>
          </cell>
          <cell r="M448">
            <v>267.20999999999998</v>
          </cell>
          <cell r="N448">
            <v>5.5899999999999998E-2</v>
          </cell>
          <cell r="O448">
            <v>7539</v>
          </cell>
          <cell r="P448">
            <v>7737.34</v>
          </cell>
          <cell r="Q448">
            <v>7466.57</v>
          </cell>
        </row>
        <row r="449">
          <cell r="A449" t="str">
            <v>6222085530</v>
          </cell>
          <cell r="B449">
            <v>62220</v>
          </cell>
          <cell r="C449">
            <v>85530</v>
          </cell>
          <cell r="D449" t="str">
            <v>Bldg Admin - Office Exp</v>
          </cell>
          <cell r="E449">
            <v>5047.2700000000004</v>
          </cell>
          <cell r="F449">
            <v>5026</v>
          </cell>
          <cell r="G449">
            <v>21.270000000000401</v>
          </cell>
          <cell r="H449">
            <v>4.1999999999999997E-3</v>
          </cell>
          <cell r="I449">
            <v>5337.46</v>
          </cell>
          <cell r="J449">
            <v>-290.19</v>
          </cell>
          <cell r="K449">
            <v>-5.4399999999999997E-2</v>
          </cell>
          <cell r="L449">
            <v>4780.0600000000004</v>
          </cell>
          <cell r="M449">
            <v>267.20999999999998</v>
          </cell>
          <cell r="N449">
            <v>5.5899999999999998E-2</v>
          </cell>
          <cell r="O449">
            <v>7539</v>
          </cell>
          <cell r="P449">
            <v>7737.34</v>
          </cell>
          <cell r="Q449">
            <v>7466.57</v>
          </cell>
        </row>
        <row r="450">
          <cell r="A450" t="str">
            <v>6222086012</v>
          </cell>
          <cell r="B450">
            <v>62220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</row>
        <row r="451">
          <cell r="A451" t="str">
            <v>6222086037</v>
          </cell>
          <cell r="B451">
            <v>62220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</row>
        <row r="452">
          <cell r="A452" t="str">
            <v>6222083050</v>
          </cell>
          <cell r="B452">
            <v>62220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</row>
        <row r="453">
          <cell r="A453" t="str">
            <v>6222086510</v>
          </cell>
          <cell r="B453">
            <v>62220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</row>
        <row r="454">
          <cell r="A454" t="str">
            <v>6222086537</v>
          </cell>
          <cell r="B454">
            <v>62220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</row>
        <row r="455">
          <cell r="A455" t="str">
            <v>6222086566</v>
          </cell>
          <cell r="B455">
            <v>62220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</row>
        <row r="456">
          <cell r="A456" t="str">
            <v>6222086955</v>
          </cell>
          <cell r="B456">
            <v>62220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</row>
        <row r="457">
          <cell r="A457" t="str">
            <v>6222086985</v>
          </cell>
          <cell r="B457">
            <v>62220</v>
          </cell>
          <cell r="C457">
            <v>86985</v>
          </cell>
          <cell r="D457" t="str">
            <v>Purchased Svcs _ Other</v>
          </cell>
          <cell r="E457">
            <v>4.8499999999999996</v>
          </cell>
          <cell r="F457">
            <v>0</v>
          </cell>
          <cell r="G457">
            <v>4.8499999999999996</v>
          </cell>
          <cell r="H457">
            <v>0</v>
          </cell>
          <cell r="I457">
            <v>4.8499999999999996</v>
          </cell>
          <cell r="J457">
            <v>0</v>
          </cell>
          <cell r="K457">
            <v>0</v>
          </cell>
          <cell r="L457">
            <v>0</v>
          </cell>
          <cell r="M457">
            <v>4.8499999999999996</v>
          </cell>
          <cell r="N457">
            <v>0</v>
          </cell>
          <cell r="O457">
            <v>0</v>
          </cell>
          <cell r="P457">
            <v>-1681.15</v>
          </cell>
          <cell r="Q457">
            <v>0</v>
          </cell>
        </row>
        <row r="458">
          <cell r="A458" t="str">
            <v>6222086880</v>
          </cell>
          <cell r="B458">
            <v>62220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</row>
        <row r="459">
          <cell r="A459" t="str">
            <v>6222088710</v>
          </cell>
          <cell r="B459">
            <v>62220</v>
          </cell>
          <cell r="C459">
            <v>88710</v>
          </cell>
          <cell r="D459" t="str">
            <v>Losses-Bad Debts</v>
          </cell>
          <cell r="E459">
            <v>-15395.83</v>
          </cell>
          <cell r="F459">
            <v>16872</v>
          </cell>
          <cell r="G459">
            <v>-32267.83</v>
          </cell>
          <cell r="H459">
            <v>-1.9125000000000001</v>
          </cell>
          <cell r="I459">
            <v>-13670</v>
          </cell>
          <cell r="J459">
            <v>-1725.83</v>
          </cell>
          <cell r="K459">
            <v>0.12620000000000001</v>
          </cell>
          <cell r="L459">
            <v>4834.13</v>
          </cell>
          <cell r="M459">
            <v>-20229.96</v>
          </cell>
          <cell r="N459">
            <v>-4.1848000000000001</v>
          </cell>
          <cell r="O459">
            <v>33744</v>
          </cell>
          <cell r="P459">
            <v>-13670</v>
          </cell>
          <cell r="Q459">
            <v>-37159.870000000003</v>
          </cell>
        </row>
        <row r="460">
          <cell r="A460" t="str">
            <v>6222088711</v>
          </cell>
          <cell r="B460">
            <v>62220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</row>
        <row r="461">
          <cell r="A461" t="str">
            <v>6222088785</v>
          </cell>
          <cell r="B461">
            <v>62220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</row>
        <row r="462">
          <cell r="A462" t="str">
            <v>6222088847</v>
          </cell>
          <cell r="B462">
            <v>62220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</row>
        <row r="463">
          <cell r="A463" t="str">
            <v>6222088866</v>
          </cell>
          <cell r="B463">
            <v>62220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</row>
        <row r="464">
          <cell r="A464" t="str">
            <v>6222088870</v>
          </cell>
          <cell r="B464">
            <v>62220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</row>
        <row r="465">
          <cell r="A465" t="str">
            <v>6222088889</v>
          </cell>
          <cell r="B465">
            <v>62220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</row>
        <row r="466">
          <cell r="A466" t="str">
            <v>6222089776</v>
          </cell>
          <cell r="B466">
            <v>62220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</row>
        <row r="467">
          <cell r="A467" t="str">
            <v>6222089787</v>
          </cell>
          <cell r="B467">
            <v>62220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</row>
        <row r="468">
          <cell r="A468" t="str">
            <v>6222089510</v>
          </cell>
          <cell r="B468">
            <v>62220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</row>
        <row r="469">
          <cell r="A469" t="str">
            <v>6222089511</v>
          </cell>
          <cell r="B469">
            <v>62220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</row>
        <row r="470">
          <cell r="A470" t="str">
            <v>6222089512</v>
          </cell>
          <cell r="B470">
            <v>62220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</row>
        <row r="471">
          <cell r="A471" t="str">
            <v>6222089528</v>
          </cell>
          <cell r="B471">
            <v>62220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</row>
        <row r="472">
          <cell r="A472" t="str">
            <v>6222089529</v>
          </cell>
          <cell r="B472">
            <v>62220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</row>
        <row r="473">
          <cell r="A473" t="str">
            <v>6222089567</v>
          </cell>
          <cell r="B473">
            <v>62220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</row>
        <row r="474">
          <cell r="A474" t="str">
            <v>6222085058</v>
          </cell>
          <cell r="B474">
            <v>62220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</row>
        <row r="475">
          <cell r="A475" t="str">
            <v>6222086513</v>
          </cell>
          <cell r="B475">
            <v>62220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4415.6400000000003</v>
          </cell>
          <cell r="G475">
            <v>-4415.6400000000003</v>
          </cell>
          <cell r="H475">
            <v>0</v>
          </cell>
          <cell r="I475">
            <v>555.33000000000004</v>
          </cell>
          <cell r="J475">
            <v>-555.33000000000004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7887.32</v>
          </cell>
          <cell r="P475">
            <v>1985.21</v>
          </cell>
          <cell r="Q475">
            <v>0</v>
          </cell>
        </row>
        <row r="476">
          <cell r="A476" t="str">
            <v>6222086519</v>
          </cell>
          <cell r="B476">
            <v>62220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</row>
        <row r="477">
          <cell r="A477" t="str">
            <v>6222088770</v>
          </cell>
          <cell r="B477">
            <v>62220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</row>
        <row r="478">
          <cell r="A478" t="str">
            <v>6222088862</v>
          </cell>
          <cell r="B478">
            <v>62220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</row>
        <row r="479">
          <cell r="A479" t="str">
            <v>6222088874</v>
          </cell>
          <cell r="B479">
            <v>62220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</row>
        <row r="480">
          <cell r="A480" t="str">
            <v>6222089910</v>
          </cell>
          <cell r="B480">
            <v>62220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278599.46999999997</v>
          </cell>
          <cell r="G480">
            <v>-278599.46999999997</v>
          </cell>
          <cell r="H480">
            <v>0</v>
          </cell>
          <cell r="I480">
            <v>250532.67</v>
          </cell>
          <cell r="J480">
            <v>-250532.67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418237.73</v>
          </cell>
          <cell r="P480">
            <v>375799.01</v>
          </cell>
          <cell r="Q480">
            <v>0</v>
          </cell>
        </row>
        <row r="481">
          <cell r="A481" t="str">
            <v>6222089548</v>
          </cell>
          <cell r="B481">
            <v>62220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</row>
        <row r="482">
          <cell r="A482" t="str">
            <v>6224841010</v>
          </cell>
          <cell r="B482">
            <v>62248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</row>
        <row r="483">
          <cell r="A483" t="str">
            <v>6224841040</v>
          </cell>
          <cell r="B483">
            <v>62248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</row>
        <row r="484">
          <cell r="A484" t="str">
            <v>6224841050</v>
          </cell>
          <cell r="B484">
            <v>62248</v>
          </cell>
          <cell r="C484">
            <v>41050</v>
          </cell>
          <cell r="D484" t="str">
            <v>Rental Income - Fixed</v>
          </cell>
          <cell r="E484">
            <v>-2363050.52</v>
          </cell>
          <cell r="F484">
            <v>-2301712.39</v>
          </cell>
          <cell r="G484">
            <v>-61338.129999999903</v>
          </cell>
          <cell r="H484">
            <v>2.6599999999999999E-2</v>
          </cell>
          <cell r="I484">
            <v>-2374938.39</v>
          </cell>
          <cell r="J484">
            <v>11887.870000000101</v>
          </cell>
          <cell r="K484">
            <v>-5.0000000000000001E-3</v>
          </cell>
          <cell r="L484">
            <v>-2216321.79</v>
          </cell>
          <cell r="M484">
            <v>-146728.73000000001</v>
          </cell>
          <cell r="N484">
            <v>6.6199999999999995E-2</v>
          </cell>
          <cell r="O484">
            <v>-3481938.29</v>
          </cell>
          <cell r="P484">
            <v>-3637692.67</v>
          </cell>
          <cell r="Q484">
            <v>-3380851.69</v>
          </cell>
        </row>
        <row r="485">
          <cell r="A485" t="str">
            <v>6224841074</v>
          </cell>
          <cell r="B485">
            <v>62248</v>
          </cell>
          <cell r="C485">
            <v>41074</v>
          </cell>
          <cell r="D485" t="str">
            <v>Rental Income - Percentage</v>
          </cell>
          <cell r="E485">
            <v>-52184</v>
          </cell>
          <cell r="F485">
            <v>-124411</v>
          </cell>
          <cell r="G485">
            <v>72227</v>
          </cell>
          <cell r="H485">
            <v>-0.5806</v>
          </cell>
          <cell r="I485">
            <v>-49152</v>
          </cell>
          <cell r="J485">
            <v>-3032</v>
          </cell>
          <cell r="K485">
            <v>6.1699999999999998E-2</v>
          </cell>
          <cell r="L485">
            <v>-54526.35</v>
          </cell>
          <cell r="M485">
            <v>2342.35</v>
          </cell>
          <cell r="N485">
            <v>-4.2999999999999997E-2</v>
          </cell>
          <cell r="O485">
            <v>-124411</v>
          </cell>
          <cell r="P485">
            <v>-84448</v>
          </cell>
          <cell r="Q485">
            <v>-66145.179999999993</v>
          </cell>
        </row>
        <row r="486">
          <cell r="A486" t="str">
            <v>6224841082</v>
          </cell>
          <cell r="B486">
            <v>62248</v>
          </cell>
          <cell r="C486">
            <v>41082</v>
          </cell>
          <cell r="D486" t="str">
            <v>Rental Income - Operating Exp</v>
          </cell>
          <cell r="E486">
            <v>-645468.89</v>
          </cell>
          <cell r="F486">
            <v>-585900.56000000006</v>
          </cell>
          <cell r="G486">
            <v>-59568.33</v>
          </cell>
          <cell r="H486">
            <v>0.1017</v>
          </cell>
          <cell r="I486">
            <v>-634218.36</v>
          </cell>
          <cell r="J486">
            <v>-11250.53</v>
          </cell>
          <cell r="K486">
            <v>1.77E-2</v>
          </cell>
          <cell r="L486">
            <v>-472076.85</v>
          </cell>
          <cell r="M486">
            <v>-173392.04</v>
          </cell>
          <cell r="N486">
            <v>0.36730000000000002</v>
          </cell>
          <cell r="O486">
            <v>-878850.8</v>
          </cell>
          <cell r="P486">
            <v>-928547.36</v>
          </cell>
          <cell r="Q486">
            <v>-785379.85</v>
          </cell>
        </row>
        <row r="487">
          <cell r="A487" t="str">
            <v>6224844610</v>
          </cell>
          <cell r="B487">
            <v>62248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</row>
        <row r="488">
          <cell r="A488" t="str">
            <v>6224845071</v>
          </cell>
          <cell r="B488">
            <v>62248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</row>
        <row r="489">
          <cell r="A489" t="str">
            <v>6224845010</v>
          </cell>
          <cell r="B489">
            <v>62248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</row>
        <row r="490">
          <cell r="A490" t="str">
            <v>6224845046</v>
          </cell>
          <cell r="B490">
            <v>62248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</row>
        <row r="491">
          <cell r="A491" t="str">
            <v>6224845070</v>
          </cell>
          <cell r="B491">
            <v>62248</v>
          </cell>
          <cell r="C491">
            <v>45070</v>
          </cell>
          <cell r="D491" t="str">
            <v>Other Income</v>
          </cell>
          <cell r="E491">
            <v>-3633.13</v>
          </cell>
          <cell r="F491">
            <v>-35408</v>
          </cell>
          <cell r="G491">
            <v>31774.87</v>
          </cell>
          <cell r="H491">
            <v>-0.89739999999999998</v>
          </cell>
          <cell r="I491">
            <v>-3752.32</v>
          </cell>
          <cell r="J491">
            <v>119.19</v>
          </cell>
          <cell r="K491">
            <v>-3.1800000000000002E-2</v>
          </cell>
          <cell r="L491">
            <v>-344.92</v>
          </cell>
          <cell r="M491">
            <v>-3288.21</v>
          </cell>
          <cell r="N491">
            <v>9.5333000000000006</v>
          </cell>
          <cell r="O491">
            <v>-35859</v>
          </cell>
          <cell r="P491">
            <v>-4203.32</v>
          </cell>
          <cell r="Q491">
            <v>-377.12</v>
          </cell>
        </row>
        <row r="492">
          <cell r="A492" t="str">
            <v>6224841060</v>
          </cell>
          <cell r="B492">
            <v>62248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9600</v>
          </cell>
          <cell r="G492">
            <v>-9600</v>
          </cell>
          <cell r="H492">
            <v>0</v>
          </cell>
          <cell r="I492">
            <v>2700</v>
          </cell>
          <cell r="J492">
            <v>-2700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14400</v>
          </cell>
          <cell r="P492">
            <v>6300</v>
          </cell>
          <cell r="Q492">
            <v>0</v>
          </cell>
        </row>
        <row r="493">
          <cell r="A493" t="str">
            <v>6224844870</v>
          </cell>
          <cell r="B493">
            <v>62248</v>
          </cell>
          <cell r="C493">
            <v>44870</v>
          </cell>
          <cell r="D493" t="str">
            <v>Late Fees</v>
          </cell>
          <cell r="E493">
            <v>-1763.57</v>
          </cell>
          <cell r="F493">
            <v>0</v>
          </cell>
          <cell r="G493">
            <v>-1763.57</v>
          </cell>
          <cell r="H493">
            <v>0</v>
          </cell>
          <cell r="I493">
            <v>-1000</v>
          </cell>
          <cell r="J493">
            <v>-763.57</v>
          </cell>
          <cell r="K493">
            <v>0.76359999999999995</v>
          </cell>
          <cell r="L493">
            <v>0</v>
          </cell>
          <cell r="M493">
            <v>-1763.57</v>
          </cell>
          <cell r="N493">
            <v>0</v>
          </cell>
          <cell r="O493">
            <v>0</v>
          </cell>
          <cell r="P493">
            <v>-1000</v>
          </cell>
          <cell r="Q493">
            <v>-2755.88</v>
          </cell>
        </row>
        <row r="494">
          <cell r="A494" t="str">
            <v>6224852542</v>
          </cell>
          <cell r="B494">
            <v>62248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</row>
        <row r="495">
          <cell r="A495" t="str">
            <v>6224872710</v>
          </cell>
          <cell r="B495">
            <v>62248</v>
          </cell>
          <cell r="C495">
            <v>72710</v>
          </cell>
          <cell r="D495" t="str">
            <v>Utilities - Electricity</v>
          </cell>
          <cell r="E495">
            <v>26645.27</v>
          </cell>
          <cell r="F495">
            <v>25336</v>
          </cell>
          <cell r="G495">
            <v>1309.27</v>
          </cell>
          <cell r="H495">
            <v>5.1700000000000003E-2</v>
          </cell>
          <cell r="I495">
            <v>23486.55</v>
          </cell>
          <cell r="J495">
            <v>3158.72</v>
          </cell>
          <cell r="K495">
            <v>0.13450000000000001</v>
          </cell>
          <cell r="L495">
            <v>22160.81</v>
          </cell>
          <cell r="M495">
            <v>4484.46</v>
          </cell>
          <cell r="N495">
            <v>0.2024</v>
          </cell>
          <cell r="O495">
            <v>38004</v>
          </cell>
          <cell r="P495">
            <v>37486.550000000003</v>
          </cell>
          <cell r="Q495">
            <v>30210.46</v>
          </cell>
        </row>
        <row r="496">
          <cell r="A496" t="str">
            <v>6224872740</v>
          </cell>
          <cell r="B496">
            <v>62248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</row>
        <row r="497">
          <cell r="A497" t="str">
            <v>6224872770</v>
          </cell>
          <cell r="B497">
            <v>62248</v>
          </cell>
          <cell r="C497">
            <v>72770</v>
          </cell>
          <cell r="D497" t="str">
            <v>Utilities - Water</v>
          </cell>
          <cell r="E497">
            <v>16196.58</v>
          </cell>
          <cell r="F497">
            <v>12688</v>
          </cell>
          <cell r="G497">
            <v>3508.58</v>
          </cell>
          <cell r="H497">
            <v>0.27650000000000002</v>
          </cell>
          <cell r="I497">
            <v>18102.14</v>
          </cell>
          <cell r="J497">
            <v>-1905.56</v>
          </cell>
          <cell r="K497">
            <v>-0.1053</v>
          </cell>
          <cell r="L497">
            <v>13715.8</v>
          </cell>
          <cell r="M497">
            <v>2480.7800000000002</v>
          </cell>
          <cell r="N497">
            <v>0.18090000000000001</v>
          </cell>
          <cell r="O497">
            <v>19032</v>
          </cell>
          <cell r="P497">
            <v>26670.14</v>
          </cell>
          <cell r="Q497">
            <v>19790.37</v>
          </cell>
        </row>
        <row r="498">
          <cell r="A498" t="str">
            <v>6224876000</v>
          </cell>
          <cell r="B498">
            <v>62248</v>
          </cell>
          <cell r="C498">
            <v>76000</v>
          </cell>
          <cell r="D498" t="str">
            <v>Bldg Maintenance &amp; Repair</v>
          </cell>
          <cell r="E498">
            <v>25071.87</v>
          </cell>
          <cell r="F498">
            <v>59967.360000000001</v>
          </cell>
          <cell r="G498">
            <v>-34895.49</v>
          </cell>
          <cell r="H498">
            <v>-0.58189999999999997</v>
          </cell>
          <cell r="I498">
            <v>35714.660000000003</v>
          </cell>
          <cell r="J498">
            <v>-10642.79</v>
          </cell>
          <cell r="K498">
            <v>-0.29799999999999999</v>
          </cell>
          <cell r="L498">
            <v>24791.98</v>
          </cell>
          <cell r="M498">
            <v>279.88999999999902</v>
          </cell>
          <cell r="N498">
            <v>1.1299999999999999E-2</v>
          </cell>
          <cell r="O498">
            <v>77388</v>
          </cell>
          <cell r="P498">
            <v>72324.3</v>
          </cell>
          <cell r="Q498">
            <v>59344.86</v>
          </cell>
        </row>
        <row r="499">
          <cell r="A499" t="str">
            <v>6224876020</v>
          </cell>
          <cell r="B499">
            <v>62248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</row>
        <row r="500">
          <cell r="A500" t="str">
            <v>6224876034</v>
          </cell>
          <cell r="B500">
            <v>62248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</row>
        <row r="501">
          <cell r="A501" t="str">
            <v>6224876050</v>
          </cell>
          <cell r="B501">
            <v>62248</v>
          </cell>
          <cell r="C501">
            <v>76050</v>
          </cell>
          <cell r="D501" t="str">
            <v>Cleaning Expense</v>
          </cell>
          <cell r="E501">
            <v>64089.63</v>
          </cell>
          <cell r="F501">
            <v>51708.639999999999</v>
          </cell>
          <cell r="G501">
            <v>12380.99</v>
          </cell>
          <cell r="H501">
            <v>0.2394</v>
          </cell>
          <cell r="I501">
            <v>63101.45</v>
          </cell>
          <cell r="J501">
            <v>988.18</v>
          </cell>
          <cell r="K501">
            <v>1.5699999999999999E-2</v>
          </cell>
          <cell r="L501">
            <v>50080.83</v>
          </cell>
          <cell r="M501">
            <v>14008.8</v>
          </cell>
          <cell r="N501">
            <v>0.2797</v>
          </cell>
          <cell r="O501">
            <v>77563</v>
          </cell>
          <cell r="P501">
            <v>95283.81</v>
          </cell>
          <cell r="Q501">
            <v>75458.27</v>
          </cell>
        </row>
        <row r="502">
          <cell r="A502" t="str">
            <v>6224876056</v>
          </cell>
          <cell r="B502">
            <v>62248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</row>
        <row r="503">
          <cell r="A503" t="str">
            <v>6224876070</v>
          </cell>
          <cell r="B503">
            <v>62248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</row>
        <row r="504">
          <cell r="A504" t="str">
            <v>6224876091</v>
          </cell>
          <cell r="B504">
            <v>62248</v>
          </cell>
          <cell r="C504">
            <v>76091</v>
          </cell>
          <cell r="D504" t="str">
            <v>Parking Maintenance</v>
          </cell>
          <cell r="E504">
            <v>21929.05</v>
          </cell>
          <cell r="F504">
            <v>26350</v>
          </cell>
          <cell r="G504">
            <v>-4420.95</v>
          </cell>
          <cell r="H504">
            <v>-0.1678</v>
          </cell>
          <cell r="I504">
            <v>21446.33</v>
          </cell>
          <cell r="J504">
            <v>482.71999999999798</v>
          </cell>
          <cell r="K504">
            <v>2.2499999999999999E-2</v>
          </cell>
          <cell r="L504">
            <v>28580.61</v>
          </cell>
          <cell r="M504">
            <v>-6651.56</v>
          </cell>
          <cell r="N504">
            <v>-0.23269999999999999</v>
          </cell>
          <cell r="O504">
            <v>46150</v>
          </cell>
          <cell r="P504">
            <v>40072.33</v>
          </cell>
          <cell r="Q504">
            <v>50367.07</v>
          </cell>
        </row>
        <row r="505">
          <cell r="A505" t="str">
            <v>6224877000</v>
          </cell>
          <cell r="B505">
            <v>62248</v>
          </cell>
          <cell r="C505">
            <v>77000</v>
          </cell>
          <cell r="D505" t="str">
            <v>Grounds Maintenance</v>
          </cell>
          <cell r="E505">
            <v>39693.129999999997</v>
          </cell>
          <cell r="F505">
            <v>52758.36</v>
          </cell>
          <cell r="G505">
            <v>-13065.23</v>
          </cell>
          <cell r="H505">
            <v>-0.24759999999999999</v>
          </cell>
          <cell r="I505">
            <v>39631.050000000003</v>
          </cell>
          <cell r="J505">
            <v>62.079999999994499</v>
          </cell>
          <cell r="K505">
            <v>1.6000000000000001E-3</v>
          </cell>
          <cell r="L505">
            <v>37261.22</v>
          </cell>
          <cell r="M505">
            <v>2431.91</v>
          </cell>
          <cell r="N505">
            <v>6.5299999999999997E-2</v>
          </cell>
          <cell r="O505">
            <v>63358</v>
          </cell>
          <cell r="P505">
            <v>63992.69</v>
          </cell>
          <cell r="Q505">
            <v>46377.27</v>
          </cell>
        </row>
        <row r="506">
          <cell r="A506" t="str">
            <v>6224877053</v>
          </cell>
          <cell r="B506">
            <v>62248</v>
          </cell>
          <cell r="C506">
            <v>77053</v>
          </cell>
          <cell r="D506" t="str">
            <v>Landscaping</v>
          </cell>
          <cell r="E506">
            <v>46649.63</v>
          </cell>
          <cell r="F506">
            <v>73323.360000000001</v>
          </cell>
          <cell r="G506">
            <v>-26673.73</v>
          </cell>
          <cell r="H506">
            <v>-0.36380000000000001</v>
          </cell>
          <cell r="I506">
            <v>86420.01</v>
          </cell>
          <cell r="J506">
            <v>-39770.379999999997</v>
          </cell>
          <cell r="K506">
            <v>-0.4602</v>
          </cell>
          <cell r="L506">
            <v>26095.4</v>
          </cell>
          <cell r="M506">
            <v>20554.23</v>
          </cell>
          <cell r="N506">
            <v>0.78769999999999996</v>
          </cell>
          <cell r="O506">
            <v>91180</v>
          </cell>
          <cell r="P506">
            <v>90691.65</v>
          </cell>
          <cell r="Q506">
            <v>74453.41</v>
          </cell>
        </row>
        <row r="507">
          <cell r="A507" t="str">
            <v>6224878020</v>
          </cell>
          <cell r="B507">
            <v>62248</v>
          </cell>
          <cell r="C507">
            <v>78020</v>
          </cell>
          <cell r="D507" t="str">
            <v>Amortized CAM Exp</v>
          </cell>
          <cell r="E507">
            <v>25594.86</v>
          </cell>
          <cell r="F507">
            <v>16482.64</v>
          </cell>
          <cell r="G507">
            <v>9112.2199999999993</v>
          </cell>
          <cell r="H507">
            <v>0.55279999999999996</v>
          </cell>
          <cell r="I507">
            <v>27978.06</v>
          </cell>
          <cell r="J507">
            <v>-2383.1999999999998</v>
          </cell>
          <cell r="K507">
            <v>-8.5199999999999998E-2</v>
          </cell>
          <cell r="L507">
            <v>14448</v>
          </cell>
          <cell r="M507">
            <v>11146.86</v>
          </cell>
          <cell r="N507">
            <v>0.77149999999999996</v>
          </cell>
          <cell r="O507">
            <v>24724</v>
          </cell>
          <cell r="P507">
            <v>35732.21</v>
          </cell>
          <cell r="Q507">
            <v>84489</v>
          </cell>
        </row>
        <row r="508">
          <cell r="A508" t="str">
            <v>6224884264</v>
          </cell>
          <cell r="B508">
            <v>62248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</row>
        <row r="509">
          <cell r="A509" t="str">
            <v>6224885555</v>
          </cell>
          <cell r="B509">
            <v>62248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</row>
        <row r="510">
          <cell r="A510" t="str">
            <v>6224885584</v>
          </cell>
          <cell r="B510">
            <v>62248</v>
          </cell>
          <cell r="C510">
            <v>85584</v>
          </cell>
          <cell r="D510" t="str">
            <v>Bldg Admin-Office Costs</v>
          </cell>
          <cell r="E510">
            <v>6579.5</v>
          </cell>
          <cell r="F510">
            <v>6272</v>
          </cell>
          <cell r="G510">
            <v>307.5</v>
          </cell>
          <cell r="H510">
            <v>4.9000000000000002E-2</v>
          </cell>
          <cell r="I510">
            <v>6452.09</v>
          </cell>
          <cell r="J510">
            <v>127.41</v>
          </cell>
          <cell r="K510">
            <v>1.9699999999999999E-2</v>
          </cell>
          <cell r="L510">
            <v>5440.11</v>
          </cell>
          <cell r="M510">
            <v>1139.3900000000001</v>
          </cell>
          <cell r="N510">
            <v>0.2094</v>
          </cell>
          <cell r="O510">
            <v>9408</v>
          </cell>
          <cell r="P510">
            <v>9535.1299999999992</v>
          </cell>
          <cell r="Q510">
            <v>8994.5</v>
          </cell>
        </row>
        <row r="511">
          <cell r="A511" t="str">
            <v>6224885582</v>
          </cell>
          <cell r="B511">
            <v>62248</v>
          </cell>
          <cell r="C511">
            <v>85582</v>
          </cell>
          <cell r="D511" t="str">
            <v>Bldg Admin-Salaries</v>
          </cell>
          <cell r="E511">
            <v>42563.97</v>
          </cell>
          <cell r="F511">
            <v>42251.360000000001</v>
          </cell>
          <cell r="G511">
            <v>312.61000000000098</v>
          </cell>
          <cell r="H511">
            <v>7.4000000000000003E-3</v>
          </cell>
          <cell r="I511">
            <v>43097.43</v>
          </cell>
          <cell r="J511">
            <v>-533.45999999999901</v>
          </cell>
          <cell r="K511">
            <v>-1.24E-2</v>
          </cell>
          <cell r="L511">
            <v>36810.769999999997</v>
          </cell>
          <cell r="M511">
            <v>5753.2</v>
          </cell>
          <cell r="N511">
            <v>0.15629999999999999</v>
          </cell>
          <cell r="O511">
            <v>63377</v>
          </cell>
          <cell r="P511">
            <v>66311.3</v>
          </cell>
          <cell r="Q511">
            <v>59919.49</v>
          </cell>
        </row>
        <row r="512">
          <cell r="A512" t="str">
            <v>6224886564</v>
          </cell>
          <cell r="B512">
            <v>62248</v>
          </cell>
          <cell r="C512">
            <v>86564</v>
          </cell>
          <cell r="D512" t="str">
            <v>Insurance</v>
          </cell>
          <cell r="E512">
            <v>30877</v>
          </cell>
          <cell r="F512">
            <v>37388</v>
          </cell>
          <cell r="G512">
            <v>-6511</v>
          </cell>
          <cell r="H512">
            <v>-0.1741</v>
          </cell>
          <cell r="I512">
            <v>31140.01</v>
          </cell>
          <cell r="J512">
            <v>-263.009999999998</v>
          </cell>
          <cell r="K512">
            <v>-8.3999999999999995E-3</v>
          </cell>
          <cell r="L512">
            <v>32512</v>
          </cell>
          <cell r="M512">
            <v>-1635</v>
          </cell>
          <cell r="N512">
            <v>-5.0299999999999997E-2</v>
          </cell>
          <cell r="O512">
            <v>56082</v>
          </cell>
          <cell r="P512">
            <v>46926.49</v>
          </cell>
          <cell r="Q512">
            <v>48767</v>
          </cell>
        </row>
        <row r="513">
          <cell r="A513" t="str">
            <v>6224888846</v>
          </cell>
          <cell r="B513">
            <v>62248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-2839</v>
          </cell>
          <cell r="Q513">
            <v>0</v>
          </cell>
        </row>
        <row r="514">
          <cell r="A514" t="str">
            <v>6224888890</v>
          </cell>
          <cell r="B514">
            <v>62248</v>
          </cell>
          <cell r="C514">
            <v>88890</v>
          </cell>
          <cell r="D514" t="str">
            <v>Security/Safety</v>
          </cell>
          <cell r="E514">
            <v>19974.349999999999</v>
          </cell>
          <cell r="F514">
            <v>19937.36</v>
          </cell>
          <cell r="G514">
            <v>36.989999999997998</v>
          </cell>
          <cell r="H514">
            <v>1.9E-3</v>
          </cell>
          <cell r="I514">
            <v>19640.53</v>
          </cell>
          <cell r="J514">
            <v>333.82</v>
          </cell>
          <cell r="K514">
            <v>1.7000000000000001E-2</v>
          </cell>
          <cell r="L514">
            <v>18391.39</v>
          </cell>
          <cell r="M514">
            <v>1582.96</v>
          </cell>
          <cell r="N514">
            <v>8.6099999999999996E-2</v>
          </cell>
          <cell r="O514">
            <v>29906</v>
          </cell>
          <cell r="P514">
            <v>29152.53</v>
          </cell>
          <cell r="Q514">
            <v>28184.51</v>
          </cell>
        </row>
        <row r="515">
          <cell r="A515" t="str">
            <v>6224889775</v>
          </cell>
          <cell r="B515">
            <v>62248</v>
          </cell>
          <cell r="C515">
            <v>89775</v>
          </cell>
          <cell r="D515" t="str">
            <v>Assmt Dist Taxes- Reimb</v>
          </cell>
          <cell r="E515">
            <v>83896.65</v>
          </cell>
          <cell r="F515">
            <v>57202</v>
          </cell>
          <cell r="G515">
            <v>26694.65</v>
          </cell>
          <cell r="H515">
            <v>0.4667</v>
          </cell>
          <cell r="I515">
            <v>88901.91</v>
          </cell>
          <cell r="J515">
            <v>-5005.2600000000102</v>
          </cell>
          <cell r="K515">
            <v>-5.6300000000000003E-2</v>
          </cell>
          <cell r="L515">
            <v>57202</v>
          </cell>
          <cell r="M515">
            <v>26694.65</v>
          </cell>
          <cell r="N515">
            <v>0.4667</v>
          </cell>
          <cell r="O515">
            <v>85803</v>
          </cell>
          <cell r="P515">
            <v>125845.41</v>
          </cell>
          <cell r="Q515">
            <v>25531.23</v>
          </cell>
        </row>
        <row r="516">
          <cell r="A516" t="str">
            <v>6224889729</v>
          </cell>
          <cell r="B516">
            <v>62248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</row>
        <row r="517">
          <cell r="A517" t="str">
            <v>6224889786</v>
          </cell>
          <cell r="B517">
            <v>62248</v>
          </cell>
          <cell r="C517">
            <v>89786</v>
          </cell>
          <cell r="D517" t="str">
            <v>Property Tax Exp</v>
          </cell>
          <cell r="E517">
            <v>88070.7</v>
          </cell>
          <cell r="F517">
            <v>88084.64</v>
          </cell>
          <cell r="G517">
            <v>-13.9400000000023</v>
          </cell>
          <cell r="H517">
            <v>-2.0000000000000001E-4</v>
          </cell>
          <cell r="I517">
            <v>88068.06</v>
          </cell>
          <cell r="J517">
            <v>2.6399999999994201</v>
          </cell>
          <cell r="K517">
            <v>0</v>
          </cell>
          <cell r="L517">
            <v>86490</v>
          </cell>
          <cell r="M517">
            <v>1580.7</v>
          </cell>
          <cell r="N517">
            <v>1.83E-2</v>
          </cell>
          <cell r="O517">
            <v>132127</v>
          </cell>
          <cell r="P517">
            <v>132099.9</v>
          </cell>
          <cell r="Q517">
            <v>128016.81</v>
          </cell>
        </row>
        <row r="518">
          <cell r="A518" t="str">
            <v>6224871040</v>
          </cell>
          <cell r="B518">
            <v>62248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</row>
        <row r="519">
          <cell r="A519" t="str">
            <v>6224872701</v>
          </cell>
          <cell r="B519">
            <v>62248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141.66</v>
          </cell>
        </row>
        <row r="520">
          <cell r="A520" t="str">
            <v>6224872855</v>
          </cell>
          <cell r="B520">
            <v>62248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</row>
        <row r="521">
          <cell r="A521" t="str">
            <v>6224872870</v>
          </cell>
          <cell r="B521">
            <v>62248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</row>
        <row r="522">
          <cell r="A522" t="str">
            <v>6224876010</v>
          </cell>
          <cell r="B522">
            <v>62248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4.88</v>
          </cell>
          <cell r="M522">
            <v>-4.88</v>
          </cell>
          <cell r="N522">
            <v>0</v>
          </cell>
          <cell r="O522">
            <v>0</v>
          </cell>
          <cell r="P522">
            <v>0</v>
          </cell>
          <cell r="Q522">
            <v>4.88</v>
          </cell>
        </row>
        <row r="523">
          <cell r="A523" t="str">
            <v>6224876040</v>
          </cell>
          <cell r="B523">
            <v>62248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</row>
        <row r="524">
          <cell r="A524" t="str">
            <v>6224876051</v>
          </cell>
          <cell r="B524">
            <v>62248</v>
          </cell>
          <cell r="C524">
            <v>76051</v>
          </cell>
          <cell r="D524" t="str">
            <v>Cleaning</v>
          </cell>
          <cell r="E524">
            <v>632.64</v>
          </cell>
          <cell r="F524">
            <v>0</v>
          </cell>
          <cell r="G524">
            <v>632.64</v>
          </cell>
          <cell r="H524">
            <v>0</v>
          </cell>
          <cell r="I524">
            <v>0</v>
          </cell>
          <cell r="J524">
            <v>632.64</v>
          </cell>
          <cell r="K524">
            <v>0</v>
          </cell>
          <cell r="L524">
            <v>0</v>
          </cell>
          <cell r="M524">
            <v>632.64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</row>
        <row r="525">
          <cell r="A525" t="str">
            <v>6224876054</v>
          </cell>
          <cell r="B525">
            <v>62248</v>
          </cell>
          <cell r="C525">
            <v>76054</v>
          </cell>
          <cell r="D525" t="str">
            <v>Bldg Maintenance &amp; Repair</v>
          </cell>
          <cell r="E525">
            <v>895</v>
          </cell>
          <cell r="F525">
            <v>1500</v>
          </cell>
          <cell r="G525">
            <v>-605</v>
          </cell>
          <cell r="H525">
            <v>-0.40329999999999999</v>
          </cell>
          <cell r="I525">
            <v>7100</v>
          </cell>
          <cell r="J525">
            <v>-6205</v>
          </cell>
          <cell r="K525">
            <v>-0.87390000000000001</v>
          </cell>
          <cell r="L525">
            <v>219.19</v>
          </cell>
          <cell r="M525">
            <v>675.81</v>
          </cell>
          <cell r="N525">
            <v>3.0832000000000002</v>
          </cell>
          <cell r="O525">
            <v>1500</v>
          </cell>
          <cell r="P525">
            <v>7100</v>
          </cell>
          <cell r="Q525">
            <v>357.36</v>
          </cell>
        </row>
        <row r="526">
          <cell r="A526" t="str">
            <v>6224876060</v>
          </cell>
          <cell r="B526">
            <v>62248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</row>
        <row r="527">
          <cell r="A527" t="str">
            <v>6224876071</v>
          </cell>
          <cell r="B527">
            <v>62248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</row>
        <row r="528">
          <cell r="A528" t="str">
            <v>6224876090</v>
          </cell>
          <cell r="B528">
            <v>62248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</row>
        <row r="529">
          <cell r="A529" t="str">
            <v>6224877001</v>
          </cell>
          <cell r="B529">
            <v>62248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</row>
        <row r="530">
          <cell r="A530" t="str">
            <v>6224877022</v>
          </cell>
          <cell r="B530">
            <v>62248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</row>
        <row r="531">
          <cell r="A531" t="str">
            <v>6224884200</v>
          </cell>
          <cell r="B531">
            <v>62248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</row>
        <row r="532">
          <cell r="A532" t="str">
            <v>6224884240</v>
          </cell>
          <cell r="B532">
            <v>62248</v>
          </cell>
          <cell r="C532">
            <v>84240</v>
          </cell>
          <cell r="D532" t="str">
            <v>Marketing Leasing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</row>
        <row r="533">
          <cell r="A533" t="str">
            <v>6224884242</v>
          </cell>
          <cell r="B533">
            <v>62248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</row>
        <row r="534">
          <cell r="A534" t="str">
            <v>6224884243</v>
          </cell>
          <cell r="B534">
            <v>62248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</row>
        <row r="535">
          <cell r="A535" t="str">
            <v>6224884244</v>
          </cell>
          <cell r="B535">
            <v>62248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</row>
        <row r="536">
          <cell r="A536" t="str">
            <v>6224884265</v>
          </cell>
          <cell r="B536">
            <v>62248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</row>
        <row r="537">
          <cell r="A537" t="str">
            <v>6224888037</v>
          </cell>
          <cell r="B537">
            <v>62248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</row>
        <row r="538">
          <cell r="A538" t="str">
            <v>6224885016</v>
          </cell>
          <cell r="B538">
            <v>62248</v>
          </cell>
          <cell r="C538">
            <v>85016</v>
          </cell>
          <cell r="D538" t="str">
            <v>Prof Svc-Attorney Outside</v>
          </cell>
          <cell r="E538">
            <v>-1500</v>
          </cell>
          <cell r="F538">
            <v>1500</v>
          </cell>
          <cell r="G538">
            <v>-3000</v>
          </cell>
          <cell r="H538">
            <v>-2</v>
          </cell>
          <cell r="I538">
            <v>-1500</v>
          </cell>
          <cell r="J538">
            <v>0</v>
          </cell>
          <cell r="K538">
            <v>0</v>
          </cell>
          <cell r="L538">
            <v>1173.4000000000001</v>
          </cell>
          <cell r="M538">
            <v>-2673.4</v>
          </cell>
          <cell r="N538">
            <v>-2.2783000000000002</v>
          </cell>
          <cell r="O538">
            <v>3000</v>
          </cell>
          <cell r="P538">
            <v>0</v>
          </cell>
          <cell r="Q538">
            <v>-326.60000000000002</v>
          </cell>
        </row>
        <row r="539">
          <cell r="A539" t="str">
            <v>6224885022</v>
          </cell>
          <cell r="B539">
            <v>62248</v>
          </cell>
          <cell r="C539">
            <v>85022</v>
          </cell>
          <cell r="D539" t="str">
            <v>Prof Svc-Audit/Acctng</v>
          </cell>
          <cell r="E539">
            <v>-675</v>
          </cell>
          <cell r="F539">
            <v>0</v>
          </cell>
          <cell r="G539">
            <v>-675</v>
          </cell>
          <cell r="H539">
            <v>0</v>
          </cell>
          <cell r="I539">
            <v>-675</v>
          </cell>
          <cell r="J539">
            <v>0</v>
          </cell>
          <cell r="K539">
            <v>0</v>
          </cell>
          <cell r="L539">
            <v>-600</v>
          </cell>
          <cell r="M539">
            <v>-75</v>
          </cell>
          <cell r="N539">
            <v>0.125</v>
          </cell>
          <cell r="O539">
            <v>2000</v>
          </cell>
          <cell r="P539">
            <v>1325</v>
          </cell>
          <cell r="Q539">
            <v>1350</v>
          </cell>
        </row>
        <row r="540">
          <cell r="A540" t="str">
            <v>6224885065</v>
          </cell>
          <cell r="B540">
            <v>62248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</row>
        <row r="541">
          <cell r="A541" t="str">
            <v>6224885500</v>
          </cell>
          <cell r="B541">
            <v>62248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1500</v>
          </cell>
          <cell r="G541">
            <v>-1500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1000</v>
          </cell>
          <cell r="M541">
            <v>-1000</v>
          </cell>
          <cell r="N541">
            <v>0</v>
          </cell>
          <cell r="O541">
            <v>3000</v>
          </cell>
          <cell r="P541">
            <v>1500</v>
          </cell>
          <cell r="Q541">
            <v>1050</v>
          </cell>
        </row>
        <row r="542">
          <cell r="A542" t="str">
            <v>6224885566</v>
          </cell>
          <cell r="B542">
            <v>62248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</row>
        <row r="543">
          <cell r="A543" t="str">
            <v>6224885581</v>
          </cell>
          <cell r="B543">
            <v>62248</v>
          </cell>
          <cell r="C543">
            <v>85581</v>
          </cell>
          <cell r="D543" t="str">
            <v>Bldg Admin- Salaries</v>
          </cell>
          <cell r="E543">
            <v>24112.26</v>
          </cell>
          <cell r="F543">
            <v>25256</v>
          </cell>
          <cell r="G543">
            <v>-1143.74</v>
          </cell>
          <cell r="H543">
            <v>-4.53E-2</v>
          </cell>
          <cell r="I543">
            <v>24493.26</v>
          </cell>
          <cell r="J543">
            <v>-381</v>
          </cell>
          <cell r="K543">
            <v>-1.5599999999999999E-2</v>
          </cell>
          <cell r="L543">
            <v>27153.93</v>
          </cell>
          <cell r="M543">
            <v>-3041.67</v>
          </cell>
          <cell r="N543">
            <v>-0.112</v>
          </cell>
          <cell r="O543">
            <v>37884</v>
          </cell>
          <cell r="P543">
            <v>38303.46</v>
          </cell>
          <cell r="Q543">
            <v>42755.03</v>
          </cell>
        </row>
        <row r="544">
          <cell r="A544" t="str">
            <v>6224885583</v>
          </cell>
          <cell r="B544">
            <v>62248</v>
          </cell>
          <cell r="C544">
            <v>85583</v>
          </cell>
          <cell r="D544" t="str">
            <v>Bldg Admin-Office Exp.</v>
          </cell>
          <cell r="E544">
            <v>3515.73</v>
          </cell>
          <cell r="F544">
            <v>3662</v>
          </cell>
          <cell r="G544">
            <v>-146.27000000000001</v>
          </cell>
          <cell r="H544">
            <v>-3.9899999999999998E-2</v>
          </cell>
          <cell r="I544">
            <v>3720.27</v>
          </cell>
          <cell r="J544">
            <v>-204.54</v>
          </cell>
          <cell r="K544">
            <v>-5.5E-2</v>
          </cell>
          <cell r="L544">
            <v>3482.9</v>
          </cell>
          <cell r="M544">
            <v>32.829999999999899</v>
          </cell>
          <cell r="N544">
            <v>9.4000000000000004E-3</v>
          </cell>
          <cell r="O544">
            <v>5493</v>
          </cell>
          <cell r="P544">
            <v>5429.41</v>
          </cell>
          <cell r="Q544">
            <v>5440.38</v>
          </cell>
        </row>
        <row r="545">
          <cell r="A545" t="str">
            <v>6224885530</v>
          </cell>
          <cell r="B545">
            <v>62248</v>
          </cell>
          <cell r="C545">
            <v>85530</v>
          </cell>
          <cell r="D545" t="str">
            <v>Bldg Admin - Office Exp</v>
          </cell>
          <cell r="E545">
            <v>3515.73</v>
          </cell>
          <cell r="F545">
            <v>3662</v>
          </cell>
          <cell r="G545">
            <v>-146.27000000000001</v>
          </cell>
          <cell r="H545">
            <v>-3.9899999999999998E-2</v>
          </cell>
          <cell r="I545">
            <v>3720.27</v>
          </cell>
          <cell r="J545">
            <v>-204.54</v>
          </cell>
          <cell r="K545">
            <v>-5.5E-2</v>
          </cell>
          <cell r="L545">
            <v>3482.9</v>
          </cell>
          <cell r="M545">
            <v>32.829999999999899</v>
          </cell>
          <cell r="N545">
            <v>9.4000000000000004E-3</v>
          </cell>
          <cell r="O545">
            <v>5493</v>
          </cell>
          <cell r="P545">
            <v>5429.41</v>
          </cell>
          <cell r="Q545">
            <v>5440.38</v>
          </cell>
        </row>
        <row r="546">
          <cell r="A546" t="str">
            <v>6224886012</v>
          </cell>
          <cell r="B546">
            <v>62248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</row>
        <row r="547">
          <cell r="A547" t="str">
            <v>6224886037</v>
          </cell>
          <cell r="B547">
            <v>62248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</row>
        <row r="548">
          <cell r="A548" t="str">
            <v>6224883050</v>
          </cell>
          <cell r="B548">
            <v>62248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</row>
        <row r="549">
          <cell r="A549" t="str">
            <v>6224886510</v>
          </cell>
          <cell r="B549">
            <v>62248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</row>
        <row r="550">
          <cell r="A550" t="str">
            <v>6224886537</v>
          </cell>
          <cell r="B550">
            <v>62248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</row>
        <row r="551">
          <cell r="A551" t="str">
            <v>6224886566</v>
          </cell>
          <cell r="B551">
            <v>62248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</row>
        <row r="552">
          <cell r="A552" t="str">
            <v>6224886955</v>
          </cell>
          <cell r="B552">
            <v>62248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</row>
        <row r="553">
          <cell r="A553" t="str">
            <v>6224886985</v>
          </cell>
          <cell r="B553">
            <v>62248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1621</v>
          </cell>
          <cell r="Q553">
            <v>0</v>
          </cell>
        </row>
        <row r="554">
          <cell r="A554" t="str">
            <v>6224886880</v>
          </cell>
          <cell r="B554">
            <v>62248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</row>
        <row r="555">
          <cell r="A555" t="str">
            <v>6224888710</v>
          </cell>
          <cell r="B555">
            <v>62248</v>
          </cell>
          <cell r="C555">
            <v>88710</v>
          </cell>
          <cell r="D555" t="str">
            <v>Losses-Bad Debts</v>
          </cell>
          <cell r="E555">
            <v>-14393</v>
          </cell>
          <cell r="F555">
            <v>0</v>
          </cell>
          <cell r="G555">
            <v>-14393</v>
          </cell>
          <cell r="H555">
            <v>0</v>
          </cell>
          <cell r="I555">
            <v>-2563</v>
          </cell>
          <cell r="J555">
            <v>-11830</v>
          </cell>
          <cell r="K555">
            <v>4.6157000000000004</v>
          </cell>
          <cell r="L555">
            <v>68402.899999999994</v>
          </cell>
          <cell r="M555">
            <v>-82795.899999999994</v>
          </cell>
          <cell r="N555">
            <v>-1.2103999999999999</v>
          </cell>
          <cell r="O555">
            <v>0</v>
          </cell>
          <cell r="P555">
            <v>-2563</v>
          </cell>
          <cell r="Q555">
            <v>28336.639999999999</v>
          </cell>
        </row>
        <row r="556">
          <cell r="A556" t="str">
            <v>6224888711</v>
          </cell>
          <cell r="B556">
            <v>62248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</row>
        <row r="557">
          <cell r="A557" t="str">
            <v>6224888785</v>
          </cell>
          <cell r="B557">
            <v>62248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</row>
        <row r="558">
          <cell r="A558" t="str">
            <v>6224888847</v>
          </cell>
          <cell r="B558">
            <v>62248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</row>
        <row r="559">
          <cell r="A559" t="str">
            <v>6224888866</v>
          </cell>
          <cell r="B559">
            <v>62248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</row>
        <row r="560">
          <cell r="A560" t="str">
            <v>6224888870</v>
          </cell>
          <cell r="B560">
            <v>62248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</row>
        <row r="561">
          <cell r="A561" t="str">
            <v>6224888889</v>
          </cell>
          <cell r="B561">
            <v>62248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</row>
        <row r="562">
          <cell r="A562" t="str">
            <v>6224889776</v>
          </cell>
          <cell r="B562">
            <v>62248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</row>
        <row r="563">
          <cell r="A563" t="str">
            <v>6224889787</v>
          </cell>
          <cell r="B563">
            <v>62248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</row>
        <row r="564">
          <cell r="A564" t="str">
            <v>6224889510</v>
          </cell>
          <cell r="B564">
            <v>62248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</row>
        <row r="565">
          <cell r="A565" t="str">
            <v>6224889511</v>
          </cell>
          <cell r="B565">
            <v>62248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</row>
        <row r="566">
          <cell r="A566" t="str">
            <v>6224889512</v>
          </cell>
          <cell r="B566">
            <v>62248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</row>
        <row r="567">
          <cell r="A567" t="str">
            <v>6224889528</v>
          </cell>
          <cell r="B567">
            <v>62248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</row>
        <row r="568">
          <cell r="A568" t="str">
            <v>6224889529</v>
          </cell>
          <cell r="B568">
            <v>62248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</row>
        <row r="569">
          <cell r="A569" t="str">
            <v>6224889567</v>
          </cell>
          <cell r="B569">
            <v>62248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</row>
        <row r="570">
          <cell r="A570" t="str">
            <v>6224885058</v>
          </cell>
          <cell r="B570">
            <v>62248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</row>
        <row r="571">
          <cell r="A571" t="str">
            <v>6224886513</v>
          </cell>
          <cell r="B571">
            <v>62248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536.30999999999995</v>
          </cell>
          <cell r="J571">
            <v>-536.30999999999995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498.68</v>
          </cell>
          <cell r="P571">
            <v>1984.78</v>
          </cell>
          <cell r="Q571">
            <v>0</v>
          </cell>
        </row>
        <row r="572">
          <cell r="A572" t="str">
            <v>6224886519</v>
          </cell>
          <cell r="B572">
            <v>62248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</row>
        <row r="573">
          <cell r="A573" t="str">
            <v>6224888770</v>
          </cell>
          <cell r="B573">
            <v>62248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4">
          <cell r="A574" t="str">
            <v>6224888862</v>
          </cell>
          <cell r="B574">
            <v>62248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</row>
        <row r="575">
          <cell r="A575" t="str">
            <v>6224888874</v>
          </cell>
          <cell r="B575">
            <v>62248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A576" t="str">
            <v>6224889910</v>
          </cell>
          <cell r="B576">
            <v>62248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288472.11</v>
          </cell>
          <cell r="G576">
            <v>-288472.11</v>
          </cell>
          <cell r="H576">
            <v>0</v>
          </cell>
          <cell r="I576">
            <v>285350.93</v>
          </cell>
          <cell r="J576">
            <v>-285350.93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434376.12</v>
          </cell>
          <cell r="P576">
            <v>433832.69</v>
          </cell>
          <cell r="Q576">
            <v>0</v>
          </cell>
        </row>
        <row r="577">
          <cell r="A577" t="str">
            <v>6224889548</v>
          </cell>
          <cell r="B577">
            <v>62248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</row>
        <row r="578">
          <cell r="A578" t="str">
            <v>6225041010</v>
          </cell>
          <cell r="B578">
            <v>62250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</row>
        <row r="579">
          <cell r="A579" t="str">
            <v>6225041040</v>
          </cell>
          <cell r="B579">
            <v>62250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</row>
        <row r="580">
          <cell r="A580" t="str">
            <v>6225041050</v>
          </cell>
          <cell r="B580">
            <v>62250</v>
          </cell>
          <cell r="C580">
            <v>41050</v>
          </cell>
          <cell r="D580" t="str">
            <v>Rental Income - Fixed</v>
          </cell>
          <cell r="E580">
            <v>-3182934.79</v>
          </cell>
          <cell r="F580">
            <v>-3182934.79</v>
          </cell>
          <cell r="G580">
            <v>0</v>
          </cell>
          <cell r="H580">
            <v>0</v>
          </cell>
          <cell r="I580">
            <v>-3182934.79</v>
          </cell>
          <cell r="J580">
            <v>0</v>
          </cell>
          <cell r="K580">
            <v>0</v>
          </cell>
          <cell r="L580">
            <v>-3102275.78</v>
          </cell>
          <cell r="M580">
            <v>-80659.010000000198</v>
          </cell>
          <cell r="N580">
            <v>2.5999999999999999E-2</v>
          </cell>
          <cell r="O580">
            <v>-4789059.87</v>
          </cell>
          <cell r="P580">
            <v>-4789059.87</v>
          </cell>
          <cell r="Q580">
            <v>-4669313.7</v>
          </cell>
        </row>
        <row r="581">
          <cell r="A581" t="str">
            <v>6225041074</v>
          </cell>
          <cell r="B581">
            <v>62250</v>
          </cell>
          <cell r="C581">
            <v>41074</v>
          </cell>
          <cell r="D581" t="str">
            <v>Rental Income - Percentage</v>
          </cell>
          <cell r="E581">
            <v>-9398.7999999999993</v>
          </cell>
          <cell r="F581">
            <v>-13841</v>
          </cell>
          <cell r="G581">
            <v>4442.2</v>
          </cell>
          <cell r="H581">
            <v>-0.32090000000000002</v>
          </cell>
          <cell r="I581">
            <v>-6041.09</v>
          </cell>
          <cell r="J581">
            <v>-3357.71</v>
          </cell>
          <cell r="K581">
            <v>0.55579999999999996</v>
          </cell>
          <cell r="L581">
            <v>-15473.97</v>
          </cell>
          <cell r="M581">
            <v>6075.17</v>
          </cell>
          <cell r="N581">
            <v>-0.3926</v>
          </cell>
          <cell r="O581">
            <v>-35037</v>
          </cell>
          <cell r="P581">
            <v>-12015.09</v>
          </cell>
          <cell r="Q581">
            <v>-18576.23</v>
          </cell>
        </row>
        <row r="582">
          <cell r="A582" t="str">
            <v>6225041082</v>
          </cell>
          <cell r="B582">
            <v>62250</v>
          </cell>
          <cell r="C582">
            <v>41082</v>
          </cell>
          <cell r="D582" t="str">
            <v>Rental Income - Operating Exp</v>
          </cell>
          <cell r="E582">
            <v>-502022.85</v>
          </cell>
          <cell r="F582">
            <v>-819867.36</v>
          </cell>
          <cell r="G582">
            <v>317844.51</v>
          </cell>
          <cell r="H582">
            <v>-0.38769999999999999</v>
          </cell>
          <cell r="I582">
            <v>-703431.73</v>
          </cell>
          <cell r="J582">
            <v>201408.88</v>
          </cell>
          <cell r="K582">
            <v>-0.2863</v>
          </cell>
          <cell r="L582">
            <v>-696395.61</v>
          </cell>
          <cell r="M582">
            <v>194372.76</v>
          </cell>
          <cell r="N582">
            <v>-0.27910000000000001</v>
          </cell>
          <cell r="O582">
            <v>-1229801.04</v>
          </cell>
          <cell r="P582">
            <v>-1125875.73</v>
          </cell>
          <cell r="Q582">
            <v>-1100799.6499999999</v>
          </cell>
        </row>
        <row r="583">
          <cell r="A583" t="str">
            <v>6225044610</v>
          </cell>
          <cell r="B583">
            <v>62250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</row>
        <row r="584">
          <cell r="A584" t="str">
            <v>6225045071</v>
          </cell>
          <cell r="B584">
            <v>62250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</row>
        <row r="585">
          <cell r="A585" t="str">
            <v>6225045010</v>
          </cell>
          <cell r="B585">
            <v>62250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</row>
        <row r="586">
          <cell r="A586" t="str">
            <v>6225045046</v>
          </cell>
          <cell r="B586">
            <v>62250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</row>
        <row r="587">
          <cell r="A587" t="str">
            <v>6225045070</v>
          </cell>
          <cell r="B587">
            <v>62250</v>
          </cell>
          <cell r="C587">
            <v>45070</v>
          </cell>
          <cell r="D587" t="str">
            <v>Other Income</v>
          </cell>
          <cell r="E587">
            <v>-250.01</v>
          </cell>
          <cell r="F587">
            <v>-69</v>
          </cell>
          <cell r="G587">
            <v>-181.01</v>
          </cell>
          <cell r="H587">
            <v>2.6233</v>
          </cell>
          <cell r="I587">
            <v>-250.01</v>
          </cell>
          <cell r="J587">
            <v>0</v>
          </cell>
          <cell r="K587">
            <v>0</v>
          </cell>
          <cell r="L587">
            <v>-2617.27</v>
          </cell>
          <cell r="M587">
            <v>2367.2600000000002</v>
          </cell>
          <cell r="N587">
            <v>-0.90449999999999997</v>
          </cell>
          <cell r="O587">
            <v>-387</v>
          </cell>
          <cell r="P587">
            <v>-568.01</v>
          </cell>
          <cell r="Q587">
            <v>-2617.27</v>
          </cell>
        </row>
        <row r="588">
          <cell r="A588" t="str">
            <v>6225041060</v>
          </cell>
          <cell r="B588">
            <v>62250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</row>
        <row r="589">
          <cell r="A589" t="str">
            <v>6225044870</v>
          </cell>
          <cell r="B589">
            <v>62250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</row>
        <row r="590">
          <cell r="A590" t="str">
            <v>6225052542</v>
          </cell>
          <cell r="B590">
            <v>62250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</row>
        <row r="591">
          <cell r="A591" t="str">
            <v>6225072710</v>
          </cell>
          <cell r="B591">
            <v>62250</v>
          </cell>
          <cell r="C591">
            <v>72710</v>
          </cell>
          <cell r="D591" t="str">
            <v>Utilities - Electricity</v>
          </cell>
          <cell r="E591">
            <v>39266.65</v>
          </cell>
          <cell r="F591">
            <v>29200</v>
          </cell>
          <cell r="G591">
            <v>10066.65</v>
          </cell>
          <cell r="H591">
            <v>0.34470000000000001</v>
          </cell>
          <cell r="I591">
            <v>21009.61</v>
          </cell>
          <cell r="J591">
            <v>18257.04</v>
          </cell>
          <cell r="K591">
            <v>0.86899999999999999</v>
          </cell>
          <cell r="L591">
            <v>30301.9</v>
          </cell>
          <cell r="M591">
            <v>8964.75</v>
          </cell>
          <cell r="N591">
            <v>0.29580000000000001</v>
          </cell>
          <cell r="O591">
            <v>43800</v>
          </cell>
          <cell r="P591">
            <v>33409.61</v>
          </cell>
          <cell r="Q591">
            <v>37186.51</v>
          </cell>
        </row>
        <row r="592">
          <cell r="A592" t="str">
            <v>6225072740</v>
          </cell>
          <cell r="B592">
            <v>62250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</row>
        <row r="593">
          <cell r="A593" t="str">
            <v>6225072770</v>
          </cell>
          <cell r="B593">
            <v>62250</v>
          </cell>
          <cell r="C593">
            <v>72770</v>
          </cell>
          <cell r="D593" t="str">
            <v>Utilities - Water</v>
          </cell>
          <cell r="E593">
            <v>7111.64</v>
          </cell>
          <cell r="F593">
            <v>8507</v>
          </cell>
          <cell r="G593">
            <v>-1395.36</v>
          </cell>
          <cell r="H593">
            <v>-0.16400000000000001</v>
          </cell>
          <cell r="I593">
            <v>6542.7</v>
          </cell>
          <cell r="J593">
            <v>568.94000000000096</v>
          </cell>
          <cell r="K593">
            <v>8.6999999999999994E-2</v>
          </cell>
          <cell r="L593">
            <v>5745.48</v>
          </cell>
          <cell r="M593">
            <v>1366.16</v>
          </cell>
          <cell r="N593">
            <v>0.23780000000000001</v>
          </cell>
          <cell r="O593">
            <v>12748</v>
          </cell>
          <cell r="P593">
            <v>10783.7</v>
          </cell>
          <cell r="Q593">
            <v>7006.19</v>
          </cell>
        </row>
        <row r="594">
          <cell r="A594" t="str">
            <v>6225076000</v>
          </cell>
          <cell r="B594">
            <v>62250</v>
          </cell>
          <cell r="C594">
            <v>76000</v>
          </cell>
          <cell r="D594" t="str">
            <v>Bldg Maintenance &amp; Repair</v>
          </cell>
          <cell r="E594">
            <v>16515.5</v>
          </cell>
          <cell r="F594">
            <v>29126.639999999999</v>
          </cell>
          <cell r="G594">
            <v>-12611.14</v>
          </cell>
          <cell r="H594">
            <v>-0.433</v>
          </cell>
          <cell r="I594">
            <v>24009.47</v>
          </cell>
          <cell r="J594">
            <v>-7493.97</v>
          </cell>
          <cell r="K594">
            <v>-0.31209999999999999</v>
          </cell>
          <cell r="L594">
            <v>19958.37</v>
          </cell>
          <cell r="M594">
            <v>-3442.87</v>
          </cell>
          <cell r="N594">
            <v>-0.17249999999999999</v>
          </cell>
          <cell r="O594">
            <v>43005</v>
          </cell>
          <cell r="P594">
            <v>41088.949999999997</v>
          </cell>
          <cell r="Q594">
            <v>25766.58</v>
          </cell>
        </row>
        <row r="595">
          <cell r="A595" t="str">
            <v>6225076020</v>
          </cell>
          <cell r="B595">
            <v>62250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</row>
        <row r="596">
          <cell r="A596" t="str">
            <v>6225076034</v>
          </cell>
          <cell r="B596">
            <v>62250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</row>
        <row r="597">
          <cell r="A597" t="str">
            <v>6225076050</v>
          </cell>
          <cell r="B597">
            <v>62250</v>
          </cell>
          <cell r="C597">
            <v>76050</v>
          </cell>
          <cell r="D597" t="str">
            <v>Cleaning Expense</v>
          </cell>
          <cell r="E597">
            <v>10417.5</v>
          </cell>
          <cell r="F597">
            <v>9616</v>
          </cell>
          <cell r="G597">
            <v>801.5</v>
          </cell>
          <cell r="H597">
            <v>8.3400000000000002E-2</v>
          </cell>
          <cell r="I597">
            <v>9801</v>
          </cell>
          <cell r="J597">
            <v>616.5</v>
          </cell>
          <cell r="K597">
            <v>6.2899999999999998E-2</v>
          </cell>
          <cell r="L597">
            <v>9959.69</v>
          </cell>
          <cell r="M597">
            <v>457.80999999999898</v>
          </cell>
          <cell r="N597">
            <v>4.5999999999999999E-2</v>
          </cell>
          <cell r="O597">
            <v>14424</v>
          </cell>
          <cell r="P597">
            <v>14609</v>
          </cell>
          <cell r="Q597">
            <v>15185.65</v>
          </cell>
        </row>
        <row r="598">
          <cell r="A598" t="str">
            <v>6225076056</v>
          </cell>
          <cell r="B598">
            <v>62250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</row>
        <row r="599">
          <cell r="A599" t="str">
            <v>6225076070</v>
          </cell>
          <cell r="B599">
            <v>62250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</row>
        <row r="600">
          <cell r="A600" t="str">
            <v>6225076091</v>
          </cell>
          <cell r="B600">
            <v>62250</v>
          </cell>
          <cell r="C600">
            <v>76091</v>
          </cell>
          <cell r="D600" t="str">
            <v>Parking Maintenance</v>
          </cell>
          <cell r="E600">
            <v>30354.42</v>
          </cell>
          <cell r="F600">
            <v>28834.639999999999</v>
          </cell>
          <cell r="G600">
            <v>1519.78</v>
          </cell>
          <cell r="H600">
            <v>5.2699999999999997E-2</v>
          </cell>
          <cell r="I600">
            <v>28805.49</v>
          </cell>
          <cell r="J600">
            <v>1548.93</v>
          </cell>
          <cell r="K600">
            <v>5.3800000000000001E-2</v>
          </cell>
          <cell r="L600">
            <v>21891.3</v>
          </cell>
          <cell r="M600">
            <v>8463.1200000000008</v>
          </cell>
          <cell r="N600">
            <v>0.3866</v>
          </cell>
          <cell r="O600">
            <v>43252</v>
          </cell>
          <cell r="P600">
            <v>43222.85</v>
          </cell>
          <cell r="Q600">
            <v>43469.94</v>
          </cell>
        </row>
        <row r="601">
          <cell r="A601" t="str">
            <v>6225077000</v>
          </cell>
          <cell r="B601">
            <v>62250</v>
          </cell>
          <cell r="C601">
            <v>77000</v>
          </cell>
          <cell r="D601" t="str">
            <v>Grounds Maintenance</v>
          </cell>
          <cell r="E601">
            <v>34143.440000000002</v>
          </cell>
          <cell r="F601">
            <v>39680</v>
          </cell>
          <cell r="G601">
            <v>-5536.56</v>
          </cell>
          <cell r="H601">
            <v>-0.13950000000000001</v>
          </cell>
          <cell r="I601">
            <v>42031.14</v>
          </cell>
          <cell r="J601">
            <v>-7887.7</v>
          </cell>
          <cell r="K601">
            <v>-0.18770000000000001</v>
          </cell>
          <cell r="L601">
            <v>23891.15</v>
          </cell>
          <cell r="M601">
            <v>10252.290000000001</v>
          </cell>
          <cell r="N601">
            <v>0.42909999999999998</v>
          </cell>
          <cell r="O601">
            <v>49935</v>
          </cell>
          <cell r="P601">
            <v>53502.62</v>
          </cell>
          <cell r="Q601">
            <v>48842.85</v>
          </cell>
        </row>
        <row r="602">
          <cell r="A602" t="str">
            <v>6225077053</v>
          </cell>
          <cell r="B602">
            <v>62250</v>
          </cell>
          <cell r="C602">
            <v>77053</v>
          </cell>
          <cell r="D602" t="str">
            <v>Landscaping</v>
          </cell>
          <cell r="E602">
            <v>68678.600000000006</v>
          </cell>
          <cell r="F602">
            <v>82353</v>
          </cell>
          <cell r="G602">
            <v>-13674.4</v>
          </cell>
          <cell r="H602">
            <v>-0.16600000000000001</v>
          </cell>
          <cell r="I602">
            <v>62124.92</v>
          </cell>
          <cell r="J602">
            <v>6553.6800000000103</v>
          </cell>
          <cell r="K602">
            <v>0.1055</v>
          </cell>
          <cell r="L602">
            <v>51983.32</v>
          </cell>
          <cell r="M602">
            <v>16695.28</v>
          </cell>
          <cell r="N602">
            <v>0.32119999999999999</v>
          </cell>
          <cell r="O602">
            <v>114475</v>
          </cell>
          <cell r="P602">
            <v>113488.92</v>
          </cell>
          <cell r="Q602">
            <v>104175.44</v>
          </cell>
        </row>
        <row r="603">
          <cell r="A603" t="str">
            <v>6225078020</v>
          </cell>
          <cell r="B603">
            <v>62250</v>
          </cell>
          <cell r="C603">
            <v>78020</v>
          </cell>
          <cell r="D603" t="str">
            <v>Amortized CAM Exp</v>
          </cell>
          <cell r="E603">
            <v>34406.129999999997</v>
          </cell>
          <cell r="F603">
            <v>45111.360000000001</v>
          </cell>
          <cell r="G603">
            <v>-10705.23</v>
          </cell>
          <cell r="H603">
            <v>-0.23730000000000001</v>
          </cell>
          <cell r="I603">
            <v>34485.99</v>
          </cell>
          <cell r="J603">
            <v>-79.860000000000596</v>
          </cell>
          <cell r="K603">
            <v>-2.3E-3</v>
          </cell>
          <cell r="L603">
            <v>0</v>
          </cell>
          <cell r="M603">
            <v>34406.129999999997</v>
          </cell>
          <cell r="N603">
            <v>0</v>
          </cell>
          <cell r="O603">
            <v>67667</v>
          </cell>
          <cell r="P603">
            <v>53332.53</v>
          </cell>
          <cell r="Q603">
            <v>22961</v>
          </cell>
        </row>
        <row r="604">
          <cell r="A604" t="str">
            <v>6225084264</v>
          </cell>
          <cell r="B604">
            <v>62250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</row>
        <row r="605">
          <cell r="A605" t="str">
            <v>6225085555</v>
          </cell>
          <cell r="B605">
            <v>62250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</row>
        <row r="606">
          <cell r="A606" t="str">
            <v>6225085584</v>
          </cell>
          <cell r="B606">
            <v>62250</v>
          </cell>
          <cell r="C606">
            <v>85584</v>
          </cell>
          <cell r="D606" t="str">
            <v>Bldg Admin-Office Costs</v>
          </cell>
          <cell r="E606">
            <v>17348.759999999998</v>
          </cell>
          <cell r="F606">
            <v>16560</v>
          </cell>
          <cell r="G606">
            <v>788.75999999999794</v>
          </cell>
          <cell r="H606">
            <v>4.7600000000000003E-2</v>
          </cell>
          <cell r="I606">
            <v>17025.63</v>
          </cell>
          <cell r="J606">
            <v>323.12999999999698</v>
          </cell>
          <cell r="K606">
            <v>1.9E-2</v>
          </cell>
          <cell r="L606">
            <v>14203.59</v>
          </cell>
          <cell r="M606">
            <v>3145.17</v>
          </cell>
          <cell r="N606">
            <v>0.22140000000000001</v>
          </cell>
          <cell r="O606">
            <v>24840</v>
          </cell>
          <cell r="P606">
            <v>25172.57</v>
          </cell>
          <cell r="Q606">
            <v>23567.07</v>
          </cell>
        </row>
        <row r="607">
          <cell r="A607" t="str">
            <v>6225085582</v>
          </cell>
          <cell r="B607">
            <v>62250</v>
          </cell>
          <cell r="C607">
            <v>85582</v>
          </cell>
          <cell r="D607" t="str">
            <v>Bldg Admin-Salaries</v>
          </cell>
          <cell r="E607">
            <v>112228.27</v>
          </cell>
          <cell r="F607">
            <v>111320.64</v>
          </cell>
          <cell r="G607">
            <v>907.630000000005</v>
          </cell>
          <cell r="H607">
            <v>8.2000000000000007E-3</v>
          </cell>
          <cell r="I607">
            <v>113639.67999999999</v>
          </cell>
          <cell r="J607">
            <v>-1411.4099999999901</v>
          </cell>
          <cell r="K607">
            <v>-1.24E-2</v>
          </cell>
          <cell r="L607">
            <v>96991.12</v>
          </cell>
          <cell r="M607">
            <v>15237.15</v>
          </cell>
          <cell r="N607">
            <v>0.15709999999999999</v>
          </cell>
          <cell r="O607">
            <v>166981</v>
          </cell>
          <cell r="P607">
            <v>174859.73</v>
          </cell>
          <cell r="Q607">
            <v>157876.44</v>
          </cell>
        </row>
        <row r="608">
          <cell r="A608" t="str">
            <v>6225086564</v>
          </cell>
          <cell r="B608">
            <v>62250</v>
          </cell>
          <cell r="C608">
            <v>86564</v>
          </cell>
          <cell r="D608" t="str">
            <v>Insurance</v>
          </cell>
          <cell r="E608">
            <v>76905.34</v>
          </cell>
          <cell r="F608">
            <v>87571.36</v>
          </cell>
          <cell r="G608">
            <v>-10666.02</v>
          </cell>
          <cell r="H608">
            <v>-0.12180000000000001</v>
          </cell>
          <cell r="I608">
            <v>74810.44</v>
          </cell>
          <cell r="J608">
            <v>2094.8999999999901</v>
          </cell>
          <cell r="K608">
            <v>2.8000000000000001E-2</v>
          </cell>
          <cell r="L608">
            <v>76144</v>
          </cell>
          <cell r="M608">
            <v>761.33999999999696</v>
          </cell>
          <cell r="N608">
            <v>0.01</v>
          </cell>
          <cell r="O608">
            <v>131357</v>
          </cell>
          <cell r="P608">
            <v>110463.76</v>
          </cell>
          <cell r="Q608">
            <v>114223</v>
          </cell>
        </row>
        <row r="609">
          <cell r="A609" t="str">
            <v>6225088846</v>
          </cell>
          <cell r="B609">
            <v>62250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7720</v>
          </cell>
          <cell r="Q609">
            <v>0</v>
          </cell>
        </row>
        <row r="610">
          <cell r="A610" t="str">
            <v>6225088890</v>
          </cell>
          <cell r="B610">
            <v>62250</v>
          </cell>
          <cell r="C610">
            <v>88890</v>
          </cell>
          <cell r="D610" t="str">
            <v>Security/Safety</v>
          </cell>
          <cell r="E610">
            <v>20752.71</v>
          </cell>
          <cell r="F610">
            <v>19200</v>
          </cell>
          <cell r="G610">
            <v>1552.71</v>
          </cell>
          <cell r="H610">
            <v>8.09E-2</v>
          </cell>
          <cell r="I610">
            <v>19117.02</v>
          </cell>
          <cell r="J610">
            <v>1635.69</v>
          </cell>
          <cell r="K610">
            <v>8.5599999999999996E-2</v>
          </cell>
          <cell r="L610">
            <v>18204.650000000001</v>
          </cell>
          <cell r="M610">
            <v>2548.06</v>
          </cell>
          <cell r="N610">
            <v>0.14000000000000001</v>
          </cell>
          <cell r="O610">
            <v>28800</v>
          </cell>
          <cell r="P610">
            <v>28629.02</v>
          </cell>
          <cell r="Q610">
            <v>28148.42</v>
          </cell>
        </row>
        <row r="611">
          <cell r="A611" t="str">
            <v>6225089775</v>
          </cell>
          <cell r="B611">
            <v>62250</v>
          </cell>
          <cell r="C611">
            <v>89775</v>
          </cell>
          <cell r="D611" t="str">
            <v>Assmt Dist Taxes- Reimb</v>
          </cell>
          <cell r="E611">
            <v>34761.35</v>
          </cell>
          <cell r="F611">
            <v>22188</v>
          </cell>
          <cell r="G611">
            <v>12573.35</v>
          </cell>
          <cell r="H611">
            <v>0.56669999999999998</v>
          </cell>
          <cell r="I611">
            <v>37118.839999999997</v>
          </cell>
          <cell r="J611">
            <v>-2357.4899999999998</v>
          </cell>
          <cell r="K611">
            <v>-6.3500000000000001E-2</v>
          </cell>
          <cell r="L611">
            <v>22188</v>
          </cell>
          <cell r="M611">
            <v>12573.35</v>
          </cell>
          <cell r="N611">
            <v>0.56669999999999998</v>
          </cell>
          <cell r="O611">
            <v>33282</v>
          </cell>
          <cell r="P611">
            <v>57642.84</v>
          </cell>
          <cell r="Q611">
            <v>33282</v>
          </cell>
        </row>
        <row r="612">
          <cell r="A612" t="str">
            <v>6225089729</v>
          </cell>
          <cell r="B612">
            <v>62250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</row>
        <row r="613">
          <cell r="A613" t="str">
            <v>6225089786</v>
          </cell>
          <cell r="B613">
            <v>62250</v>
          </cell>
          <cell r="C613">
            <v>89786</v>
          </cell>
          <cell r="D613" t="str">
            <v>Property Tax Exp</v>
          </cell>
          <cell r="E613">
            <v>21036.48</v>
          </cell>
          <cell r="F613">
            <v>254174.64</v>
          </cell>
          <cell r="G613">
            <v>-233138.16</v>
          </cell>
          <cell r="H613">
            <v>-0.91720000000000002</v>
          </cell>
          <cell r="I613">
            <v>168728.52</v>
          </cell>
          <cell r="J613">
            <v>-147692.04</v>
          </cell>
          <cell r="K613">
            <v>-0.87529999999999997</v>
          </cell>
          <cell r="L613">
            <v>252752.48</v>
          </cell>
          <cell r="M613">
            <v>-231716</v>
          </cell>
          <cell r="N613">
            <v>-0.91679999999999995</v>
          </cell>
          <cell r="O613">
            <v>381262</v>
          </cell>
          <cell r="P613">
            <v>292885.84000000003</v>
          </cell>
          <cell r="Q613">
            <v>373963.19</v>
          </cell>
        </row>
        <row r="614">
          <cell r="A614" t="str">
            <v>6225071040</v>
          </cell>
          <cell r="B614">
            <v>62250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</row>
        <row r="615">
          <cell r="A615" t="str">
            <v>6225072701</v>
          </cell>
          <cell r="B615">
            <v>62250</v>
          </cell>
          <cell r="C615">
            <v>72701</v>
          </cell>
          <cell r="D615" t="str">
            <v>Utilities</v>
          </cell>
          <cell r="E615">
            <v>31.28</v>
          </cell>
          <cell r="F615">
            <v>0</v>
          </cell>
          <cell r="G615">
            <v>31.28</v>
          </cell>
          <cell r="H615">
            <v>0</v>
          </cell>
          <cell r="I615">
            <v>0</v>
          </cell>
          <cell r="J615">
            <v>31.28</v>
          </cell>
          <cell r="K615">
            <v>0</v>
          </cell>
          <cell r="L615">
            <v>0</v>
          </cell>
          <cell r="M615">
            <v>31.28</v>
          </cell>
          <cell r="N615">
            <v>0</v>
          </cell>
          <cell r="O615">
            <v>0</v>
          </cell>
          <cell r="P615">
            <v>0</v>
          </cell>
          <cell r="Q615">
            <v>129.56</v>
          </cell>
        </row>
        <row r="616">
          <cell r="A616" t="str">
            <v>6225072855</v>
          </cell>
          <cell r="B616">
            <v>62250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</row>
        <row r="617">
          <cell r="A617" t="str">
            <v>6225072870</v>
          </cell>
          <cell r="B617">
            <v>62250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</row>
        <row r="618">
          <cell r="A618" t="str">
            <v>6225076010</v>
          </cell>
          <cell r="B618">
            <v>62250</v>
          </cell>
          <cell r="C618">
            <v>76010</v>
          </cell>
          <cell r="D618" t="str">
            <v>Tenant Alterations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81.17</v>
          </cell>
          <cell r="M618">
            <v>-81.17</v>
          </cell>
          <cell r="N618">
            <v>0</v>
          </cell>
          <cell r="O618">
            <v>0</v>
          </cell>
          <cell r="P618">
            <v>0</v>
          </cell>
          <cell r="Q618">
            <v>94.54</v>
          </cell>
        </row>
        <row r="619">
          <cell r="A619" t="str">
            <v>6225076040</v>
          </cell>
          <cell r="B619">
            <v>62250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</row>
        <row r="620">
          <cell r="A620" t="str">
            <v>6225076051</v>
          </cell>
          <cell r="B620">
            <v>62250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</row>
        <row r="621">
          <cell r="A621" t="str">
            <v>6225076054</v>
          </cell>
          <cell r="B621">
            <v>62250</v>
          </cell>
          <cell r="C621">
            <v>76054</v>
          </cell>
          <cell r="D621" t="str">
            <v>Bldg Maintenance &amp; Repair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10926</v>
          </cell>
          <cell r="J621">
            <v>-10926</v>
          </cell>
          <cell r="K621">
            <v>0</v>
          </cell>
          <cell r="L621">
            <v>132.77000000000001</v>
          </cell>
          <cell r="M621">
            <v>-132.77000000000001</v>
          </cell>
          <cell r="N621">
            <v>0</v>
          </cell>
          <cell r="O621">
            <v>0</v>
          </cell>
          <cell r="P621">
            <v>10926</v>
          </cell>
          <cell r="Q621">
            <v>46.300000000000203</v>
          </cell>
        </row>
        <row r="622">
          <cell r="A622" t="str">
            <v>6225076060</v>
          </cell>
          <cell r="B622">
            <v>62250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</row>
        <row r="623">
          <cell r="A623" t="str">
            <v>6225076071</v>
          </cell>
          <cell r="B623">
            <v>62250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</row>
        <row r="624">
          <cell r="A624" t="str">
            <v>6225076090</v>
          </cell>
          <cell r="B624">
            <v>62250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</row>
        <row r="625">
          <cell r="A625" t="str">
            <v>6225077001</v>
          </cell>
          <cell r="B625">
            <v>62250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</row>
        <row r="626">
          <cell r="A626" t="str">
            <v>6225077022</v>
          </cell>
          <cell r="B626">
            <v>62250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</row>
        <row r="627">
          <cell r="A627" t="str">
            <v>6225084200</v>
          </cell>
          <cell r="B627">
            <v>62250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</row>
        <row r="628">
          <cell r="A628" t="str">
            <v>6225084240</v>
          </cell>
          <cell r="B628">
            <v>62250</v>
          </cell>
          <cell r="C628">
            <v>84240</v>
          </cell>
          <cell r="D628" t="str">
            <v>Marketing Leasing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</row>
        <row r="629">
          <cell r="A629" t="str">
            <v>6225084242</v>
          </cell>
          <cell r="B629">
            <v>62250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</row>
        <row r="630">
          <cell r="A630" t="str">
            <v>6225084243</v>
          </cell>
          <cell r="B630">
            <v>62250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-2892.5</v>
          </cell>
        </row>
        <row r="631">
          <cell r="A631" t="str">
            <v>6225084244</v>
          </cell>
          <cell r="B631">
            <v>62250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215</v>
          </cell>
          <cell r="M631">
            <v>-215</v>
          </cell>
          <cell r="N631">
            <v>0</v>
          </cell>
          <cell r="O631">
            <v>0</v>
          </cell>
          <cell r="P631">
            <v>0</v>
          </cell>
          <cell r="Q631">
            <v>215</v>
          </cell>
        </row>
        <row r="632">
          <cell r="A632" t="str">
            <v>6225084265</v>
          </cell>
          <cell r="B632">
            <v>62250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</row>
        <row r="633">
          <cell r="A633" t="str">
            <v>6225088037</v>
          </cell>
          <cell r="B633">
            <v>62250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</row>
        <row r="634">
          <cell r="A634" t="str">
            <v>6225085016</v>
          </cell>
          <cell r="B634">
            <v>62250</v>
          </cell>
          <cell r="C634">
            <v>85016</v>
          </cell>
          <cell r="D634" t="str">
            <v>Prof Svc-Attorney Outside</v>
          </cell>
          <cell r="E634">
            <v>0</v>
          </cell>
          <cell r="F634">
            <v>1500</v>
          </cell>
          <cell r="G634">
            <v>-1500</v>
          </cell>
          <cell r="H634">
            <v>0</v>
          </cell>
          <cell r="I634">
            <v>500</v>
          </cell>
          <cell r="J634">
            <v>-500</v>
          </cell>
          <cell r="K634">
            <v>0</v>
          </cell>
          <cell r="L634">
            <v>890</v>
          </cell>
          <cell r="M634">
            <v>-890</v>
          </cell>
          <cell r="N634">
            <v>0</v>
          </cell>
          <cell r="O634">
            <v>2000</v>
          </cell>
          <cell r="P634">
            <v>1000</v>
          </cell>
          <cell r="Q634">
            <v>915</v>
          </cell>
        </row>
        <row r="635">
          <cell r="A635" t="str">
            <v>6225085022</v>
          </cell>
          <cell r="B635">
            <v>62250</v>
          </cell>
          <cell r="C635">
            <v>85022</v>
          </cell>
          <cell r="D635" t="str">
            <v>Prof Svc-Audit/Acctng</v>
          </cell>
          <cell r="E635">
            <v>600</v>
          </cell>
          <cell r="F635">
            <v>750</v>
          </cell>
          <cell r="G635">
            <v>-150</v>
          </cell>
          <cell r="H635">
            <v>-0.2</v>
          </cell>
          <cell r="I635">
            <v>1350</v>
          </cell>
          <cell r="J635">
            <v>-750</v>
          </cell>
          <cell r="K635">
            <v>-0.55559999999999998</v>
          </cell>
          <cell r="L635">
            <v>0</v>
          </cell>
          <cell r="M635">
            <v>600</v>
          </cell>
          <cell r="N635">
            <v>0</v>
          </cell>
          <cell r="O635">
            <v>750</v>
          </cell>
          <cell r="P635">
            <v>1350</v>
          </cell>
          <cell r="Q635">
            <v>775</v>
          </cell>
        </row>
        <row r="636">
          <cell r="A636" t="str">
            <v>6225085065</v>
          </cell>
          <cell r="B636">
            <v>62250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</row>
        <row r="637">
          <cell r="A637" t="str">
            <v>6225085500</v>
          </cell>
          <cell r="B637">
            <v>62250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6687.5</v>
          </cell>
          <cell r="M637">
            <v>-6687.5</v>
          </cell>
          <cell r="N637">
            <v>0</v>
          </cell>
          <cell r="O637">
            <v>0</v>
          </cell>
          <cell r="P637">
            <v>0</v>
          </cell>
          <cell r="Q637">
            <v>6687.5</v>
          </cell>
        </row>
        <row r="638">
          <cell r="A638" t="str">
            <v>6225085566</v>
          </cell>
          <cell r="B638">
            <v>62250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</row>
        <row r="639">
          <cell r="A639" t="str">
            <v>6225085581</v>
          </cell>
          <cell r="B639">
            <v>62250</v>
          </cell>
          <cell r="C639">
            <v>85581</v>
          </cell>
          <cell r="D639" t="str">
            <v>Bldg Admin- Salaries</v>
          </cell>
          <cell r="E639">
            <v>63576.53</v>
          </cell>
          <cell r="F639">
            <v>66536</v>
          </cell>
          <cell r="G639">
            <v>-2959.47</v>
          </cell>
          <cell r="H639">
            <v>-4.4499999999999998E-2</v>
          </cell>
          <cell r="I639">
            <v>64583.23</v>
          </cell>
          <cell r="J639">
            <v>-1006.7</v>
          </cell>
          <cell r="K639">
            <v>-1.5599999999999999E-2</v>
          </cell>
          <cell r="L639">
            <v>71543.33</v>
          </cell>
          <cell r="M639">
            <v>-7966.8</v>
          </cell>
          <cell r="N639">
            <v>-0.1114</v>
          </cell>
          <cell r="O639">
            <v>99804</v>
          </cell>
          <cell r="P639">
            <v>101002.91</v>
          </cell>
          <cell r="Q639">
            <v>112648.04</v>
          </cell>
        </row>
        <row r="640">
          <cell r="A640" t="str">
            <v>6225085583</v>
          </cell>
          <cell r="B640">
            <v>62250</v>
          </cell>
          <cell r="C640">
            <v>85583</v>
          </cell>
          <cell r="D640" t="str">
            <v>Bldg Admin-Office Exp.</v>
          </cell>
          <cell r="E640">
            <v>9138.2900000000009</v>
          </cell>
          <cell r="F640">
            <v>9789.36</v>
          </cell>
          <cell r="G640">
            <v>-651.07000000000005</v>
          </cell>
          <cell r="H640">
            <v>-6.6500000000000004E-2</v>
          </cell>
          <cell r="I640">
            <v>9678.1</v>
          </cell>
          <cell r="J640">
            <v>-539.80999999999904</v>
          </cell>
          <cell r="K640">
            <v>-5.5800000000000002E-2</v>
          </cell>
          <cell r="L640">
            <v>9241.17</v>
          </cell>
          <cell r="M640">
            <v>-102.879999999999</v>
          </cell>
          <cell r="N640">
            <v>-1.11E-2</v>
          </cell>
          <cell r="O640">
            <v>14614</v>
          </cell>
          <cell r="P640">
            <v>14185.52</v>
          </cell>
          <cell r="Q640">
            <v>14463.24</v>
          </cell>
        </row>
        <row r="641">
          <cell r="A641" t="str">
            <v>6225085530</v>
          </cell>
          <cell r="B641">
            <v>62250</v>
          </cell>
          <cell r="C641">
            <v>85530</v>
          </cell>
          <cell r="D641" t="str">
            <v>Bldg Admin - Office Exp</v>
          </cell>
          <cell r="E641">
            <v>9138.2900000000009</v>
          </cell>
          <cell r="F641">
            <v>9789.36</v>
          </cell>
          <cell r="G641">
            <v>-651.07000000000005</v>
          </cell>
          <cell r="H641">
            <v>-6.6500000000000004E-2</v>
          </cell>
          <cell r="I641">
            <v>9678.1</v>
          </cell>
          <cell r="J641">
            <v>-539.80999999999904</v>
          </cell>
          <cell r="K641">
            <v>-5.5800000000000002E-2</v>
          </cell>
          <cell r="L641">
            <v>9241.17</v>
          </cell>
          <cell r="M641">
            <v>-102.879999999999</v>
          </cell>
          <cell r="N641">
            <v>-1.11E-2</v>
          </cell>
          <cell r="O641">
            <v>14614</v>
          </cell>
          <cell r="P641">
            <v>14185.52</v>
          </cell>
          <cell r="Q641">
            <v>14463.24</v>
          </cell>
        </row>
        <row r="642">
          <cell r="A642" t="str">
            <v>6225086012</v>
          </cell>
          <cell r="B642">
            <v>62250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</row>
        <row r="643">
          <cell r="A643" t="str">
            <v>6225086037</v>
          </cell>
          <cell r="B643">
            <v>62250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</row>
        <row r="644">
          <cell r="A644" t="str">
            <v>6225083050</v>
          </cell>
          <cell r="B644">
            <v>62250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</row>
        <row r="645">
          <cell r="A645" t="str">
            <v>6225086510</v>
          </cell>
          <cell r="B645">
            <v>62250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</row>
        <row r="646">
          <cell r="A646" t="str">
            <v>6225086537</v>
          </cell>
          <cell r="B646">
            <v>62250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</row>
        <row r="647">
          <cell r="A647" t="str">
            <v>6225086566</v>
          </cell>
          <cell r="B647">
            <v>62250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</row>
        <row r="648">
          <cell r="A648" t="str">
            <v>6225086955</v>
          </cell>
          <cell r="B648">
            <v>62250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</row>
        <row r="649">
          <cell r="A649" t="str">
            <v>6225086985</v>
          </cell>
          <cell r="B649">
            <v>62250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2628</v>
          </cell>
          <cell r="Q649">
            <v>0</v>
          </cell>
        </row>
        <row r="650">
          <cell r="A650" t="str">
            <v>6225086880</v>
          </cell>
          <cell r="B650">
            <v>62250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</row>
        <row r="651">
          <cell r="A651" t="str">
            <v>6225088710</v>
          </cell>
          <cell r="B651">
            <v>62250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</row>
        <row r="652">
          <cell r="A652" t="str">
            <v>6225088711</v>
          </cell>
          <cell r="B652">
            <v>62250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</row>
        <row r="653">
          <cell r="A653" t="str">
            <v>6225088785</v>
          </cell>
          <cell r="B653">
            <v>62250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</row>
        <row r="654">
          <cell r="A654" t="str">
            <v>6225088847</v>
          </cell>
          <cell r="B654">
            <v>62250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</row>
        <row r="655">
          <cell r="A655" t="str">
            <v>6225088866</v>
          </cell>
          <cell r="B655">
            <v>62250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</row>
        <row r="656">
          <cell r="A656" t="str">
            <v>6225088870</v>
          </cell>
          <cell r="B656">
            <v>62250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</row>
        <row r="657">
          <cell r="A657" t="str">
            <v>6225088889</v>
          </cell>
          <cell r="B657">
            <v>62250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</row>
        <row r="658">
          <cell r="A658" t="str">
            <v>6225089776</v>
          </cell>
          <cell r="B658">
            <v>62250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</row>
        <row r="659">
          <cell r="A659" t="str">
            <v>6225089787</v>
          </cell>
          <cell r="B659">
            <v>62250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</row>
        <row r="660">
          <cell r="A660" t="str">
            <v>6225089510</v>
          </cell>
          <cell r="B660">
            <v>62250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3971</v>
          </cell>
          <cell r="J660">
            <v>-3971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8307</v>
          </cell>
          <cell r="Q660">
            <v>0</v>
          </cell>
        </row>
        <row r="661">
          <cell r="A661" t="str">
            <v>6225089511</v>
          </cell>
          <cell r="B661">
            <v>62250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</row>
        <row r="662">
          <cell r="A662" t="str">
            <v>6225089512</v>
          </cell>
          <cell r="B662">
            <v>62250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</row>
        <row r="663">
          <cell r="A663" t="str">
            <v>6225089528</v>
          </cell>
          <cell r="B663">
            <v>62250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</row>
        <row r="664">
          <cell r="A664" t="str">
            <v>6225089529</v>
          </cell>
          <cell r="B664">
            <v>62250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</row>
        <row r="665">
          <cell r="A665" t="str">
            <v>6225089567</v>
          </cell>
          <cell r="B665">
            <v>62250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</row>
        <row r="666">
          <cell r="A666" t="str">
            <v>6225085058</v>
          </cell>
          <cell r="B666">
            <v>62250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</row>
        <row r="667">
          <cell r="A667" t="str">
            <v>6225086513</v>
          </cell>
          <cell r="B667">
            <v>62250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</row>
        <row r="668">
          <cell r="A668" t="str">
            <v>6225086519</v>
          </cell>
          <cell r="B668">
            <v>62250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</row>
        <row r="669">
          <cell r="A669" t="str">
            <v>6225088770</v>
          </cell>
          <cell r="B669">
            <v>62250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</row>
        <row r="670">
          <cell r="A670" t="str">
            <v>6225088862</v>
          </cell>
          <cell r="B670">
            <v>62250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</row>
        <row r="671">
          <cell r="A671" t="str">
            <v>6225088874</v>
          </cell>
          <cell r="B671">
            <v>62250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</row>
        <row r="672">
          <cell r="A672" t="str">
            <v>6225089910</v>
          </cell>
          <cell r="B672">
            <v>62250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696556.86</v>
          </cell>
          <cell r="G672">
            <v>-696556.86</v>
          </cell>
          <cell r="H672">
            <v>0</v>
          </cell>
          <cell r="I672">
            <v>594279.38</v>
          </cell>
          <cell r="J672">
            <v>-594279.38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1020055.71</v>
          </cell>
          <cell r="P672">
            <v>871375.98</v>
          </cell>
          <cell r="Q672">
            <v>0</v>
          </cell>
        </row>
        <row r="673">
          <cell r="A673" t="str">
            <v>6225089548</v>
          </cell>
          <cell r="B673">
            <v>62250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</row>
        <row r="674">
          <cell r="A674" t="str">
            <v>6225241010</v>
          </cell>
          <cell r="B674">
            <v>62252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</row>
        <row r="675">
          <cell r="A675" t="str">
            <v>6225241040</v>
          </cell>
          <cell r="B675">
            <v>62252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</row>
        <row r="676">
          <cell r="A676" t="str">
            <v>6225241050</v>
          </cell>
          <cell r="B676">
            <v>62252</v>
          </cell>
          <cell r="C676">
            <v>41050</v>
          </cell>
          <cell r="D676" t="str">
            <v>Rental Income - Fixed</v>
          </cell>
          <cell r="E676">
            <v>-949278.99</v>
          </cell>
          <cell r="F676">
            <v>-960307.22</v>
          </cell>
          <cell r="G676">
            <v>11028.23</v>
          </cell>
          <cell r="H676">
            <v>-1.15E-2</v>
          </cell>
          <cell r="I676">
            <v>-948110.86</v>
          </cell>
          <cell r="J676">
            <v>-1168.1300000000001</v>
          </cell>
          <cell r="K676">
            <v>1.1999999999999999E-3</v>
          </cell>
          <cell r="L676">
            <v>-918250.78</v>
          </cell>
          <cell r="M676">
            <v>-31028.21</v>
          </cell>
          <cell r="N676">
            <v>3.3799999999999997E-2</v>
          </cell>
          <cell r="O676">
            <v>-1446799.54</v>
          </cell>
          <cell r="P676">
            <v>-1435850.7</v>
          </cell>
          <cell r="Q676">
            <v>-1376046.14</v>
          </cell>
        </row>
        <row r="677">
          <cell r="A677" t="str">
            <v>6225241074</v>
          </cell>
          <cell r="B677">
            <v>62252</v>
          </cell>
          <cell r="C677">
            <v>41074</v>
          </cell>
          <cell r="D677" t="str">
            <v>Rental Income - Percentage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</row>
        <row r="678">
          <cell r="A678" t="str">
            <v>6225241082</v>
          </cell>
          <cell r="B678">
            <v>62252</v>
          </cell>
          <cell r="C678">
            <v>41082</v>
          </cell>
          <cell r="D678" t="str">
            <v>Rental Income - Operating Exp</v>
          </cell>
          <cell r="E678">
            <v>-306063.49</v>
          </cell>
          <cell r="F678">
            <v>-320599.44</v>
          </cell>
          <cell r="G678">
            <v>14535.95</v>
          </cell>
          <cell r="H678">
            <v>-4.53E-2</v>
          </cell>
          <cell r="I678">
            <v>-322642.43</v>
          </cell>
          <cell r="J678">
            <v>16578.939999999999</v>
          </cell>
          <cell r="K678">
            <v>-5.1400000000000001E-2</v>
          </cell>
          <cell r="L678">
            <v>-230674.96</v>
          </cell>
          <cell r="M678">
            <v>-75388.53</v>
          </cell>
          <cell r="N678">
            <v>0.32679999999999998</v>
          </cell>
          <cell r="O678">
            <v>-480899.2</v>
          </cell>
          <cell r="P678">
            <v>-487653.43</v>
          </cell>
          <cell r="Q678">
            <v>-336432.65</v>
          </cell>
        </row>
        <row r="679">
          <cell r="A679" t="str">
            <v>6225244610</v>
          </cell>
          <cell r="B679">
            <v>62252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</row>
        <row r="680">
          <cell r="A680" t="str">
            <v>6225245071</v>
          </cell>
          <cell r="B680">
            <v>62252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-13716.66</v>
          </cell>
        </row>
        <row r="681">
          <cell r="A681" t="str">
            <v>6225245010</v>
          </cell>
          <cell r="B681">
            <v>62252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</row>
        <row r="682">
          <cell r="A682" t="str">
            <v>6225245046</v>
          </cell>
          <cell r="B682">
            <v>62252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</row>
        <row r="683">
          <cell r="A683" t="str">
            <v>6225245070</v>
          </cell>
          <cell r="B683">
            <v>62252</v>
          </cell>
          <cell r="C683">
            <v>45070</v>
          </cell>
          <cell r="D683" t="str">
            <v>Other Income</v>
          </cell>
          <cell r="E683">
            <v>0.79</v>
          </cell>
          <cell r="F683">
            <v>0</v>
          </cell>
          <cell r="G683">
            <v>0.79</v>
          </cell>
          <cell r="H683">
            <v>0</v>
          </cell>
          <cell r="I683">
            <v>0</v>
          </cell>
          <cell r="J683">
            <v>0.79</v>
          </cell>
          <cell r="K683">
            <v>0</v>
          </cell>
          <cell r="L683">
            <v>0</v>
          </cell>
          <cell r="M683">
            <v>0.79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</row>
        <row r="684">
          <cell r="A684" t="str">
            <v>6225241060</v>
          </cell>
          <cell r="B684">
            <v>62252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</row>
        <row r="685">
          <cell r="A685" t="str">
            <v>6225244870</v>
          </cell>
          <cell r="B685">
            <v>62252</v>
          </cell>
          <cell r="C685">
            <v>44870</v>
          </cell>
          <cell r="D685" t="str">
            <v>Late Fees</v>
          </cell>
          <cell r="E685">
            <v>-7755.43</v>
          </cell>
          <cell r="F685">
            <v>0</v>
          </cell>
          <cell r="G685">
            <v>-7755.43</v>
          </cell>
          <cell r="H685">
            <v>0</v>
          </cell>
          <cell r="I685">
            <v>-2454.23</v>
          </cell>
          <cell r="J685">
            <v>-5301.2</v>
          </cell>
          <cell r="K685">
            <v>2.16</v>
          </cell>
          <cell r="L685">
            <v>-175.02</v>
          </cell>
          <cell r="M685">
            <v>-7580.41</v>
          </cell>
          <cell r="N685">
            <v>43.311700000000002</v>
          </cell>
          <cell r="O685">
            <v>0</v>
          </cell>
          <cell r="P685">
            <v>-3954.23</v>
          </cell>
          <cell r="Q685">
            <v>-5446.78</v>
          </cell>
        </row>
        <row r="686">
          <cell r="A686" t="str">
            <v>6225252542</v>
          </cell>
          <cell r="B686">
            <v>62252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</row>
        <row r="687">
          <cell r="A687" t="str">
            <v>6225272710</v>
          </cell>
          <cell r="B687">
            <v>62252</v>
          </cell>
          <cell r="C687">
            <v>72710</v>
          </cell>
          <cell r="D687" t="str">
            <v>Utilities - Electricity</v>
          </cell>
          <cell r="E687">
            <v>7813.37</v>
          </cell>
          <cell r="F687">
            <v>8176</v>
          </cell>
          <cell r="G687">
            <v>-362.63</v>
          </cell>
          <cell r="H687">
            <v>-4.4400000000000002E-2</v>
          </cell>
          <cell r="I687">
            <v>6856.24</v>
          </cell>
          <cell r="J687">
            <v>957.13</v>
          </cell>
          <cell r="K687">
            <v>0.1396</v>
          </cell>
          <cell r="L687">
            <v>6863.56</v>
          </cell>
          <cell r="M687">
            <v>949.80999999999904</v>
          </cell>
          <cell r="N687">
            <v>0.1384</v>
          </cell>
          <cell r="O687">
            <v>12264</v>
          </cell>
          <cell r="P687">
            <v>10944.24</v>
          </cell>
          <cell r="Q687">
            <v>9703.7999999999993</v>
          </cell>
        </row>
        <row r="688">
          <cell r="A688" t="str">
            <v>6225272740</v>
          </cell>
          <cell r="B688">
            <v>62252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</row>
        <row r="689">
          <cell r="A689" t="str">
            <v>6225272770</v>
          </cell>
          <cell r="B689">
            <v>62252</v>
          </cell>
          <cell r="C689">
            <v>72770</v>
          </cell>
          <cell r="D689" t="str">
            <v>Utilities - Water</v>
          </cell>
          <cell r="E689">
            <v>8168.74</v>
          </cell>
          <cell r="F689">
            <v>3800</v>
          </cell>
          <cell r="G689">
            <v>4368.74</v>
          </cell>
          <cell r="H689">
            <v>1.1496999999999999</v>
          </cell>
          <cell r="I689">
            <v>10314.66</v>
          </cell>
          <cell r="J689">
            <v>-2145.92</v>
          </cell>
          <cell r="K689">
            <v>-0.20799999999999999</v>
          </cell>
          <cell r="L689">
            <v>4541.08</v>
          </cell>
          <cell r="M689">
            <v>3627.66</v>
          </cell>
          <cell r="N689">
            <v>0.79890000000000005</v>
          </cell>
          <cell r="O689">
            <v>5700</v>
          </cell>
          <cell r="P689">
            <v>15814.66</v>
          </cell>
          <cell r="Q689">
            <v>6810.09</v>
          </cell>
        </row>
        <row r="690">
          <cell r="A690" t="str">
            <v>6225276000</v>
          </cell>
          <cell r="B690">
            <v>62252</v>
          </cell>
          <cell r="C690">
            <v>76000</v>
          </cell>
          <cell r="D690" t="str">
            <v>Bldg Maintenance &amp; Repair</v>
          </cell>
          <cell r="E690">
            <v>17402.93</v>
          </cell>
          <cell r="F690">
            <v>37318.639999999999</v>
          </cell>
          <cell r="G690">
            <v>-19915.71</v>
          </cell>
          <cell r="H690">
            <v>-0.53369999999999995</v>
          </cell>
          <cell r="I690">
            <v>29429.29</v>
          </cell>
          <cell r="J690">
            <v>-12026.36</v>
          </cell>
          <cell r="K690">
            <v>-0.40870000000000001</v>
          </cell>
          <cell r="L690">
            <v>47967.19</v>
          </cell>
          <cell r="M690">
            <v>-30564.26</v>
          </cell>
          <cell r="N690">
            <v>-0.63719999999999999</v>
          </cell>
          <cell r="O690">
            <v>58536</v>
          </cell>
          <cell r="P690">
            <v>51078.29</v>
          </cell>
          <cell r="Q690">
            <v>45276.51</v>
          </cell>
        </row>
        <row r="691">
          <cell r="A691" t="str">
            <v>6225276020</v>
          </cell>
          <cell r="B691">
            <v>62252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</row>
        <row r="692">
          <cell r="A692" t="str">
            <v>6225276034</v>
          </cell>
          <cell r="B692">
            <v>62252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</row>
        <row r="693">
          <cell r="A693" t="str">
            <v>6225276050</v>
          </cell>
          <cell r="B693">
            <v>62252</v>
          </cell>
          <cell r="C693">
            <v>76050</v>
          </cell>
          <cell r="D693" t="str">
            <v>Cleaning Expense</v>
          </cell>
          <cell r="E693">
            <v>11319.79</v>
          </cell>
          <cell r="F693">
            <v>11218.64</v>
          </cell>
          <cell r="G693">
            <v>101.150000000001</v>
          </cell>
          <cell r="H693">
            <v>8.9999999999999993E-3</v>
          </cell>
          <cell r="I693">
            <v>12148.82</v>
          </cell>
          <cell r="J693">
            <v>-829.02999999999895</v>
          </cell>
          <cell r="K693">
            <v>-6.8199999999999997E-2</v>
          </cell>
          <cell r="L693">
            <v>10572.18</v>
          </cell>
          <cell r="M693">
            <v>747.61000000000104</v>
          </cell>
          <cell r="N693">
            <v>7.0699999999999999E-2</v>
          </cell>
          <cell r="O693">
            <v>16828</v>
          </cell>
          <cell r="P693">
            <v>17758.18</v>
          </cell>
          <cell r="Q693">
            <v>15924.84</v>
          </cell>
        </row>
        <row r="694">
          <cell r="A694" t="str">
            <v>6225276056</v>
          </cell>
          <cell r="B694">
            <v>62252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</row>
        <row r="695">
          <cell r="A695" t="str">
            <v>6225276070</v>
          </cell>
          <cell r="B695">
            <v>62252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</row>
        <row r="696">
          <cell r="A696" t="str">
            <v>6225276091</v>
          </cell>
          <cell r="B696">
            <v>62252</v>
          </cell>
          <cell r="C696">
            <v>76091</v>
          </cell>
          <cell r="D696" t="str">
            <v>Parking Maintenance</v>
          </cell>
          <cell r="E696">
            <v>10660.8</v>
          </cell>
          <cell r="F696">
            <v>9272</v>
          </cell>
          <cell r="G696">
            <v>1388.8</v>
          </cell>
          <cell r="H696">
            <v>0.14979999999999999</v>
          </cell>
          <cell r="I696">
            <v>10238.799999999999</v>
          </cell>
          <cell r="J696">
            <v>422</v>
          </cell>
          <cell r="K696">
            <v>4.1200000000000001E-2</v>
          </cell>
          <cell r="L696">
            <v>16163.23</v>
          </cell>
          <cell r="M696">
            <v>-5502.43</v>
          </cell>
          <cell r="N696">
            <v>-0.34039999999999998</v>
          </cell>
          <cell r="O696">
            <v>16908</v>
          </cell>
          <cell r="P696">
            <v>18274.8</v>
          </cell>
          <cell r="Q696">
            <v>81934.97</v>
          </cell>
        </row>
        <row r="697">
          <cell r="A697" t="str">
            <v>6225277000</v>
          </cell>
          <cell r="B697">
            <v>62252</v>
          </cell>
          <cell r="C697">
            <v>77000</v>
          </cell>
          <cell r="D697" t="str">
            <v>Grounds Maintenance</v>
          </cell>
          <cell r="E697">
            <v>16164.78</v>
          </cell>
          <cell r="F697">
            <v>21702</v>
          </cell>
          <cell r="G697">
            <v>-5537.22</v>
          </cell>
          <cell r="H697">
            <v>-0.25509999999999999</v>
          </cell>
          <cell r="I697">
            <v>15223.89</v>
          </cell>
          <cell r="J697">
            <v>940.89000000000101</v>
          </cell>
          <cell r="K697">
            <v>6.1800000000000001E-2</v>
          </cell>
          <cell r="L697">
            <v>10336.93</v>
          </cell>
          <cell r="M697">
            <v>5827.85</v>
          </cell>
          <cell r="N697">
            <v>0.56379999999999997</v>
          </cell>
          <cell r="O697">
            <v>23491</v>
          </cell>
          <cell r="P697">
            <v>22774.37</v>
          </cell>
          <cell r="Q697">
            <v>13265.12</v>
          </cell>
        </row>
        <row r="698">
          <cell r="A698" t="str">
            <v>6225277053</v>
          </cell>
          <cell r="B698">
            <v>62252</v>
          </cell>
          <cell r="C698">
            <v>77053</v>
          </cell>
          <cell r="D698" t="str">
            <v>Landscaping</v>
          </cell>
          <cell r="E698">
            <v>20869.099999999999</v>
          </cell>
          <cell r="F698">
            <v>34630</v>
          </cell>
          <cell r="G698">
            <v>-13760.9</v>
          </cell>
          <cell r="H698">
            <v>-0.39739999999999998</v>
          </cell>
          <cell r="I698">
            <v>22583.78</v>
          </cell>
          <cell r="J698">
            <v>-1714.68</v>
          </cell>
          <cell r="K698">
            <v>-7.5899999999999995E-2</v>
          </cell>
          <cell r="L698">
            <v>29049.56</v>
          </cell>
          <cell r="M698">
            <v>-8180.46</v>
          </cell>
          <cell r="N698">
            <v>-0.28160000000000002</v>
          </cell>
          <cell r="O698">
            <v>51405</v>
          </cell>
          <cell r="P698">
            <v>39783.78</v>
          </cell>
          <cell r="Q698">
            <v>70158.97</v>
          </cell>
        </row>
        <row r="699">
          <cell r="A699" t="str">
            <v>6225278020</v>
          </cell>
          <cell r="B699">
            <v>62252</v>
          </cell>
          <cell r="C699">
            <v>78020</v>
          </cell>
          <cell r="D699" t="str">
            <v>Amortized CAM Exp</v>
          </cell>
          <cell r="E699">
            <v>15628.32</v>
          </cell>
          <cell r="F699">
            <v>26666.639999999999</v>
          </cell>
          <cell r="G699">
            <v>-11038.32</v>
          </cell>
          <cell r="H699">
            <v>-0.41389999999999999</v>
          </cell>
          <cell r="I699">
            <v>15628.53</v>
          </cell>
          <cell r="J699">
            <v>-0.21000000000094601</v>
          </cell>
          <cell r="K699">
            <v>0</v>
          </cell>
          <cell r="L699">
            <v>-9776</v>
          </cell>
          <cell r="M699">
            <v>25404.32</v>
          </cell>
          <cell r="N699">
            <v>-2.5985999999999998</v>
          </cell>
          <cell r="O699">
            <v>40000</v>
          </cell>
          <cell r="P699">
            <v>23442.93</v>
          </cell>
          <cell r="Q699">
            <v>1442.5</v>
          </cell>
        </row>
        <row r="700">
          <cell r="A700" t="str">
            <v>6225284264</v>
          </cell>
          <cell r="B700">
            <v>62252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</row>
        <row r="701">
          <cell r="A701" t="str">
            <v>6225285555</v>
          </cell>
          <cell r="B701">
            <v>62252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</row>
        <row r="702">
          <cell r="A702" t="str">
            <v>6225285584</v>
          </cell>
          <cell r="B702">
            <v>62252</v>
          </cell>
          <cell r="C702">
            <v>85584</v>
          </cell>
          <cell r="D702" t="str">
            <v>Bldg Admin-Office Costs</v>
          </cell>
          <cell r="E702">
            <v>3251.39</v>
          </cell>
          <cell r="F702">
            <v>3096</v>
          </cell>
          <cell r="G702">
            <v>155.38999999999999</v>
          </cell>
          <cell r="H702">
            <v>5.0200000000000002E-2</v>
          </cell>
          <cell r="I702">
            <v>3188.73</v>
          </cell>
          <cell r="J702">
            <v>62.659999999999897</v>
          </cell>
          <cell r="K702">
            <v>1.9699999999999999E-2</v>
          </cell>
          <cell r="L702">
            <v>3066.52</v>
          </cell>
          <cell r="M702">
            <v>184.87</v>
          </cell>
          <cell r="N702">
            <v>6.0299999999999999E-2</v>
          </cell>
          <cell r="O702">
            <v>4644</v>
          </cell>
          <cell r="P702">
            <v>4712.76</v>
          </cell>
          <cell r="Q702">
            <v>4820.3999999999996</v>
          </cell>
        </row>
        <row r="703">
          <cell r="A703" t="str">
            <v>6225285582</v>
          </cell>
          <cell r="B703">
            <v>62252</v>
          </cell>
          <cell r="C703">
            <v>85582</v>
          </cell>
          <cell r="D703" t="str">
            <v>Bldg Admin-Salaries</v>
          </cell>
          <cell r="E703">
            <v>21033.1</v>
          </cell>
          <cell r="F703">
            <v>20863.36</v>
          </cell>
          <cell r="G703">
            <v>169.73999999999799</v>
          </cell>
          <cell r="H703">
            <v>8.0999999999999996E-3</v>
          </cell>
          <cell r="I703">
            <v>21297.73</v>
          </cell>
          <cell r="J703">
            <v>-264.63000000000102</v>
          </cell>
          <cell r="K703">
            <v>-1.24E-2</v>
          </cell>
          <cell r="L703">
            <v>18199.990000000002</v>
          </cell>
          <cell r="M703">
            <v>2833.11</v>
          </cell>
          <cell r="N703">
            <v>0.15570000000000001</v>
          </cell>
          <cell r="O703">
            <v>31295</v>
          </cell>
          <cell r="P703">
            <v>32771.339999999997</v>
          </cell>
          <cell r="Q703">
            <v>29610.71</v>
          </cell>
        </row>
        <row r="704">
          <cell r="A704" t="str">
            <v>6225286564</v>
          </cell>
          <cell r="B704">
            <v>62252</v>
          </cell>
          <cell r="C704">
            <v>86564</v>
          </cell>
          <cell r="D704" t="str">
            <v>Insurance</v>
          </cell>
          <cell r="E704">
            <v>15935.17</v>
          </cell>
          <cell r="F704">
            <v>17952.64</v>
          </cell>
          <cell r="G704">
            <v>-2017.47</v>
          </cell>
          <cell r="H704">
            <v>-0.1124</v>
          </cell>
          <cell r="I704">
            <v>15535.68</v>
          </cell>
          <cell r="J704">
            <v>399.49</v>
          </cell>
          <cell r="K704">
            <v>2.5700000000000001E-2</v>
          </cell>
          <cell r="L704">
            <v>15608</v>
          </cell>
          <cell r="M704">
            <v>327.17</v>
          </cell>
          <cell r="N704">
            <v>2.1000000000000001E-2</v>
          </cell>
          <cell r="O704">
            <v>26929</v>
          </cell>
          <cell r="P704">
            <v>22969.32</v>
          </cell>
          <cell r="Q704">
            <v>23416</v>
          </cell>
        </row>
        <row r="705">
          <cell r="A705" t="str">
            <v>6225288846</v>
          </cell>
          <cell r="B705">
            <v>62252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1156</v>
          </cell>
          <cell r="Q705">
            <v>0</v>
          </cell>
        </row>
        <row r="706">
          <cell r="A706" t="str">
            <v>6225288890</v>
          </cell>
          <cell r="B706">
            <v>62252</v>
          </cell>
          <cell r="C706">
            <v>88890</v>
          </cell>
          <cell r="D706" t="str">
            <v>Security/Safety</v>
          </cell>
          <cell r="E706">
            <v>4261.09</v>
          </cell>
          <cell r="F706">
            <v>3200</v>
          </cell>
          <cell r="G706">
            <v>1061.0899999999999</v>
          </cell>
          <cell r="H706">
            <v>0.33160000000000001</v>
          </cell>
          <cell r="I706">
            <v>4193.59</v>
          </cell>
          <cell r="J706">
            <v>67.5</v>
          </cell>
          <cell r="K706">
            <v>1.61E-2</v>
          </cell>
          <cell r="L706">
            <v>2364.7399999999998</v>
          </cell>
          <cell r="M706">
            <v>1896.35</v>
          </cell>
          <cell r="N706">
            <v>0.80189999999999995</v>
          </cell>
          <cell r="O706">
            <v>4800</v>
          </cell>
          <cell r="P706">
            <v>5793.59</v>
          </cell>
          <cell r="Q706">
            <v>5478.6</v>
          </cell>
        </row>
        <row r="707">
          <cell r="A707" t="str">
            <v>6225289775</v>
          </cell>
          <cell r="B707">
            <v>62252</v>
          </cell>
          <cell r="C707">
            <v>89775</v>
          </cell>
          <cell r="D707" t="str">
            <v>Assmt Dist Taxes- Reimb</v>
          </cell>
          <cell r="E707">
            <v>46315.35</v>
          </cell>
          <cell r="F707">
            <v>40800</v>
          </cell>
          <cell r="G707">
            <v>5515.35</v>
          </cell>
          <cell r="H707">
            <v>0.13519999999999999</v>
          </cell>
          <cell r="I707">
            <v>47349.48</v>
          </cell>
          <cell r="J707">
            <v>-1034.1300000000001</v>
          </cell>
          <cell r="K707">
            <v>-2.18E-2</v>
          </cell>
          <cell r="L707">
            <v>0</v>
          </cell>
          <cell r="M707">
            <v>46315.35</v>
          </cell>
          <cell r="N707">
            <v>0</v>
          </cell>
          <cell r="O707">
            <v>61200</v>
          </cell>
          <cell r="P707">
            <v>71885.960000000006</v>
          </cell>
          <cell r="Q707">
            <v>19008.689999999999</v>
          </cell>
        </row>
        <row r="708">
          <cell r="A708" t="str">
            <v>6225289729</v>
          </cell>
          <cell r="B708">
            <v>62252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</row>
        <row r="709">
          <cell r="A709" t="str">
            <v>6225289786</v>
          </cell>
          <cell r="B709">
            <v>62252</v>
          </cell>
          <cell r="C709">
            <v>89786</v>
          </cell>
          <cell r="D709" t="str">
            <v>Property Tax Exp</v>
          </cell>
          <cell r="E709">
            <v>52556.65</v>
          </cell>
          <cell r="F709">
            <v>52246</v>
          </cell>
          <cell r="G709">
            <v>310.650000000001</v>
          </cell>
          <cell r="H709">
            <v>5.8999999999999999E-3</v>
          </cell>
          <cell r="I709">
            <v>52614.94</v>
          </cell>
          <cell r="J709">
            <v>-58.290000000000902</v>
          </cell>
          <cell r="K709">
            <v>-1.1000000000000001E-3</v>
          </cell>
          <cell r="L709">
            <v>51249.36</v>
          </cell>
          <cell r="M709">
            <v>1307.29</v>
          </cell>
          <cell r="N709">
            <v>2.5499999999999998E-2</v>
          </cell>
          <cell r="O709">
            <v>78369</v>
          </cell>
          <cell r="P709">
            <v>78970.899999999994</v>
          </cell>
          <cell r="Q709">
            <v>-44536.3</v>
          </cell>
        </row>
        <row r="710">
          <cell r="A710" t="str">
            <v>6225271040</v>
          </cell>
          <cell r="B710">
            <v>62252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</row>
        <row r="711">
          <cell r="A711" t="str">
            <v>6225272701</v>
          </cell>
          <cell r="B711">
            <v>62252</v>
          </cell>
          <cell r="C711">
            <v>72701</v>
          </cell>
          <cell r="D711" t="str">
            <v>Utilities</v>
          </cell>
          <cell r="E711">
            <v>81.12</v>
          </cell>
          <cell r="F711">
            <v>0</v>
          </cell>
          <cell r="G711">
            <v>81.12</v>
          </cell>
          <cell r="H711">
            <v>0</v>
          </cell>
          <cell r="I711">
            <v>0</v>
          </cell>
          <cell r="J711">
            <v>81.12</v>
          </cell>
          <cell r="K711">
            <v>0</v>
          </cell>
          <cell r="L711">
            <v>0</v>
          </cell>
          <cell r="M711">
            <v>81.12</v>
          </cell>
          <cell r="N711">
            <v>0</v>
          </cell>
          <cell r="O711">
            <v>0</v>
          </cell>
          <cell r="P711">
            <v>0</v>
          </cell>
          <cell r="Q711">
            <v>-25.62</v>
          </cell>
        </row>
        <row r="712">
          <cell r="A712" t="str">
            <v>6225272855</v>
          </cell>
          <cell r="B712">
            <v>62252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</row>
        <row r="713">
          <cell r="A713" t="str">
            <v>6225272870</v>
          </cell>
          <cell r="B713">
            <v>62252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</row>
        <row r="714">
          <cell r="A714" t="str">
            <v>6225276010</v>
          </cell>
          <cell r="B714">
            <v>62252</v>
          </cell>
          <cell r="C714">
            <v>76010</v>
          </cell>
          <cell r="D714" t="str">
            <v>Tenant Alterations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246.2</v>
          </cell>
          <cell r="M714">
            <v>-246.2</v>
          </cell>
          <cell r="N714">
            <v>0</v>
          </cell>
          <cell r="O714">
            <v>0</v>
          </cell>
          <cell r="P714">
            <v>0</v>
          </cell>
          <cell r="Q714">
            <v>293.95999999999998</v>
          </cell>
        </row>
        <row r="715">
          <cell r="A715" t="str">
            <v>6225276040</v>
          </cell>
          <cell r="B715">
            <v>62252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</row>
        <row r="716">
          <cell r="A716" t="str">
            <v>6225276051</v>
          </cell>
          <cell r="B716">
            <v>62252</v>
          </cell>
          <cell r="C716">
            <v>76051</v>
          </cell>
          <cell r="D716" t="str">
            <v>Cleaning</v>
          </cell>
          <cell r="E716">
            <v>233.16</v>
          </cell>
          <cell r="F716">
            <v>0</v>
          </cell>
          <cell r="G716">
            <v>233.16</v>
          </cell>
          <cell r="H716">
            <v>0</v>
          </cell>
          <cell r="I716">
            <v>0</v>
          </cell>
          <cell r="J716">
            <v>233.16</v>
          </cell>
          <cell r="K716">
            <v>0</v>
          </cell>
          <cell r="L716">
            <v>0</v>
          </cell>
          <cell r="M716">
            <v>233.16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</row>
        <row r="717">
          <cell r="A717" t="str">
            <v>6225276054</v>
          </cell>
          <cell r="B717">
            <v>62252</v>
          </cell>
          <cell r="C717">
            <v>76054</v>
          </cell>
          <cell r="D717" t="str">
            <v>Bldg Maintenance &amp; Repair</v>
          </cell>
          <cell r="E717">
            <v>0</v>
          </cell>
          <cell r="F717">
            <v>51300</v>
          </cell>
          <cell r="G717">
            <v>-51300</v>
          </cell>
          <cell r="H717">
            <v>0</v>
          </cell>
          <cell r="I717">
            <v>53563</v>
          </cell>
          <cell r="J717">
            <v>-53563</v>
          </cell>
          <cell r="K717">
            <v>0</v>
          </cell>
          <cell r="L717">
            <v>1504.71</v>
          </cell>
          <cell r="M717">
            <v>-1504.71</v>
          </cell>
          <cell r="N717">
            <v>0</v>
          </cell>
          <cell r="O717">
            <v>51600</v>
          </cell>
          <cell r="P717">
            <v>53863</v>
          </cell>
          <cell r="Q717">
            <v>1622.85</v>
          </cell>
        </row>
        <row r="718">
          <cell r="A718" t="str">
            <v>6225276060</v>
          </cell>
          <cell r="B718">
            <v>62252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</row>
        <row r="719">
          <cell r="A719" t="str">
            <v>6225276071</v>
          </cell>
          <cell r="B719">
            <v>62252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</row>
        <row r="720">
          <cell r="A720" t="str">
            <v>6225276090</v>
          </cell>
          <cell r="B720">
            <v>62252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</row>
        <row r="721">
          <cell r="A721" t="str">
            <v>6225277001</v>
          </cell>
          <cell r="B721">
            <v>62252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</row>
        <row r="722">
          <cell r="A722" t="str">
            <v>6225277022</v>
          </cell>
          <cell r="B722">
            <v>62252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</row>
        <row r="723">
          <cell r="A723" t="str">
            <v>6225284200</v>
          </cell>
          <cell r="B723">
            <v>62252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</row>
        <row r="724">
          <cell r="A724" t="str">
            <v>6225284240</v>
          </cell>
          <cell r="B724">
            <v>62252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2433.7399999999998</v>
          </cell>
          <cell r="M724">
            <v>-2433.7399999999998</v>
          </cell>
          <cell r="N724">
            <v>0</v>
          </cell>
          <cell r="O724">
            <v>0</v>
          </cell>
          <cell r="P724">
            <v>0</v>
          </cell>
          <cell r="Q724">
            <v>3832.03</v>
          </cell>
        </row>
        <row r="725">
          <cell r="A725" t="str">
            <v>6225284242</v>
          </cell>
          <cell r="B725">
            <v>62252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</row>
        <row r="726">
          <cell r="A726" t="str">
            <v>6225284243</v>
          </cell>
          <cell r="B726">
            <v>62252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-6047.02</v>
          </cell>
        </row>
        <row r="727">
          <cell r="A727" t="str">
            <v>6225284244</v>
          </cell>
          <cell r="B727">
            <v>62252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</row>
        <row r="728">
          <cell r="A728" t="str">
            <v>6225284265</v>
          </cell>
          <cell r="B728">
            <v>62252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</row>
        <row r="729">
          <cell r="A729" t="str">
            <v>6225288037</v>
          </cell>
          <cell r="B729">
            <v>62252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</row>
        <row r="730">
          <cell r="A730" t="str">
            <v>6225285016</v>
          </cell>
          <cell r="B730">
            <v>62252</v>
          </cell>
          <cell r="C730">
            <v>85016</v>
          </cell>
          <cell r="D730" t="str">
            <v>Prof Svc-Attorney Outside</v>
          </cell>
          <cell r="E730">
            <v>1459.91</v>
          </cell>
          <cell r="F730">
            <v>1500</v>
          </cell>
          <cell r="G730">
            <v>-40.089999999999897</v>
          </cell>
          <cell r="H730">
            <v>-2.6700000000000002E-2</v>
          </cell>
          <cell r="I730">
            <v>3174.82</v>
          </cell>
          <cell r="J730">
            <v>-1714.91</v>
          </cell>
          <cell r="K730">
            <v>-0.54020000000000001</v>
          </cell>
          <cell r="L730">
            <v>1191.96</v>
          </cell>
          <cell r="M730">
            <v>267.95</v>
          </cell>
          <cell r="N730">
            <v>0.2248</v>
          </cell>
          <cell r="O730">
            <v>2000</v>
          </cell>
          <cell r="P730">
            <v>4174.82</v>
          </cell>
          <cell r="Q730">
            <v>1429.96</v>
          </cell>
        </row>
        <row r="731">
          <cell r="A731" t="str">
            <v>6225285022</v>
          </cell>
          <cell r="B731">
            <v>62252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1500</v>
          </cell>
          <cell r="G731">
            <v>-1500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1500</v>
          </cell>
          <cell r="P731">
            <v>0</v>
          </cell>
          <cell r="Q731">
            <v>0</v>
          </cell>
        </row>
        <row r="732">
          <cell r="A732" t="str">
            <v>6225285065</v>
          </cell>
          <cell r="B732">
            <v>62252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</row>
        <row r="733">
          <cell r="A733" t="str">
            <v>6225285500</v>
          </cell>
          <cell r="B733">
            <v>62252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</row>
        <row r="734">
          <cell r="A734" t="str">
            <v>6225285566</v>
          </cell>
          <cell r="B734">
            <v>62252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</row>
        <row r="735">
          <cell r="A735" t="str">
            <v>6225285581</v>
          </cell>
          <cell r="B735">
            <v>62252</v>
          </cell>
          <cell r="C735">
            <v>85581</v>
          </cell>
          <cell r="D735" t="str">
            <v>Bldg Admin- Salaries</v>
          </cell>
          <cell r="E735">
            <v>11915.12</v>
          </cell>
          <cell r="F735">
            <v>12468</v>
          </cell>
          <cell r="G735">
            <v>-552.87999999999897</v>
          </cell>
          <cell r="H735">
            <v>-4.4299999999999999E-2</v>
          </cell>
          <cell r="I735">
            <v>12103.84</v>
          </cell>
          <cell r="J735">
            <v>-188.719999999999</v>
          </cell>
          <cell r="K735">
            <v>-1.5599999999999999E-2</v>
          </cell>
          <cell r="L735">
            <v>10976.7</v>
          </cell>
          <cell r="M735">
            <v>938.42</v>
          </cell>
          <cell r="N735">
            <v>8.5500000000000007E-2</v>
          </cell>
          <cell r="O735">
            <v>18700</v>
          </cell>
          <cell r="P735">
            <v>18929.400000000001</v>
          </cell>
          <cell r="Q735">
            <v>17281.97</v>
          </cell>
        </row>
        <row r="736">
          <cell r="A736" t="str">
            <v>6225285583</v>
          </cell>
          <cell r="B736">
            <v>62252</v>
          </cell>
          <cell r="C736">
            <v>85583</v>
          </cell>
          <cell r="D736" t="str">
            <v>Bldg Admin-Office Exp.</v>
          </cell>
          <cell r="E736">
            <v>1972.64</v>
          </cell>
          <cell r="F736">
            <v>1908.64</v>
          </cell>
          <cell r="G736">
            <v>64</v>
          </cell>
          <cell r="H736">
            <v>3.3500000000000002E-2</v>
          </cell>
          <cell r="I736">
            <v>1953.66</v>
          </cell>
          <cell r="J736">
            <v>18.98</v>
          </cell>
          <cell r="K736">
            <v>9.7000000000000003E-3</v>
          </cell>
          <cell r="L736">
            <v>1849.11</v>
          </cell>
          <cell r="M736">
            <v>123.53</v>
          </cell>
          <cell r="N736">
            <v>6.6799999999999998E-2</v>
          </cell>
          <cell r="O736">
            <v>2883</v>
          </cell>
          <cell r="P736">
            <v>2868.21</v>
          </cell>
          <cell r="Q736">
            <v>2815.68</v>
          </cell>
        </row>
        <row r="737">
          <cell r="A737" t="str">
            <v>6225285530</v>
          </cell>
          <cell r="B737">
            <v>62252</v>
          </cell>
          <cell r="C737">
            <v>85530</v>
          </cell>
          <cell r="D737" t="str">
            <v>Bldg Admin - Office Exp</v>
          </cell>
          <cell r="E737">
            <v>1972.64</v>
          </cell>
          <cell r="F737">
            <v>1908.64</v>
          </cell>
          <cell r="G737">
            <v>64</v>
          </cell>
          <cell r="H737">
            <v>3.3500000000000002E-2</v>
          </cell>
          <cell r="I737">
            <v>1953.66</v>
          </cell>
          <cell r="J737">
            <v>18.98</v>
          </cell>
          <cell r="K737">
            <v>9.7000000000000003E-3</v>
          </cell>
          <cell r="L737">
            <v>1849.11</v>
          </cell>
          <cell r="M737">
            <v>123.53</v>
          </cell>
          <cell r="N737">
            <v>6.6799999999999998E-2</v>
          </cell>
          <cell r="O737">
            <v>2883</v>
          </cell>
          <cell r="P737">
            <v>2868.21</v>
          </cell>
          <cell r="Q737">
            <v>2815.68</v>
          </cell>
        </row>
        <row r="738">
          <cell r="A738" t="str">
            <v>6225286012</v>
          </cell>
          <cell r="B738">
            <v>62252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</row>
        <row r="739">
          <cell r="A739" t="str">
            <v>6225286037</v>
          </cell>
          <cell r="B739">
            <v>62252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</row>
        <row r="740">
          <cell r="A740" t="str">
            <v>6225283050</v>
          </cell>
          <cell r="B740">
            <v>62252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</row>
        <row r="741">
          <cell r="A741" t="str">
            <v>6225286510</v>
          </cell>
          <cell r="B741">
            <v>62252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</row>
        <row r="742">
          <cell r="A742" t="str">
            <v>6225286537</v>
          </cell>
          <cell r="B742">
            <v>62252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</row>
        <row r="743">
          <cell r="A743" t="str">
            <v>6225286566</v>
          </cell>
          <cell r="B743">
            <v>62252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</row>
        <row r="744">
          <cell r="A744" t="str">
            <v>6225286955</v>
          </cell>
          <cell r="B744">
            <v>62252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</row>
        <row r="745">
          <cell r="A745" t="str">
            <v>6225286985</v>
          </cell>
          <cell r="B745">
            <v>62252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323</v>
          </cell>
          <cell r="Q745">
            <v>0</v>
          </cell>
        </row>
        <row r="746">
          <cell r="A746" t="str">
            <v>6225286880</v>
          </cell>
          <cell r="B746">
            <v>62252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</row>
        <row r="747">
          <cell r="A747" t="str">
            <v>6225288710</v>
          </cell>
          <cell r="B747">
            <v>62252</v>
          </cell>
          <cell r="C747">
            <v>88710</v>
          </cell>
          <cell r="D747" t="str">
            <v>Losses-Bad Debts</v>
          </cell>
          <cell r="E747">
            <v>11163.4</v>
          </cell>
          <cell r="F747">
            <v>0</v>
          </cell>
          <cell r="G747">
            <v>11163.4</v>
          </cell>
          <cell r="H747">
            <v>0</v>
          </cell>
          <cell r="I747">
            <v>0</v>
          </cell>
          <cell r="J747">
            <v>11163.4</v>
          </cell>
          <cell r="K747">
            <v>0</v>
          </cell>
          <cell r="L747">
            <v>23308.42</v>
          </cell>
          <cell r="M747">
            <v>-12145.02</v>
          </cell>
          <cell r="N747">
            <v>-0.52110000000000001</v>
          </cell>
          <cell r="O747">
            <v>0</v>
          </cell>
          <cell r="P747">
            <v>0</v>
          </cell>
          <cell r="Q747">
            <v>125.419999999998</v>
          </cell>
        </row>
        <row r="748">
          <cell r="A748" t="str">
            <v>6225288711</v>
          </cell>
          <cell r="B748">
            <v>62252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</row>
        <row r="749">
          <cell r="A749" t="str">
            <v>6225288785</v>
          </cell>
          <cell r="B749">
            <v>62252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</row>
        <row r="750">
          <cell r="A750" t="str">
            <v>6225288847</v>
          </cell>
          <cell r="B750">
            <v>62252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</row>
        <row r="751">
          <cell r="A751" t="str">
            <v>6225288866</v>
          </cell>
          <cell r="B751">
            <v>62252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</row>
        <row r="752">
          <cell r="A752" t="str">
            <v>6225288870</v>
          </cell>
          <cell r="B752">
            <v>62252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</row>
        <row r="753">
          <cell r="A753" t="str">
            <v>6225288889</v>
          </cell>
          <cell r="B753">
            <v>62252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</row>
        <row r="754">
          <cell r="A754" t="str">
            <v>6225289776</v>
          </cell>
          <cell r="B754">
            <v>62252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</row>
        <row r="755">
          <cell r="A755" t="str">
            <v>6225289787</v>
          </cell>
          <cell r="B755">
            <v>62252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A756" t="str">
            <v>6225289510</v>
          </cell>
          <cell r="B756">
            <v>62252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A757" t="str">
            <v>6225289511</v>
          </cell>
          <cell r="B757">
            <v>62252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</row>
        <row r="758">
          <cell r="A758" t="str">
            <v>6225289512</v>
          </cell>
          <cell r="B758">
            <v>62252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</row>
        <row r="759">
          <cell r="A759" t="str">
            <v>6225289528</v>
          </cell>
          <cell r="B759">
            <v>62252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</row>
        <row r="760">
          <cell r="A760" t="str">
            <v>6225289529</v>
          </cell>
          <cell r="B760">
            <v>62252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</row>
        <row r="761">
          <cell r="A761" t="str">
            <v>6225289567</v>
          </cell>
          <cell r="B761">
            <v>62252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</row>
        <row r="762">
          <cell r="A762" t="str">
            <v>6225285058</v>
          </cell>
          <cell r="B762">
            <v>62252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</row>
        <row r="763">
          <cell r="A763" t="str">
            <v>6225286513</v>
          </cell>
          <cell r="B763">
            <v>62252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1694.61</v>
          </cell>
          <cell r="G763">
            <v>-1694.61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2506.17</v>
          </cell>
          <cell r="P763">
            <v>0</v>
          </cell>
          <cell r="Q763">
            <v>0</v>
          </cell>
        </row>
        <row r="764">
          <cell r="A764" t="str">
            <v>6225286519</v>
          </cell>
          <cell r="B764">
            <v>62252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</row>
        <row r="765">
          <cell r="A765" t="str">
            <v>6225288770</v>
          </cell>
          <cell r="B765">
            <v>62252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</row>
        <row r="766">
          <cell r="A766" t="str">
            <v>6225288862</v>
          </cell>
          <cell r="B766">
            <v>62252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</row>
        <row r="767">
          <cell r="A767" t="str">
            <v>6225288874</v>
          </cell>
          <cell r="B767">
            <v>62252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</row>
        <row r="768">
          <cell r="A768" t="str">
            <v>6225289910</v>
          </cell>
          <cell r="B768">
            <v>62252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183531.51999999999</v>
          </cell>
          <cell r="G768">
            <v>-183531.51999999999</v>
          </cell>
          <cell r="H768">
            <v>0</v>
          </cell>
          <cell r="I768">
            <v>152298.43</v>
          </cell>
          <cell r="J768">
            <v>-152298.43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273151.28999999998</v>
          </cell>
          <cell r="P768">
            <v>228060.31</v>
          </cell>
          <cell r="Q768">
            <v>0</v>
          </cell>
        </row>
        <row r="769">
          <cell r="A769" t="str">
            <v>6225289548</v>
          </cell>
          <cell r="B769">
            <v>62252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</row>
        <row r="770">
          <cell r="A770" t="str">
            <v>6227541010</v>
          </cell>
          <cell r="B770">
            <v>62275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</row>
        <row r="771">
          <cell r="A771" t="str">
            <v>6227541040</v>
          </cell>
          <cell r="B771">
            <v>62275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</row>
        <row r="772">
          <cell r="A772" t="str">
            <v>6227541050</v>
          </cell>
          <cell r="B772">
            <v>62275</v>
          </cell>
          <cell r="C772">
            <v>41050</v>
          </cell>
          <cell r="D772" t="str">
            <v>Rental Income - Fixed</v>
          </cell>
          <cell r="E772">
            <v>-264779.02</v>
          </cell>
          <cell r="F772">
            <v>-260061.58</v>
          </cell>
          <cell r="G772">
            <v>-4717.4400000000296</v>
          </cell>
          <cell r="H772">
            <v>1.8100000000000002E-2</v>
          </cell>
          <cell r="I772">
            <v>-263787.40999999997</v>
          </cell>
          <cell r="J772">
            <v>-991.61000000004401</v>
          </cell>
          <cell r="K772">
            <v>3.8E-3</v>
          </cell>
          <cell r="L772">
            <v>-271925.52</v>
          </cell>
          <cell r="M772">
            <v>7146.5</v>
          </cell>
          <cell r="N772">
            <v>-2.63E-2</v>
          </cell>
          <cell r="O772">
            <v>-408856.76</v>
          </cell>
          <cell r="P772">
            <v>-411318.05</v>
          </cell>
          <cell r="Q772">
            <v>-391321.74</v>
          </cell>
        </row>
        <row r="773">
          <cell r="A773" t="str">
            <v>6227541074</v>
          </cell>
          <cell r="B773">
            <v>62275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</row>
        <row r="774">
          <cell r="A774" t="str">
            <v>6227541082</v>
          </cell>
          <cell r="B774">
            <v>62275</v>
          </cell>
          <cell r="C774">
            <v>41082</v>
          </cell>
          <cell r="D774" t="str">
            <v>Rental Income - Operating Exp</v>
          </cell>
          <cell r="E774">
            <v>-56689.25</v>
          </cell>
          <cell r="F774">
            <v>-93011.6</v>
          </cell>
          <cell r="G774">
            <v>36322.35</v>
          </cell>
          <cell r="H774">
            <v>-0.39050000000000001</v>
          </cell>
          <cell r="I774">
            <v>-68595.070000000007</v>
          </cell>
          <cell r="J774">
            <v>11905.82</v>
          </cell>
          <cell r="K774">
            <v>-0.1736</v>
          </cell>
          <cell r="L774">
            <v>-91009.09</v>
          </cell>
          <cell r="M774">
            <v>34319.839999999997</v>
          </cell>
          <cell r="N774">
            <v>-0.37709999999999999</v>
          </cell>
          <cell r="O774">
            <v>-139517.4</v>
          </cell>
          <cell r="P774">
            <v>-115531.07</v>
          </cell>
          <cell r="Q774">
            <v>-107805.94</v>
          </cell>
        </row>
        <row r="775">
          <cell r="A775" t="str">
            <v>6227544610</v>
          </cell>
          <cell r="B775">
            <v>62275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</row>
        <row r="776">
          <cell r="A776" t="str">
            <v>6227545071</v>
          </cell>
          <cell r="B776">
            <v>62275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-45318.17</v>
          </cell>
          <cell r="M776">
            <v>45318.17</v>
          </cell>
          <cell r="N776">
            <v>0</v>
          </cell>
          <cell r="O776">
            <v>0</v>
          </cell>
          <cell r="P776">
            <v>0</v>
          </cell>
          <cell r="Q776">
            <v>-45318.17</v>
          </cell>
        </row>
        <row r="777">
          <cell r="A777" t="str">
            <v>6227545010</v>
          </cell>
          <cell r="B777">
            <v>62275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</row>
        <row r="778">
          <cell r="A778" t="str">
            <v>6227545046</v>
          </cell>
          <cell r="B778">
            <v>62275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</row>
        <row r="779">
          <cell r="A779" t="str">
            <v>6227545070</v>
          </cell>
          <cell r="B779">
            <v>62275</v>
          </cell>
          <cell r="C779">
            <v>45070</v>
          </cell>
          <cell r="D779" t="str">
            <v>Other Income</v>
          </cell>
          <cell r="E779">
            <v>-9999.9</v>
          </cell>
          <cell r="F779">
            <v>-57</v>
          </cell>
          <cell r="G779">
            <v>-9942.9</v>
          </cell>
          <cell r="H779">
            <v>174.43680000000001</v>
          </cell>
          <cell r="I779">
            <v>-10056.9</v>
          </cell>
          <cell r="J779">
            <v>57</v>
          </cell>
          <cell r="K779">
            <v>-5.7000000000000002E-3</v>
          </cell>
          <cell r="L779">
            <v>0</v>
          </cell>
          <cell r="M779">
            <v>-9999.9</v>
          </cell>
          <cell r="N779">
            <v>0</v>
          </cell>
          <cell r="O779">
            <v>-269</v>
          </cell>
          <cell r="P779">
            <v>-10268.9</v>
          </cell>
          <cell r="Q779">
            <v>-11250.86</v>
          </cell>
        </row>
        <row r="780">
          <cell r="A780" t="str">
            <v>6227541060</v>
          </cell>
          <cell r="B780">
            <v>62275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</row>
        <row r="781">
          <cell r="A781" t="str">
            <v>6227544870</v>
          </cell>
          <cell r="B781">
            <v>62275</v>
          </cell>
          <cell r="C781">
            <v>44870</v>
          </cell>
          <cell r="D781" t="str">
            <v>Late Fees</v>
          </cell>
          <cell r="E781">
            <v>-2263.89</v>
          </cell>
          <cell r="F781">
            <v>0</v>
          </cell>
          <cell r="G781">
            <v>-2263.89</v>
          </cell>
          <cell r="H781">
            <v>0</v>
          </cell>
          <cell r="I781">
            <v>-2263.89</v>
          </cell>
          <cell r="J781">
            <v>0</v>
          </cell>
          <cell r="K781">
            <v>0</v>
          </cell>
          <cell r="L781">
            <v>0</v>
          </cell>
          <cell r="M781">
            <v>-2263.89</v>
          </cell>
          <cell r="N781">
            <v>0</v>
          </cell>
          <cell r="O781">
            <v>0</v>
          </cell>
          <cell r="P781">
            <v>-2263.89</v>
          </cell>
          <cell r="Q781">
            <v>0</v>
          </cell>
        </row>
        <row r="782">
          <cell r="A782" t="str">
            <v>6227552542</v>
          </cell>
          <cell r="B782">
            <v>62275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</row>
        <row r="783">
          <cell r="A783" t="str">
            <v>6227572710</v>
          </cell>
          <cell r="B783">
            <v>62275</v>
          </cell>
          <cell r="C783">
            <v>72710</v>
          </cell>
          <cell r="D783" t="str">
            <v>Utilities - Electricity</v>
          </cell>
          <cell r="E783">
            <v>2248.9699999999998</v>
          </cell>
          <cell r="F783">
            <v>2960</v>
          </cell>
          <cell r="G783">
            <v>-711.03</v>
          </cell>
          <cell r="H783">
            <v>-0.2402</v>
          </cell>
          <cell r="I783">
            <v>1978.64</v>
          </cell>
          <cell r="J783">
            <v>270.33</v>
          </cell>
          <cell r="K783">
            <v>0.1366</v>
          </cell>
          <cell r="L783">
            <v>3258.62</v>
          </cell>
          <cell r="M783">
            <v>-1009.65</v>
          </cell>
          <cell r="N783">
            <v>-0.30980000000000002</v>
          </cell>
          <cell r="O783">
            <v>4440</v>
          </cell>
          <cell r="P783">
            <v>3218.64</v>
          </cell>
          <cell r="Q783">
            <v>4346.5200000000004</v>
          </cell>
        </row>
        <row r="784">
          <cell r="A784" t="str">
            <v>6227572740</v>
          </cell>
          <cell r="B784">
            <v>62275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</row>
        <row r="785">
          <cell r="A785" t="str">
            <v>6227572770</v>
          </cell>
          <cell r="B785">
            <v>62275</v>
          </cell>
          <cell r="C785">
            <v>72770</v>
          </cell>
          <cell r="D785" t="str">
            <v>Utilities - Water</v>
          </cell>
          <cell r="E785">
            <v>3144.61</v>
          </cell>
          <cell r="F785">
            <v>4400</v>
          </cell>
          <cell r="G785">
            <v>-1255.3900000000001</v>
          </cell>
          <cell r="H785">
            <v>-0.2853</v>
          </cell>
          <cell r="I785">
            <v>3757.23</v>
          </cell>
          <cell r="J785">
            <v>-612.62</v>
          </cell>
          <cell r="K785">
            <v>-0.16309999999999999</v>
          </cell>
          <cell r="L785">
            <v>4395.25</v>
          </cell>
          <cell r="M785">
            <v>-1250.6400000000001</v>
          </cell>
          <cell r="N785">
            <v>-0.28449999999999998</v>
          </cell>
          <cell r="O785">
            <v>6600</v>
          </cell>
          <cell r="P785">
            <v>5657.23</v>
          </cell>
          <cell r="Q785">
            <v>5706.24</v>
          </cell>
        </row>
        <row r="786">
          <cell r="A786" t="str">
            <v>6227576000</v>
          </cell>
          <cell r="B786">
            <v>62275</v>
          </cell>
          <cell r="C786">
            <v>76000</v>
          </cell>
          <cell r="D786" t="str">
            <v>Bldg Maintenance &amp; Repair</v>
          </cell>
          <cell r="E786">
            <v>10096.51</v>
          </cell>
          <cell r="F786">
            <v>15138</v>
          </cell>
          <cell r="G786">
            <v>-5041.49</v>
          </cell>
          <cell r="H786">
            <v>-0.33300000000000002</v>
          </cell>
          <cell r="I786">
            <v>18614.150000000001</v>
          </cell>
          <cell r="J786">
            <v>-8517.64</v>
          </cell>
          <cell r="K786">
            <v>-0.45760000000000001</v>
          </cell>
          <cell r="L786">
            <v>9820.25</v>
          </cell>
          <cell r="M786">
            <v>276.26</v>
          </cell>
          <cell r="N786">
            <v>2.81E-2</v>
          </cell>
          <cell r="O786">
            <v>24339</v>
          </cell>
          <cell r="P786">
            <v>28303.63</v>
          </cell>
          <cell r="Q786">
            <v>13028.24</v>
          </cell>
        </row>
        <row r="787">
          <cell r="A787" t="str">
            <v>6227576020</v>
          </cell>
          <cell r="B787">
            <v>62275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</row>
        <row r="788">
          <cell r="A788" t="str">
            <v>6227576034</v>
          </cell>
          <cell r="B788">
            <v>62275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</row>
        <row r="789">
          <cell r="A789" t="str">
            <v>6227576050</v>
          </cell>
          <cell r="B789">
            <v>62275</v>
          </cell>
          <cell r="C789">
            <v>76050</v>
          </cell>
          <cell r="D789" t="str">
            <v>Cleaning Expense</v>
          </cell>
          <cell r="E789">
            <v>8208.2000000000007</v>
          </cell>
          <cell r="F789">
            <v>7920</v>
          </cell>
          <cell r="G789">
            <v>288.20000000000101</v>
          </cell>
          <cell r="H789">
            <v>3.6400000000000002E-2</v>
          </cell>
          <cell r="I789">
            <v>8409.4699999999993</v>
          </cell>
          <cell r="J789">
            <v>-201.26999999999899</v>
          </cell>
          <cell r="K789">
            <v>-2.3900000000000001E-2</v>
          </cell>
          <cell r="L789">
            <v>7875.71</v>
          </cell>
          <cell r="M789">
            <v>332.49000000000098</v>
          </cell>
          <cell r="N789">
            <v>4.2200000000000001E-2</v>
          </cell>
          <cell r="O789">
            <v>11980</v>
          </cell>
          <cell r="P789">
            <v>12469.47</v>
          </cell>
          <cell r="Q789">
            <v>11623.52</v>
          </cell>
        </row>
        <row r="790">
          <cell r="A790" t="str">
            <v>6227576056</v>
          </cell>
          <cell r="B790">
            <v>62275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</row>
        <row r="791">
          <cell r="A791" t="str">
            <v>6227576070</v>
          </cell>
          <cell r="B791">
            <v>62275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</row>
        <row r="792">
          <cell r="A792" t="str">
            <v>6227576091</v>
          </cell>
          <cell r="B792">
            <v>62275</v>
          </cell>
          <cell r="C792">
            <v>76091</v>
          </cell>
          <cell r="D792" t="str">
            <v>Parking Maintenance</v>
          </cell>
          <cell r="E792">
            <v>7688</v>
          </cell>
          <cell r="F792">
            <v>7788</v>
          </cell>
          <cell r="G792">
            <v>-100</v>
          </cell>
          <cell r="H792">
            <v>-1.2800000000000001E-2</v>
          </cell>
          <cell r="I792">
            <v>7612</v>
          </cell>
          <cell r="J792">
            <v>76</v>
          </cell>
          <cell r="K792">
            <v>0.01</v>
          </cell>
          <cell r="L792">
            <v>11195.14</v>
          </cell>
          <cell r="M792">
            <v>-3507.14</v>
          </cell>
          <cell r="N792">
            <v>-0.31330000000000002</v>
          </cell>
          <cell r="O792">
            <v>11682</v>
          </cell>
          <cell r="P792">
            <v>11856</v>
          </cell>
          <cell r="Q792">
            <v>15975.72</v>
          </cell>
        </row>
        <row r="793">
          <cell r="A793" t="str">
            <v>6227577000</v>
          </cell>
          <cell r="B793">
            <v>62275</v>
          </cell>
          <cell r="C793">
            <v>77000</v>
          </cell>
          <cell r="D793" t="str">
            <v>Grounds Maintenance</v>
          </cell>
          <cell r="E793">
            <v>4824.5</v>
          </cell>
          <cell r="F793">
            <v>5330.64</v>
          </cell>
          <cell r="G793">
            <v>-506.14</v>
          </cell>
          <cell r="H793">
            <v>-9.4899999999999998E-2</v>
          </cell>
          <cell r="I793">
            <v>5107.1499999999996</v>
          </cell>
          <cell r="J793">
            <v>-282.64999999999998</v>
          </cell>
          <cell r="K793">
            <v>-5.5300000000000002E-2</v>
          </cell>
          <cell r="L793">
            <v>10222.85</v>
          </cell>
          <cell r="M793">
            <v>-5398.35</v>
          </cell>
          <cell r="N793">
            <v>-0.52810000000000001</v>
          </cell>
          <cell r="O793">
            <v>7366</v>
          </cell>
          <cell r="P793">
            <v>7546.15</v>
          </cell>
          <cell r="Q793">
            <v>11257.62</v>
          </cell>
        </row>
        <row r="794">
          <cell r="A794" t="str">
            <v>6227577053</v>
          </cell>
          <cell r="B794">
            <v>62275</v>
          </cell>
          <cell r="C794">
            <v>77053</v>
          </cell>
          <cell r="D794" t="str">
            <v>Landscaping</v>
          </cell>
          <cell r="E794">
            <v>8551.44</v>
          </cell>
          <cell r="F794">
            <v>13022</v>
          </cell>
          <cell r="G794">
            <v>-4470.5600000000004</v>
          </cell>
          <cell r="H794">
            <v>-0.34329999999999999</v>
          </cell>
          <cell r="I794">
            <v>8534.09</v>
          </cell>
          <cell r="J794">
            <v>17.350000000000399</v>
          </cell>
          <cell r="K794">
            <v>2E-3</v>
          </cell>
          <cell r="L794">
            <v>6179.57</v>
          </cell>
          <cell r="M794">
            <v>2371.87</v>
          </cell>
          <cell r="N794">
            <v>0.38379999999999997</v>
          </cell>
          <cell r="O794">
            <v>18572</v>
          </cell>
          <cell r="P794">
            <v>14809.09</v>
          </cell>
          <cell r="Q794">
            <v>11781.61</v>
          </cell>
        </row>
        <row r="795">
          <cell r="A795" t="str">
            <v>6227578020</v>
          </cell>
          <cell r="B795">
            <v>62275</v>
          </cell>
          <cell r="C795">
            <v>78020</v>
          </cell>
          <cell r="D795" t="str">
            <v>Amortized CAM Exp</v>
          </cell>
          <cell r="E795">
            <v>10506.54</v>
          </cell>
          <cell r="F795">
            <v>13333.36</v>
          </cell>
          <cell r="G795">
            <v>-2826.82</v>
          </cell>
          <cell r="H795">
            <v>-0.21199999999999999</v>
          </cell>
          <cell r="I795">
            <v>10976.3</v>
          </cell>
          <cell r="J795">
            <v>-469.759999999998</v>
          </cell>
          <cell r="K795">
            <v>-4.2799999999999998E-2</v>
          </cell>
          <cell r="L795">
            <v>6664</v>
          </cell>
          <cell r="M795">
            <v>3842.54</v>
          </cell>
          <cell r="N795">
            <v>0.5766</v>
          </cell>
          <cell r="O795">
            <v>20000</v>
          </cell>
          <cell r="P795">
            <v>13711.3</v>
          </cell>
          <cell r="Q795">
            <v>0</v>
          </cell>
        </row>
        <row r="796">
          <cell r="A796" t="str">
            <v>6227584264</v>
          </cell>
          <cell r="B796">
            <v>62275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</row>
        <row r="797">
          <cell r="A797" t="str">
            <v>6227585555</v>
          </cell>
          <cell r="B797">
            <v>62275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</row>
        <row r="798">
          <cell r="A798" t="str">
            <v>6227585584</v>
          </cell>
          <cell r="B798">
            <v>62275</v>
          </cell>
          <cell r="C798">
            <v>85584</v>
          </cell>
          <cell r="D798" t="str">
            <v>Bldg Admin-Office Costs</v>
          </cell>
          <cell r="E798">
            <v>841.42</v>
          </cell>
          <cell r="F798">
            <v>800</v>
          </cell>
          <cell r="G798">
            <v>41.42</v>
          </cell>
          <cell r="H798">
            <v>5.1799999999999999E-2</v>
          </cell>
          <cell r="I798">
            <v>825.14</v>
          </cell>
          <cell r="J798">
            <v>16.28</v>
          </cell>
          <cell r="K798">
            <v>1.9699999999999999E-2</v>
          </cell>
          <cell r="L798">
            <v>685.85</v>
          </cell>
          <cell r="M798">
            <v>155.57</v>
          </cell>
          <cell r="N798">
            <v>0.2268</v>
          </cell>
          <cell r="O798">
            <v>1200</v>
          </cell>
          <cell r="P798">
            <v>1219.49</v>
          </cell>
          <cell r="Q798">
            <v>1139.68</v>
          </cell>
        </row>
        <row r="799">
          <cell r="A799" t="str">
            <v>6227585582</v>
          </cell>
          <cell r="B799">
            <v>62275</v>
          </cell>
          <cell r="C799">
            <v>85582</v>
          </cell>
          <cell r="D799" t="str">
            <v>Bldg Admin-Salaries</v>
          </cell>
          <cell r="E799">
            <v>5443.14</v>
          </cell>
          <cell r="F799">
            <v>5399.36</v>
          </cell>
          <cell r="G799">
            <v>43.780000000000697</v>
          </cell>
          <cell r="H799">
            <v>8.0999999999999996E-3</v>
          </cell>
          <cell r="I799">
            <v>5511.47</v>
          </cell>
          <cell r="J799">
            <v>-68.329999999999899</v>
          </cell>
          <cell r="K799">
            <v>-1.24E-2</v>
          </cell>
          <cell r="L799">
            <v>4756.9399999999996</v>
          </cell>
          <cell r="M799">
            <v>686.20000000000095</v>
          </cell>
          <cell r="N799">
            <v>0.14430000000000001</v>
          </cell>
          <cell r="O799">
            <v>8099</v>
          </cell>
          <cell r="P799">
            <v>8480.52</v>
          </cell>
          <cell r="Q799">
            <v>7709.92</v>
          </cell>
        </row>
        <row r="800">
          <cell r="A800" t="str">
            <v>6227586564</v>
          </cell>
          <cell r="B800">
            <v>62275</v>
          </cell>
          <cell r="C800">
            <v>86564</v>
          </cell>
          <cell r="D800" t="str">
            <v>Insurance</v>
          </cell>
          <cell r="E800">
            <v>4512</v>
          </cell>
          <cell r="F800">
            <v>5310</v>
          </cell>
          <cell r="G800">
            <v>-798</v>
          </cell>
          <cell r="H800">
            <v>-0.15029999999999999</v>
          </cell>
          <cell r="I800">
            <v>4355.76</v>
          </cell>
          <cell r="J800">
            <v>156.24</v>
          </cell>
          <cell r="K800">
            <v>3.5900000000000001E-2</v>
          </cell>
          <cell r="L800">
            <v>4616</v>
          </cell>
          <cell r="M800">
            <v>-104</v>
          </cell>
          <cell r="N800">
            <v>-2.2499999999999999E-2</v>
          </cell>
          <cell r="O800">
            <v>7965</v>
          </cell>
          <cell r="P800">
            <v>6403.4</v>
          </cell>
          <cell r="Q800">
            <v>6926</v>
          </cell>
        </row>
        <row r="801">
          <cell r="A801" t="str">
            <v>6227588846</v>
          </cell>
          <cell r="B801">
            <v>62275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3245</v>
          </cell>
          <cell r="Q801">
            <v>0</v>
          </cell>
        </row>
        <row r="802">
          <cell r="A802" t="str">
            <v>6227588890</v>
          </cell>
          <cell r="B802">
            <v>62275</v>
          </cell>
          <cell r="C802">
            <v>88890</v>
          </cell>
          <cell r="D802" t="str">
            <v>Security/Safety</v>
          </cell>
          <cell r="E802">
            <v>163.08000000000001</v>
          </cell>
          <cell r="F802">
            <v>0</v>
          </cell>
          <cell r="G802">
            <v>163.08000000000001</v>
          </cell>
          <cell r="H802">
            <v>0</v>
          </cell>
          <cell r="I802">
            <v>3.08</v>
          </cell>
          <cell r="J802">
            <v>160</v>
          </cell>
          <cell r="K802">
            <v>51.948099999999997</v>
          </cell>
          <cell r="L802">
            <v>0</v>
          </cell>
          <cell r="M802">
            <v>163.08000000000001</v>
          </cell>
          <cell r="N802">
            <v>0</v>
          </cell>
          <cell r="O802">
            <v>0</v>
          </cell>
          <cell r="P802">
            <v>3.08</v>
          </cell>
          <cell r="Q802">
            <v>17.22</v>
          </cell>
        </row>
        <row r="803">
          <cell r="A803" t="str">
            <v>6227589775</v>
          </cell>
          <cell r="B803">
            <v>62275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</row>
        <row r="804">
          <cell r="A804" t="str">
            <v>6227589729</v>
          </cell>
          <cell r="B804">
            <v>62275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</row>
        <row r="805">
          <cell r="A805" t="str">
            <v>6227589786</v>
          </cell>
          <cell r="B805">
            <v>62275</v>
          </cell>
          <cell r="C805">
            <v>89786</v>
          </cell>
          <cell r="D805" t="str">
            <v>Property Tax Exp</v>
          </cell>
          <cell r="E805">
            <v>-7611.37</v>
          </cell>
          <cell r="F805">
            <v>15594</v>
          </cell>
          <cell r="G805">
            <v>-23205.37</v>
          </cell>
          <cell r="H805">
            <v>-1.4881</v>
          </cell>
          <cell r="I805">
            <v>-4639.5200000000004</v>
          </cell>
          <cell r="J805">
            <v>-2971.85</v>
          </cell>
          <cell r="K805">
            <v>0.64059999999999995</v>
          </cell>
          <cell r="L805">
            <v>15244</v>
          </cell>
          <cell r="M805">
            <v>-22855.37</v>
          </cell>
          <cell r="N805">
            <v>-1.4993000000000001</v>
          </cell>
          <cell r="O805">
            <v>23391</v>
          </cell>
          <cell r="P805">
            <v>3117.96</v>
          </cell>
          <cell r="Q805">
            <v>22866.48</v>
          </cell>
        </row>
        <row r="806">
          <cell r="A806" t="str">
            <v>6227571040</v>
          </cell>
          <cell r="B806">
            <v>62275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</row>
        <row r="807">
          <cell r="A807" t="str">
            <v>6227572701</v>
          </cell>
          <cell r="B807">
            <v>62275</v>
          </cell>
          <cell r="C807">
            <v>72701</v>
          </cell>
          <cell r="D807" t="str">
            <v>Utilities</v>
          </cell>
          <cell r="E807">
            <v>207.13</v>
          </cell>
          <cell r="F807">
            <v>0</v>
          </cell>
          <cell r="G807">
            <v>207.13</v>
          </cell>
          <cell r="H807">
            <v>0</v>
          </cell>
          <cell r="I807">
            <v>294.64</v>
          </cell>
          <cell r="J807">
            <v>-87.51</v>
          </cell>
          <cell r="K807">
            <v>-0.29699999999999999</v>
          </cell>
          <cell r="L807">
            <v>399.71</v>
          </cell>
          <cell r="M807">
            <v>-192.58</v>
          </cell>
          <cell r="N807">
            <v>-0.48180000000000001</v>
          </cell>
          <cell r="O807">
            <v>0</v>
          </cell>
          <cell r="P807">
            <v>494.64</v>
          </cell>
          <cell r="Q807">
            <v>551.95000000000005</v>
          </cell>
        </row>
        <row r="808">
          <cell r="A808" t="str">
            <v>6227572855</v>
          </cell>
          <cell r="B808">
            <v>62275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</row>
        <row r="809">
          <cell r="A809" t="str">
            <v>6227572870</v>
          </cell>
          <cell r="B809">
            <v>62275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</row>
        <row r="810">
          <cell r="A810" t="str">
            <v>6227576010</v>
          </cell>
          <cell r="B810">
            <v>62275</v>
          </cell>
          <cell r="C810">
            <v>76010</v>
          </cell>
          <cell r="D810" t="str">
            <v>Tenant Alterations</v>
          </cell>
          <cell r="E810">
            <v>50</v>
          </cell>
          <cell r="F810">
            <v>0</v>
          </cell>
          <cell r="G810">
            <v>50</v>
          </cell>
          <cell r="H810">
            <v>0</v>
          </cell>
          <cell r="I810">
            <v>50</v>
          </cell>
          <cell r="J810">
            <v>0</v>
          </cell>
          <cell r="K810">
            <v>0</v>
          </cell>
          <cell r="L810">
            <v>98.13</v>
          </cell>
          <cell r="M810">
            <v>-48.13</v>
          </cell>
          <cell r="N810">
            <v>-0.49049999999999999</v>
          </cell>
          <cell r="O810">
            <v>0</v>
          </cell>
          <cell r="P810">
            <v>50</v>
          </cell>
          <cell r="Q810">
            <v>233.84</v>
          </cell>
        </row>
        <row r="811">
          <cell r="A811" t="str">
            <v>6227576040</v>
          </cell>
          <cell r="B811">
            <v>62275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</row>
        <row r="812">
          <cell r="A812" t="str">
            <v>6227576051</v>
          </cell>
          <cell r="B812">
            <v>62275</v>
          </cell>
          <cell r="C812">
            <v>76051</v>
          </cell>
          <cell r="D812" t="str">
            <v>Cleaning</v>
          </cell>
          <cell r="E812">
            <v>347.85</v>
          </cell>
          <cell r="F812">
            <v>0</v>
          </cell>
          <cell r="G812">
            <v>347.85</v>
          </cell>
          <cell r="H812">
            <v>0</v>
          </cell>
          <cell r="I812">
            <v>0</v>
          </cell>
          <cell r="J812">
            <v>347.85</v>
          </cell>
          <cell r="K812">
            <v>0</v>
          </cell>
          <cell r="L812">
            <v>0</v>
          </cell>
          <cell r="M812">
            <v>347.85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</row>
        <row r="813">
          <cell r="A813" t="str">
            <v>6227576054</v>
          </cell>
          <cell r="B813">
            <v>62275</v>
          </cell>
          <cell r="C813">
            <v>76054</v>
          </cell>
          <cell r="D813" t="str">
            <v>Bldg Maintenance &amp; Repair</v>
          </cell>
          <cell r="E813">
            <v>375</v>
          </cell>
          <cell r="F813">
            <v>300</v>
          </cell>
          <cell r="G813">
            <v>75</v>
          </cell>
          <cell r="H813">
            <v>0.25</v>
          </cell>
          <cell r="I813">
            <v>2838</v>
          </cell>
          <cell r="J813">
            <v>-2463</v>
          </cell>
          <cell r="K813">
            <v>-0.8679</v>
          </cell>
          <cell r="L813">
            <v>0</v>
          </cell>
          <cell r="M813">
            <v>375</v>
          </cell>
          <cell r="N813">
            <v>0</v>
          </cell>
          <cell r="O813">
            <v>400</v>
          </cell>
          <cell r="P813">
            <v>3038</v>
          </cell>
          <cell r="Q813">
            <v>102.28</v>
          </cell>
        </row>
        <row r="814">
          <cell r="A814" t="str">
            <v>6227576060</v>
          </cell>
          <cell r="B814">
            <v>62275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</row>
        <row r="815">
          <cell r="A815" t="str">
            <v>6227576071</v>
          </cell>
          <cell r="B815">
            <v>62275</v>
          </cell>
          <cell r="C815">
            <v>76071</v>
          </cell>
          <cell r="D815" t="str">
            <v>Reimaging Maintenance</v>
          </cell>
          <cell r="E815">
            <v>10521.97</v>
          </cell>
          <cell r="F815">
            <v>15000</v>
          </cell>
          <cell r="G815">
            <v>-4478.03</v>
          </cell>
          <cell r="H815">
            <v>-0.29849999999999999</v>
          </cell>
          <cell r="I815">
            <v>9602</v>
          </cell>
          <cell r="J815">
            <v>919.969999999999</v>
          </cell>
          <cell r="K815">
            <v>9.5799999999999996E-2</v>
          </cell>
          <cell r="L815">
            <v>0</v>
          </cell>
          <cell r="M815">
            <v>10521.97</v>
          </cell>
          <cell r="N815">
            <v>0</v>
          </cell>
          <cell r="O815">
            <v>15000</v>
          </cell>
          <cell r="P815">
            <v>9602</v>
          </cell>
          <cell r="Q815">
            <v>0</v>
          </cell>
        </row>
        <row r="816">
          <cell r="A816" t="str">
            <v>6227576090</v>
          </cell>
          <cell r="B816">
            <v>62275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</row>
        <row r="817">
          <cell r="A817" t="str">
            <v>6227577001</v>
          </cell>
          <cell r="B817">
            <v>62275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</row>
        <row r="818">
          <cell r="A818" t="str">
            <v>6227577022</v>
          </cell>
          <cell r="B818">
            <v>62275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</row>
        <row r="819">
          <cell r="A819" t="str">
            <v>6227584200</v>
          </cell>
          <cell r="B819">
            <v>62275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</row>
        <row r="820">
          <cell r="A820" t="str">
            <v>6227584240</v>
          </cell>
          <cell r="B820">
            <v>62275</v>
          </cell>
          <cell r="C820">
            <v>84240</v>
          </cell>
          <cell r="D820" t="str">
            <v>Marketing Leasing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</row>
        <row r="821">
          <cell r="A821" t="str">
            <v>6227584242</v>
          </cell>
          <cell r="B821">
            <v>62275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</row>
        <row r="822">
          <cell r="A822" t="str">
            <v>6227584243</v>
          </cell>
          <cell r="B822">
            <v>62275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</row>
        <row r="823">
          <cell r="A823" t="str">
            <v>6227584244</v>
          </cell>
          <cell r="B823">
            <v>62275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</row>
        <row r="824">
          <cell r="A824" t="str">
            <v>6227584265</v>
          </cell>
          <cell r="B824">
            <v>62275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</row>
        <row r="825">
          <cell r="A825" t="str">
            <v>6227588037</v>
          </cell>
          <cell r="B825">
            <v>62275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</row>
        <row r="826">
          <cell r="A826" t="str">
            <v>6227585016</v>
          </cell>
          <cell r="B826">
            <v>62275</v>
          </cell>
          <cell r="C826">
            <v>85016</v>
          </cell>
          <cell r="D826" t="str">
            <v>Prof Svc-Attorney Outside</v>
          </cell>
          <cell r="E826">
            <v>93.99</v>
          </cell>
          <cell r="F826">
            <v>1500</v>
          </cell>
          <cell r="G826">
            <v>-1406.01</v>
          </cell>
          <cell r="H826">
            <v>-0.93730000000000002</v>
          </cell>
          <cell r="I826">
            <v>493.99</v>
          </cell>
          <cell r="J826">
            <v>-400</v>
          </cell>
          <cell r="K826">
            <v>-0.80969999999999998</v>
          </cell>
          <cell r="L826">
            <v>-460.49</v>
          </cell>
          <cell r="M826">
            <v>554.48</v>
          </cell>
          <cell r="N826">
            <v>-1.2040999999999999</v>
          </cell>
          <cell r="O826">
            <v>2000</v>
          </cell>
          <cell r="P826">
            <v>993.99</v>
          </cell>
          <cell r="Q826">
            <v>307.51</v>
          </cell>
        </row>
        <row r="827">
          <cell r="A827" t="str">
            <v>6227585022</v>
          </cell>
          <cell r="B827">
            <v>62275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1350</v>
          </cell>
        </row>
        <row r="828">
          <cell r="A828" t="str">
            <v>6227585065</v>
          </cell>
          <cell r="B828">
            <v>62275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</row>
        <row r="829">
          <cell r="A829" t="str">
            <v>6227585500</v>
          </cell>
          <cell r="B829">
            <v>62275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50</v>
          </cell>
        </row>
        <row r="830">
          <cell r="A830" t="str">
            <v>6227585566</v>
          </cell>
          <cell r="B830">
            <v>62275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</row>
        <row r="831">
          <cell r="A831" t="str">
            <v>6227585581</v>
          </cell>
          <cell r="B831">
            <v>62275</v>
          </cell>
          <cell r="C831">
            <v>85581</v>
          </cell>
          <cell r="D831" t="str">
            <v>Bldg Admin- Salaries</v>
          </cell>
          <cell r="E831">
            <v>3083.48</v>
          </cell>
          <cell r="F831">
            <v>3224</v>
          </cell>
          <cell r="G831">
            <v>-140.52000000000001</v>
          </cell>
          <cell r="H831">
            <v>-4.36E-2</v>
          </cell>
          <cell r="I831">
            <v>3132.42</v>
          </cell>
          <cell r="J831">
            <v>-48.940000000000097</v>
          </cell>
          <cell r="K831">
            <v>-1.5599999999999999E-2</v>
          </cell>
          <cell r="L831">
            <v>3417.9</v>
          </cell>
          <cell r="M831">
            <v>-334.42</v>
          </cell>
          <cell r="N831">
            <v>-9.7799999999999998E-2</v>
          </cell>
          <cell r="O831">
            <v>4836</v>
          </cell>
          <cell r="P831">
            <v>4898.96</v>
          </cell>
          <cell r="Q831">
            <v>5463.5</v>
          </cell>
        </row>
        <row r="832">
          <cell r="A832" t="str">
            <v>6227585583</v>
          </cell>
          <cell r="B832">
            <v>62275</v>
          </cell>
          <cell r="C832">
            <v>85583</v>
          </cell>
          <cell r="D832" t="str">
            <v>Bldg Admin-Office Exp.</v>
          </cell>
          <cell r="E832">
            <v>563.21</v>
          </cell>
          <cell r="F832">
            <v>608</v>
          </cell>
          <cell r="G832">
            <v>-44.79</v>
          </cell>
          <cell r="H832">
            <v>-7.3700000000000002E-2</v>
          </cell>
          <cell r="I832">
            <v>659.23</v>
          </cell>
          <cell r="J832">
            <v>-96.02</v>
          </cell>
          <cell r="K832">
            <v>-0.1457</v>
          </cell>
          <cell r="L832">
            <v>445.07</v>
          </cell>
          <cell r="M832">
            <v>118.14</v>
          </cell>
          <cell r="N832">
            <v>0.26540000000000002</v>
          </cell>
          <cell r="O832">
            <v>842</v>
          </cell>
          <cell r="P832">
            <v>877.61</v>
          </cell>
          <cell r="Q832">
            <v>695.21</v>
          </cell>
        </row>
        <row r="833">
          <cell r="A833" t="str">
            <v>6227585530</v>
          </cell>
          <cell r="B833">
            <v>62275</v>
          </cell>
          <cell r="C833">
            <v>85530</v>
          </cell>
          <cell r="D833" t="str">
            <v>Bldg Admin - Office Exp</v>
          </cell>
          <cell r="E833">
            <v>563.21</v>
          </cell>
          <cell r="F833">
            <v>608</v>
          </cell>
          <cell r="G833">
            <v>-44.79</v>
          </cell>
          <cell r="H833">
            <v>-7.3700000000000002E-2</v>
          </cell>
          <cell r="I833">
            <v>659.23</v>
          </cell>
          <cell r="J833">
            <v>-96.02</v>
          </cell>
          <cell r="K833">
            <v>-0.1457</v>
          </cell>
          <cell r="L833">
            <v>445.07</v>
          </cell>
          <cell r="M833">
            <v>118.14</v>
          </cell>
          <cell r="N833">
            <v>0.26540000000000002</v>
          </cell>
          <cell r="O833">
            <v>842</v>
          </cell>
          <cell r="P833">
            <v>877.61</v>
          </cell>
          <cell r="Q833">
            <v>695.21</v>
          </cell>
        </row>
        <row r="834">
          <cell r="A834" t="str">
            <v>6227586012</v>
          </cell>
          <cell r="B834">
            <v>62275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</row>
        <row r="835">
          <cell r="A835" t="str">
            <v>6227586037</v>
          </cell>
          <cell r="B835">
            <v>62275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</row>
        <row r="836">
          <cell r="A836" t="str">
            <v>6227583050</v>
          </cell>
          <cell r="B836">
            <v>62275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</row>
        <row r="837">
          <cell r="A837" t="str">
            <v>6227586510</v>
          </cell>
          <cell r="B837">
            <v>62275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</row>
        <row r="838">
          <cell r="A838" t="str">
            <v>6227586537</v>
          </cell>
          <cell r="B838">
            <v>62275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</row>
        <row r="839">
          <cell r="A839" t="str">
            <v>6227586566</v>
          </cell>
          <cell r="B839">
            <v>62275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</row>
        <row r="840">
          <cell r="A840" t="str">
            <v>6227586955</v>
          </cell>
          <cell r="B840">
            <v>62275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</row>
        <row r="841">
          <cell r="A841" t="str">
            <v>6227586985</v>
          </cell>
          <cell r="B841">
            <v>62275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181</v>
          </cell>
          <cell r="Q841">
            <v>0</v>
          </cell>
        </row>
        <row r="842">
          <cell r="A842" t="str">
            <v>6227586880</v>
          </cell>
          <cell r="B842">
            <v>62275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</row>
        <row r="843">
          <cell r="A843" t="str">
            <v>6227588710</v>
          </cell>
          <cell r="B843">
            <v>62275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2320</v>
          </cell>
          <cell r="J843">
            <v>-2320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6960</v>
          </cell>
          <cell r="Q843">
            <v>0</v>
          </cell>
        </row>
        <row r="844">
          <cell r="A844" t="str">
            <v>6227588711</v>
          </cell>
          <cell r="B844">
            <v>62275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</row>
        <row r="845">
          <cell r="A845" t="str">
            <v>6227588785</v>
          </cell>
          <cell r="B845">
            <v>62275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</row>
        <row r="846">
          <cell r="A846" t="str">
            <v>6227588847</v>
          </cell>
          <cell r="B846">
            <v>62275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</row>
        <row r="847">
          <cell r="A847" t="str">
            <v>6227588866</v>
          </cell>
          <cell r="B847">
            <v>62275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</row>
        <row r="848">
          <cell r="A848" t="str">
            <v>6227588870</v>
          </cell>
          <cell r="B848">
            <v>62275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</row>
        <row r="849">
          <cell r="A849" t="str">
            <v>6227588889</v>
          </cell>
          <cell r="B849">
            <v>62275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</row>
        <row r="850">
          <cell r="A850" t="str">
            <v>6227589776</v>
          </cell>
          <cell r="B850">
            <v>62275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</row>
        <row r="851">
          <cell r="A851" t="str">
            <v>6227589787</v>
          </cell>
          <cell r="B851">
            <v>62275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</row>
        <row r="852">
          <cell r="A852" t="str">
            <v>6227589510</v>
          </cell>
          <cell r="B852">
            <v>62275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</row>
        <row r="853">
          <cell r="A853" t="str">
            <v>6227589511</v>
          </cell>
          <cell r="B853">
            <v>62275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</row>
        <row r="854">
          <cell r="A854" t="str">
            <v>6227589512</v>
          </cell>
          <cell r="B854">
            <v>62275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</row>
        <row r="855">
          <cell r="A855" t="str">
            <v>6227589528</v>
          </cell>
          <cell r="B855">
            <v>62275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</row>
        <row r="856">
          <cell r="A856" t="str">
            <v>6227589529</v>
          </cell>
          <cell r="B856">
            <v>62275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</row>
        <row r="857">
          <cell r="A857" t="str">
            <v>6227589567</v>
          </cell>
          <cell r="B857">
            <v>62275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</row>
        <row r="858">
          <cell r="A858" t="str">
            <v>6227585058</v>
          </cell>
          <cell r="B858">
            <v>62275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</row>
        <row r="859">
          <cell r="A859" t="str">
            <v>6227586513</v>
          </cell>
          <cell r="B859">
            <v>62275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652.91999999999996</v>
          </cell>
          <cell r="G859">
            <v>-652.91999999999996</v>
          </cell>
          <cell r="H859">
            <v>0</v>
          </cell>
          <cell r="I859">
            <v>526.16999999999996</v>
          </cell>
          <cell r="J859">
            <v>-526.16999999999996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1486.44</v>
          </cell>
          <cell r="P859">
            <v>1227.73</v>
          </cell>
          <cell r="Q859">
            <v>0</v>
          </cell>
        </row>
        <row r="860">
          <cell r="A860" t="str">
            <v>6227586519</v>
          </cell>
          <cell r="B860">
            <v>62275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</row>
        <row r="861">
          <cell r="A861" t="str">
            <v>6227588770</v>
          </cell>
          <cell r="B861">
            <v>62275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</row>
        <row r="862">
          <cell r="A862" t="str">
            <v>6227588862</v>
          </cell>
          <cell r="B862">
            <v>62275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</row>
        <row r="863">
          <cell r="A863" t="str">
            <v>6227588874</v>
          </cell>
          <cell r="B863">
            <v>62275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</row>
        <row r="864">
          <cell r="A864" t="str">
            <v>6227589910</v>
          </cell>
          <cell r="B864">
            <v>62275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47420.14</v>
          </cell>
          <cell r="G864">
            <v>-47420.14</v>
          </cell>
          <cell r="H864">
            <v>0</v>
          </cell>
          <cell r="I864">
            <v>45074.81</v>
          </cell>
          <cell r="J864">
            <v>-45074.81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72145.34</v>
          </cell>
          <cell r="P864">
            <v>69545.460000000006</v>
          </cell>
          <cell r="Q864">
            <v>0</v>
          </cell>
        </row>
        <row r="865">
          <cell r="A865" t="str">
            <v>6227589548</v>
          </cell>
          <cell r="B865">
            <v>62275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G"/>
      <sheetName val="CNTRCTD SVCS"/>
      <sheetName val="ten in lit"/>
      <sheetName val="OPER DRW "/>
      <sheetName val="CAP DRW"/>
      <sheetName val="ZBA"/>
      <sheetName val="SPECIAL BILLING"/>
      <sheetName val="std ins"/>
      <sheetName val="std prop tax"/>
      <sheetName val="JE"/>
      <sheetName val="JE (2)"/>
      <sheetName val="BAD DEBT"/>
      <sheetName val="%rent (2)"/>
      <sheetName val="%rent"/>
      <sheetName val="CAP ACCR"/>
      <sheetName val="YE ACCR"/>
      <sheetName val="MAF Reclass"/>
      <sheetName val="RC REVENUE"/>
      <sheetName val="RC REVENUE (2)"/>
      <sheetName val="Alton Tech"/>
      <sheetName val="Commons"/>
      <sheetName val="Irvine Home Center"/>
      <sheetName val="Quail Hill"/>
      <sheetName val="Sand Canyon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odbridge"/>
      <sheetName val="Newport Hills"/>
      <sheetName val="Harbor View"/>
      <sheetName val="Alton Square"/>
      <sheetName val="Corona Del Mar"/>
      <sheetName val="Oak Creek"/>
      <sheetName val="Crystal Cove"/>
      <sheetName val="Newport Coast"/>
      <sheetName val="Lakeside"/>
      <sheetName val="data"/>
    </sheetNames>
    <sheetDataSet>
      <sheetData sheetId="0"/>
      <sheetData sheetId="1">
        <row r="2">
          <cell r="C2" t="str">
            <v>Newport Hills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Five Months Ended November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62135</v>
          </cell>
          <cell r="C11" t="str">
            <v>Newport Hills</v>
          </cell>
        </row>
        <row r="13">
          <cell r="D13" t="str">
            <v>REVENUE</v>
          </cell>
        </row>
        <row r="14">
          <cell r="A14" t="str">
            <v>6213541050</v>
          </cell>
          <cell r="B14">
            <v>41050</v>
          </cell>
          <cell r="D14" t="str">
            <v>Rental Income - Fixed</v>
          </cell>
          <cell r="F14">
            <v>1108591.6200000001</v>
          </cell>
          <cell r="G14">
            <v>1113378.78</v>
          </cell>
          <cell r="H14">
            <v>-4787.1599999999162</v>
          </cell>
          <cell r="I14">
            <v>-4.2996687973520711E-3</v>
          </cell>
        </row>
        <row r="15">
          <cell r="A15" t="str">
            <v>6213541074</v>
          </cell>
          <cell r="B15">
            <v>41074</v>
          </cell>
          <cell r="D15" t="str">
            <v>Rental Income - Percentage</v>
          </cell>
          <cell r="F15">
            <v>4684.62</v>
          </cell>
          <cell r="G15">
            <v>17538</v>
          </cell>
          <cell r="H15">
            <v>-12853.380000000001</v>
          </cell>
          <cell r="I15">
            <v>-0.73288744440643183</v>
          </cell>
        </row>
        <row r="16">
          <cell r="A16" t="str">
            <v>6213541082</v>
          </cell>
          <cell r="B16">
            <v>41082</v>
          </cell>
          <cell r="D16" t="str">
            <v>Rental Income - Operating Expense Recoveries</v>
          </cell>
          <cell r="F16">
            <v>330473.25</v>
          </cell>
          <cell r="G16">
            <v>324827.59999999998</v>
          </cell>
          <cell r="H16">
            <v>5645.6500000000233</v>
          </cell>
          <cell r="I16">
            <v>1.7380450429704937E-2</v>
          </cell>
        </row>
        <row r="17">
          <cell r="A17" t="str">
            <v>6213545071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2884</v>
          </cell>
          <cell r="H17">
            <v>-2884</v>
          </cell>
          <cell r="I17">
            <v>-1</v>
          </cell>
        </row>
        <row r="18">
          <cell r="A18" t="str">
            <v>6213545070</v>
          </cell>
          <cell r="B18">
            <v>45070</v>
          </cell>
          <cell r="D18" t="str">
            <v>Other Income</v>
          </cell>
          <cell r="F18">
            <v>-0.73</v>
          </cell>
          <cell r="G18">
            <v>1570.64</v>
          </cell>
          <cell r="H18">
            <v>-1571.3700000000001</v>
          </cell>
          <cell r="I18">
            <v>-1.000464778688942</v>
          </cell>
        </row>
        <row r="19">
          <cell r="A19" t="str">
            <v>6213541060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-11576</v>
          </cell>
          <cell r="H19">
            <v>11576</v>
          </cell>
          <cell r="I19">
            <v>-1</v>
          </cell>
        </row>
        <row r="20">
          <cell r="A20" t="str">
            <v>6213544870</v>
          </cell>
          <cell r="B20">
            <v>44870</v>
          </cell>
          <cell r="D20" t="str">
            <v>Late Fees</v>
          </cell>
          <cell r="F20">
            <v>9116.1299999999992</v>
          </cell>
          <cell r="G20">
            <v>0</v>
          </cell>
          <cell r="H20">
            <v>9116.1299999999992</v>
          </cell>
          <cell r="I20" t="str">
            <v>N/A</v>
          </cell>
        </row>
        <row r="21">
          <cell r="D21" t="str">
            <v>TOTAL REVENUE</v>
          </cell>
          <cell r="F21">
            <v>1452864.8900000001</v>
          </cell>
          <cell r="G21">
            <v>1448623.0199999998</v>
          </cell>
          <cell r="H21">
            <v>4241.8700000001063</v>
          </cell>
          <cell r="I21">
            <v>2.928208334008186E-3</v>
          </cell>
        </row>
        <row r="23">
          <cell r="D23" t="str">
            <v>Exclusion to CAM True Up</v>
          </cell>
          <cell r="F23">
            <v>19938</v>
          </cell>
        </row>
        <row r="24">
          <cell r="D24" t="str">
            <v>CAM Rev Excluding PY, HVAC</v>
          </cell>
          <cell r="F24">
            <v>310535.25</v>
          </cell>
          <cell r="G24">
            <v>324827.59999999998</v>
          </cell>
        </row>
        <row r="25">
          <cell r="D25" t="str">
            <v>CAM Recovery Ratio</v>
          </cell>
          <cell r="F25">
            <v>1.0239813951335046</v>
          </cell>
          <cell r="G25">
            <v>1.0689126843618988</v>
          </cell>
          <cell r="H25">
            <v>-4.4931289228394178E-2</v>
          </cell>
          <cell r="I25">
            <v>-4.203457390461831E-2</v>
          </cell>
        </row>
        <row r="27">
          <cell r="D27" t="str">
            <v>REIMBURSABLE EXPENSES</v>
          </cell>
        </row>
        <row r="28">
          <cell r="A28" t="str">
            <v>6213572710</v>
          </cell>
          <cell r="B28">
            <v>72710</v>
          </cell>
          <cell r="D28" t="str">
            <v>Utilities - Electricity</v>
          </cell>
          <cell r="F28">
            <v>11127.94</v>
          </cell>
          <cell r="G28">
            <v>13000</v>
          </cell>
          <cell r="H28">
            <v>1872.0599999999995</v>
          </cell>
          <cell r="I28">
            <v>0.14400461538461534</v>
          </cell>
        </row>
        <row r="29">
          <cell r="A29" t="str">
            <v>6213572770</v>
          </cell>
          <cell r="B29">
            <v>72770</v>
          </cell>
          <cell r="D29" t="str">
            <v>Utilities - Water</v>
          </cell>
          <cell r="F29">
            <v>6295.01</v>
          </cell>
          <cell r="G29">
            <v>6664</v>
          </cell>
          <cell r="H29">
            <v>368.98999999999978</v>
          </cell>
          <cell r="I29">
            <v>5.5370648259303691E-2</v>
          </cell>
        </row>
        <row r="30">
          <cell r="A30" t="str">
            <v>6213576000</v>
          </cell>
          <cell r="B30">
            <v>76000</v>
          </cell>
          <cell r="D30" t="str">
            <v>Bldg Maintenance &amp; Repair</v>
          </cell>
          <cell r="F30">
            <v>14452.35</v>
          </cell>
          <cell r="G30">
            <v>17158.64</v>
          </cell>
          <cell r="H30">
            <v>2706.2899999999991</v>
          </cell>
          <cell r="I30">
            <v>0.15772170754791751</v>
          </cell>
        </row>
        <row r="31">
          <cell r="A31" t="str">
            <v>6213576050</v>
          </cell>
          <cell r="B31">
            <v>76050</v>
          </cell>
          <cell r="D31" t="str">
            <v>Cleaning Expense</v>
          </cell>
          <cell r="F31">
            <v>25222.080000000002</v>
          </cell>
          <cell r="G31">
            <v>22712</v>
          </cell>
          <cell r="H31">
            <v>-2510.0800000000017</v>
          </cell>
          <cell r="I31">
            <v>-0.11051778795350484</v>
          </cell>
        </row>
        <row r="32">
          <cell r="A32" t="str">
            <v>6213576091</v>
          </cell>
          <cell r="B32">
            <v>76091</v>
          </cell>
          <cell r="D32" t="str">
            <v>Parking Maintenance</v>
          </cell>
          <cell r="F32">
            <v>26323</v>
          </cell>
          <cell r="G32">
            <v>19727.36</v>
          </cell>
          <cell r="H32">
            <v>-6595.6399999999994</v>
          </cell>
          <cell r="I32">
            <v>-0.3343397190500908</v>
          </cell>
        </row>
        <row r="33">
          <cell r="A33" t="str">
            <v>6213577000</v>
          </cell>
          <cell r="B33">
            <v>77000</v>
          </cell>
          <cell r="D33" t="str">
            <v>Grounds Maintenance</v>
          </cell>
          <cell r="F33">
            <v>20007.439999999999</v>
          </cell>
          <cell r="G33">
            <v>51059.360000000001</v>
          </cell>
          <cell r="H33">
            <v>31051.920000000002</v>
          </cell>
          <cell r="I33">
            <v>0.60815333368847557</v>
          </cell>
        </row>
        <row r="34">
          <cell r="A34" t="str">
            <v>6213577053</v>
          </cell>
          <cell r="B34">
            <v>77053</v>
          </cell>
          <cell r="D34" t="str">
            <v>Landscaping</v>
          </cell>
          <cell r="F34">
            <v>27463.5</v>
          </cell>
          <cell r="G34">
            <v>32348</v>
          </cell>
          <cell r="H34">
            <v>4884.5</v>
          </cell>
          <cell r="I34">
            <v>0.15099851613701001</v>
          </cell>
        </row>
        <row r="35">
          <cell r="A35" t="str">
            <v>6213578020</v>
          </cell>
          <cell r="B35">
            <v>78020</v>
          </cell>
          <cell r="D35" t="str">
            <v>Amortized CAM Exp</v>
          </cell>
          <cell r="F35">
            <v>49720.74</v>
          </cell>
          <cell r="G35">
            <v>24916</v>
          </cell>
          <cell r="H35">
            <v>-24804.739999999998</v>
          </cell>
          <cell r="I35">
            <v>-0.9955345962433777</v>
          </cell>
        </row>
        <row r="36">
          <cell r="A36" t="str">
            <v>6213585584</v>
          </cell>
          <cell r="B36">
            <v>85584</v>
          </cell>
          <cell r="D36" t="str">
            <v>Bldg Admin-Office Costs</v>
          </cell>
          <cell r="F36">
            <v>3692.91</v>
          </cell>
          <cell r="G36">
            <v>3520</v>
          </cell>
          <cell r="H36">
            <v>-172.90999999999985</v>
          </cell>
          <cell r="I36">
            <v>-4.912215909090905E-2</v>
          </cell>
        </row>
        <row r="37">
          <cell r="A37" t="str">
            <v>6213585582</v>
          </cell>
          <cell r="B37">
            <v>85582</v>
          </cell>
          <cell r="D37" t="str">
            <v>Bldg Admin-Salaries</v>
          </cell>
          <cell r="F37">
            <v>23889.23</v>
          </cell>
          <cell r="G37">
            <v>23696</v>
          </cell>
          <cell r="H37">
            <v>-193.22999999999956</v>
          </cell>
          <cell r="I37">
            <v>-8.154540850776484E-3</v>
          </cell>
        </row>
        <row r="38">
          <cell r="A38" t="str">
            <v>6213586564</v>
          </cell>
          <cell r="B38">
            <v>86564</v>
          </cell>
          <cell r="D38" t="str">
            <v>Insurance</v>
          </cell>
          <cell r="F38">
            <v>18220.47</v>
          </cell>
          <cell r="G38">
            <v>20796</v>
          </cell>
          <cell r="H38">
            <v>2575.5299999999988</v>
          </cell>
          <cell r="I38">
            <v>0.12384737449509516</v>
          </cell>
        </row>
        <row r="39">
          <cell r="A39" t="str">
            <v>6213588890</v>
          </cell>
          <cell r="B39">
            <v>88890</v>
          </cell>
          <cell r="D39" t="str">
            <v>Security/Safety</v>
          </cell>
          <cell r="F39">
            <v>9075.91</v>
          </cell>
          <cell r="G39">
            <v>5600</v>
          </cell>
          <cell r="H39">
            <v>-3475.91</v>
          </cell>
          <cell r="I39">
            <v>-0.62069821428571426</v>
          </cell>
        </row>
        <row r="40">
          <cell r="A40" t="str">
            <v>6213589786</v>
          </cell>
          <cell r="B40">
            <v>89786</v>
          </cell>
          <cell r="D40" t="str">
            <v>Property Tax Exp</v>
          </cell>
          <cell r="F40">
            <v>67772.009999999995</v>
          </cell>
          <cell r="G40">
            <v>62688.639999999999</v>
          </cell>
          <cell r="H40">
            <v>-5083.3699999999953</v>
          </cell>
          <cell r="I40">
            <v>-8.1089173413237153E-2</v>
          </cell>
        </row>
        <row r="41">
          <cell r="D41" t="str">
            <v>Total Reimbursable</v>
          </cell>
          <cell r="F41">
            <v>303262.59000000003</v>
          </cell>
          <cell r="G41">
            <v>303886</v>
          </cell>
          <cell r="H41">
            <v>623.41000000000713</v>
          </cell>
          <cell r="I41">
            <v>2.051460087006335E-3</v>
          </cell>
        </row>
        <row r="43">
          <cell r="D43" t="str">
            <v>NON-REIMBURSABLE EXPENSES</v>
          </cell>
        </row>
        <row r="44">
          <cell r="A44" t="str">
            <v>6213572701</v>
          </cell>
          <cell r="B44">
            <v>72701</v>
          </cell>
          <cell r="D44" t="str">
            <v>Utilities</v>
          </cell>
          <cell r="F44">
            <v>57.03</v>
          </cell>
          <cell r="G44">
            <v>50</v>
          </cell>
          <cell r="H44">
            <v>-7.0300000000000011</v>
          </cell>
          <cell r="I44">
            <v>-0.14060000000000003</v>
          </cell>
        </row>
        <row r="45">
          <cell r="A45" t="str">
            <v>6213576010</v>
          </cell>
          <cell r="B45">
            <v>76010</v>
          </cell>
          <cell r="D45" t="str">
            <v>Tenant Alterations</v>
          </cell>
          <cell r="F45">
            <v>0</v>
          </cell>
          <cell r="G45">
            <v>0</v>
          </cell>
          <cell r="H45">
            <v>0</v>
          </cell>
          <cell r="I45" t="str">
            <v>N/A</v>
          </cell>
        </row>
        <row r="46">
          <cell r="A46" t="str">
            <v>6213576054</v>
          </cell>
          <cell r="B46">
            <v>76054</v>
          </cell>
          <cell r="D46" t="str">
            <v>Bldg Maintenance &amp; Repair</v>
          </cell>
          <cell r="F46">
            <v>97.75</v>
          </cell>
          <cell r="G46">
            <v>8700</v>
          </cell>
          <cell r="H46">
            <v>8602.25</v>
          </cell>
          <cell r="I46">
            <v>0.988764367816092</v>
          </cell>
        </row>
        <row r="47">
          <cell r="A47" t="str">
            <v>6213577001</v>
          </cell>
          <cell r="B47">
            <v>77001</v>
          </cell>
          <cell r="D47" t="str">
            <v>Grounds Maintenance</v>
          </cell>
          <cell r="F47">
            <v>0</v>
          </cell>
          <cell r="G47">
            <v>0</v>
          </cell>
          <cell r="H47">
            <v>0</v>
          </cell>
          <cell r="I47" t="str">
            <v>N/A</v>
          </cell>
        </row>
        <row r="48">
          <cell r="A48" t="str">
            <v>6213584240</v>
          </cell>
          <cell r="B48">
            <v>84240</v>
          </cell>
          <cell r="D48" t="str">
            <v>Marketing Leasing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6213585016</v>
          </cell>
          <cell r="B49">
            <v>85016</v>
          </cell>
          <cell r="D49" t="str">
            <v>Prof Svc-Attorney Outside</v>
          </cell>
          <cell r="F49">
            <v>0</v>
          </cell>
          <cell r="G49">
            <v>1000</v>
          </cell>
          <cell r="H49">
            <v>1000</v>
          </cell>
          <cell r="I49">
            <v>1</v>
          </cell>
        </row>
        <row r="50">
          <cell r="A50" t="str">
            <v>6213585022</v>
          </cell>
          <cell r="B50">
            <v>85022</v>
          </cell>
          <cell r="D50" t="str">
            <v>Prof Svc-Audit/Acctng</v>
          </cell>
          <cell r="F50">
            <v>-1350</v>
          </cell>
          <cell r="G50">
            <v>0</v>
          </cell>
          <cell r="H50">
            <v>1350</v>
          </cell>
          <cell r="I50" t="str">
            <v>N/A</v>
          </cell>
        </row>
        <row r="51">
          <cell r="A51" t="str">
            <v>6213585500</v>
          </cell>
          <cell r="B51">
            <v>85500</v>
          </cell>
          <cell r="D51" t="str">
            <v>Consulting Services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6213585566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6213585581</v>
          </cell>
          <cell r="B53">
            <v>85581</v>
          </cell>
          <cell r="D53" t="str">
            <v>Bldg Admin- Salaries</v>
          </cell>
          <cell r="F53">
            <v>13533.09</v>
          </cell>
          <cell r="G53">
            <v>14160</v>
          </cell>
          <cell r="H53">
            <v>626.90999999999985</v>
          </cell>
          <cell r="I53">
            <v>4.4273305084745751E-2</v>
          </cell>
        </row>
        <row r="54">
          <cell r="A54" t="str">
            <v>6213585583</v>
          </cell>
          <cell r="B54">
            <v>85583</v>
          </cell>
          <cell r="D54" t="str">
            <v>Bldg Admin - Office Exp</v>
          </cell>
          <cell r="F54">
            <v>1977.53</v>
          </cell>
          <cell r="G54">
            <v>2054</v>
          </cell>
          <cell r="H54">
            <v>76.470000000000027</v>
          </cell>
          <cell r="I54">
            <v>3.7229795520934778E-2</v>
          </cell>
        </row>
        <row r="55">
          <cell r="A55" t="str">
            <v>6213586566</v>
          </cell>
          <cell r="B55">
            <v>86566</v>
          </cell>
          <cell r="D55" t="str">
            <v>Insurance</v>
          </cell>
          <cell r="F55">
            <v>47.53</v>
          </cell>
          <cell r="G55">
            <v>0</v>
          </cell>
          <cell r="H55">
            <v>-47.53</v>
          </cell>
          <cell r="I55" t="str">
            <v>N/A</v>
          </cell>
        </row>
        <row r="56">
          <cell r="A56" t="str">
            <v>6213588710</v>
          </cell>
          <cell r="B56">
            <v>88710</v>
          </cell>
          <cell r="D56" t="str">
            <v>Losses-Bad Debts</v>
          </cell>
          <cell r="F56">
            <v>0</v>
          </cell>
          <cell r="G56">
            <v>0</v>
          </cell>
          <cell r="H56">
            <v>0</v>
          </cell>
          <cell r="I56" t="str">
            <v>N/A</v>
          </cell>
        </row>
        <row r="57">
          <cell r="D57" t="str">
            <v>Total Non-Reimbursable</v>
          </cell>
          <cell r="F57">
            <v>14362.930000000002</v>
          </cell>
          <cell r="G57">
            <v>25964</v>
          </cell>
          <cell r="H57">
            <v>11601.069999999998</v>
          </cell>
          <cell r="I57">
            <v>0.44681366507471876</v>
          </cell>
        </row>
        <row r="58">
          <cell r="D58" t="str">
            <v>TOTAL OPERATING EXPENSES</v>
          </cell>
          <cell r="F58">
            <v>139413.15000000002</v>
          </cell>
          <cell r="G58">
            <v>167666</v>
          </cell>
          <cell r="H58">
            <v>28252.850000000002</v>
          </cell>
          <cell r="I58">
            <v>0.16850673362518342</v>
          </cell>
        </row>
        <row r="59">
          <cell r="D59" t="str">
            <v>TOTAL OPERATING EXPENSES</v>
          </cell>
          <cell r="F59">
            <v>317625.52</v>
          </cell>
          <cell r="G59">
            <v>329850</v>
          </cell>
          <cell r="H59">
            <v>12224.480000000005</v>
          </cell>
          <cell r="I59">
            <v>3.7060724571775061E-2</v>
          </cell>
        </row>
        <row r="60">
          <cell r="D60" t="str">
            <v>NET INCOME (Excluding NRO)</v>
          </cell>
          <cell r="F60">
            <v>579348.43000000005</v>
          </cell>
          <cell r="G60">
            <v>555116.79999999993</v>
          </cell>
          <cell r="H60">
            <v>24231.630000000026</v>
          </cell>
          <cell r="I60">
            <v>4.3651408136089614E-2</v>
          </cell>
        </row>
        <row r="61">
          <cell r="D61" t="str">
            <v>NET INCOME (Excluding NRO)</v>
          </cell>
          <cell r="F61">
            <v>1135239.3700000001</v>
          </cell>
          <cell r="G61">
            <v>1118773.0199999998</v>
          </cell>
          <cell r="H61">
            <v>16466.350000000111</v>
          </cell>
          <cell r="I61">
            <v>1.4718222289629504E-2</v>
          </cell>
        </row>
        <row r="62">
          <cell r="A62" t="str">
            <v>6213576071</v>
          </cell>
          <cell r="B62">
            <v>76071</v>
          </cell>
          <cell r="D62" t="str">
            <v>Reimaging Maintenance</v>
          </cell>
          <cell r="F62">
            <v>0</v>
          </cell>
          <cell r="G62">
            <v>0</v>
          </cell>
          <cell r="H62">
            <v>0</v>
          </cell>
          <cell r="I62" t="str">
            <v>N/A</v>
          </cell>
        </row>
        <row r="63">
          <cell r="A63" t="str">
            <v>6213576071</v>
          </cell>
          <cell r="B63">
            <v>76071</v>
          </cell>
          <cell r="D63" t="str">
            <v>Reimaging Maintenance</v>
          </cell>
          <cell r="F63">
            <v>0</v>
          </cell>
          <cell r="G63">
            <v>0</v>
          </cell>
          <cell r="H63">
            <v>0</v>
          </cell>
          <cell r="I63" t="str">
            <v>N/A</v>
          </cell>
        </row>
        <row r="64">
          <cell r="D64" t="str">
            <v>NET INCOME</v>
          </cell>
          <cell r="F64">
            <v>579348.43000000005</v>
          </cell>
          <cell r="G64">
            <v>555116.79999999993</v>
          </cell>
          <cell r="H64">
            <v>24231.630000000026</v>
          </cell>
          <cell r="I64">
            <v>4.3651408136089614E-2</v>
          </cell>
        </row>
        <row r="65">
          <cell r="D65" t="str">
            <v>NET INCOME</v>
          </cell>
          <cell r="F65">
            <v>1135239.3700000001</v>
          </cell>
          <cell r="G65">
            <v>1118773.0199999998</v>
          </cell>
          <cell r="H65">
            <v>16466.350000000111</v>
          </cell>
          <cell r="I65">
            <v>1.4718222289629504E-2</v>
          </cell>
        </row>
      </sheetData>
      <sheetData sheetId="2">
        <row r="2">
          <cell r="C2" t="str">
            <v>Harbor View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Five Months Ended November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62160</v>
          </cell>
          <cell r="C11" t="str">
            <v>Harbor View</v>
          </cell>
        </row>
        <row r="13">
          <cell r="D13" t="str">
            <v>REVENUE</v>
          </cell>
        </row>
        <row r="14">
          <cell r="A14" t="str">
            <v>6216041050</v>
          </cell>
          <cell r="B14">
            <v>41050</v>
          </cell>
          <cell r="D14" t="str">
            <v>Rental Income - Fixed</v>
          </cell>
          <cell r="F14">
            <v>1277476.92</v>
          </cell>
          <cell r="G14">
            <v>1273016.06</v>
          </cell>
          <cell r="H14">
            <v>4460.8599999998696</v>
          </cell>
          <cell r="I14">
            <v>3.5041663182158672E-3</v>
          </cell>
        </row>
        <row r="15">
          <cell r="A15" t="str">
            <v>6216041074</v>
          </cell>
          <cell r="B15">
            <v>41074</v>
          </cell>
          <cell r="D15" t="str">
            <v>Rental Income - Percentage</v>
          </cell>
          <cell r="F15">
            <v>130498.68</v>
          </cell>
          <cell r="G15">
            <v>51316</v>
          </cell>
          <cell r="H15">
            <v>79182.679999999993</v>
          </cell>
          <cell r="I15">
            <v>1.5430407670122377</v>
          </cell>
        </row>
        <row r="16">
          <cell r="A16" t="str">
            <v>6216041082</v>
          </cell>
          <cell r="B16">
            <v>41082</v>
          </cell>
          <cell r="D16" t="str">
            <v>Rental Income - Operating Expense Recoveries</v>
          </cell>
          <cell r="F16">
            <v>314351.19</v>
          </cell>
          <cell r="G16">
            <v>283807.12</v>
          </cell>
          <cell r="H16">
            <v>30544.070000000007</v>
          </cell>
          <cell r="I16">
            <v>0.10762263469640933</v>
          </cell>
        </row>
        <row r="17">
          <cell r="A17" t="str">
            <v>6216045071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6216045070</v>
          </cell>
          <cell r="B18">
            <v>45070</v>
          </cell>
          <cell r="D18" t="str">
            <v>Other Income</v>
          </cell>
          <cell r="F18">
            <v>232.07</v>
          </cell>
          <cell r="G18">
            <v>1494</v>
          </cell>
          <cell r="H18">
            <v>-1261.93</v>
          </cell>
          <cell r="I18">
            <v>-0.84466532797858107</v>
          </cell>
        </row>
        <row r="19">
          <cell r="A19" t="str">
            <v>6216041060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-4960</v>
          </cell>
          <cell r="H19">
            <v>4960</v>
          </cell>
          <cell r="I19">
            <v>-1</v>
          </cell>
        </row>
        <row r="20">
          <cell r="A20" t="str">
            <v>6216044870</v>
          </cell>
          <cell r="B20">
            <v>44870</v>
          </cell>
          <cell r="D20" t="str">
            <v>Late Fees</v>
          </cell>
          <cell r="F20">
            <v>755.75</v>
          </cell>
          <cell r="G20">
            <v>0</v>
          </cell>
          <cell r="H20">
            <v>755.75</v>
          </cell>
          <cell r="I20" t="str">
            <v>N/A</v>
          </cell>
        </row>
        <row r="21">
          <cell r="D21" t="str">
            <v>TOTAL REVENUE</v>
          </cell>
          <cell r="F21">
            <v>1723314.6099999999</v>
          </cell>
          <cell r="G21">
            <v>1604673.1800000002</v>
          </cell>
          <cell r="H21">
            <v>118641.42999999988</v>
          </cell>
          <cell r="I21">
            <v>7.3934949171394426E-2</v>
          </cell>
        </row>
        <row r="23">
          <cell r="D23" t="str">
            <v>Exclusion to CAM True Up</v>
          </cell>
          <cell r="F23">
            <v>-1453</v>
          </cell>
        </row>
        <row r="24">
          <cell r="D24" t="str">
            <v>CAM Rev Excluding PY, HVAC</v>
          </cell>
          <cell r="F24">
            <v>315804.19</v>
          </cell>
          <cell r="G24">
            <v>283807.12</v>
          </cell>
        </row>
        <row r="25">
          <cell r="D25" t="str">
            <v>CAM Recovery Ratio</v>
          </cell>
          <cell r="F25">
            <v>1.0586022070725154</v>
          </cell>
          <cell r="G25">
            <v>1.0062051305105364</v>
          </cell>
          <cell r="H25">
            <v>5.2397076561979006E-2</v>
          </cell>
          <cell r="I25">
            <v>5.2073950900442499E-2</v>
          </cell>
        </row>
        <row r="27">
          <cell r="D27" t="str">
            <v>REIMBURSABLE EXPENSES</v>
          </cell>
        </row>
        <row r="28">
          <cell r="A28" t="str">
            <v>6216072710</v>
          </cell>
          <cell r="B28">
            <v>72710</v>
          </cell>
          <cell r="D28" t="str">
            <v>Utilities - Electricity</v>
          </cell>
          <cell r="F28">
            <v>6436.33</v>
          </cell>
          <cell r="G28">
            <v>7464</v>
          </cell>
          <cell r="H28">
            <v>1027.67</v>
          </cell>
          <cell r="I28">
            <v>0.13768354769560559</v>
          </cell>
        </row>
        <row r="29">
          <cell r="A29" t="str">
            <v>6216072770</v>
          </cell>
          <cell r="B29">
            <v>72770</v>
          </cell>
          <cell r="D29" t="str">
            <v>Utilities - Water</v>
          </cell>
          <cell r="F29">
            <v>1551.24</v>
          </cell>
          <cell r="G29">
            <v>2400</v>
          </cell>
          <cell r="H29">
            <v>848.76</v>
          </cell>
          <cell r="I29">
            <v>0.35365000000000002</v>
          </cell>
        </row>
        <row r="30">
          <cell r="A30" t="str">
            <v>6216076000</v>
          </cell>
          <cell r="B30">
            <v>76000</v>
          </cell>
          <cell r="D30" t="str">
            <v>Bldg Maintenance &amp; Repair</v>
          </cell>
          <cell r="F30">
            <v>14005.59</v>
          </cell>
          <cell r="G30">
            <v>17566</v>
          </cell>
          <cell r="H30">
            <v>3560.41</v>
          </cell>
          <cell r="I30">
            <v>0.20268757827621542</v>
          </cell>
        </row>
        <row r="31">
          <cell r="A31" t="str">
            <v>6216076050</v>
          </cell>
          <cell r="B31">
            <v>76050</v>
          </cell>
          <cell r="D31" t="str">
            <v>Cleaning Expense</v>
          </cell>
          <cell r="F31">
            <v>32028.92</v>
          </cell>
          <cell r="G31">
            <v>29200</v>
          </cell>
          <cell r="H31">
            <v>-2828.9199999999983</v>
          </cell>
          <cell r="I31">
            <v>-9.6880821917808155E-2</v>
          </cell>
        </row>
        <row r="32">
          <cell r="A32" t="str">
            <v>6216076091</v>
          </cell>
          <cell r="B32">
            <v>76091</v>
          </cell>
          <cell r="D32" t="str">
            <v>Parking Maintenance</v>
          </cell>
          <cell r="F32">
            <v>21501</v>
          </cell>
          <cell r="G32">
            <v>23828</v>
          </cell>
          <cell r="H32">
            <v>2327</v>
          </cell>
          <cell r="I32">
            <v>9.765821722343461E-2</v>
          </cell>
        </row>
        <row r="33">
          <cell r="A33" t="str">
            <v>6216077000</v>
          </cell>
          <cell r="B33">
            <v>77000</v>
          </cell>
          <cell r="D33" t="str">
            <v>Grounds Maintenance</v>
          </cell>
          <cell r="F33">
            <v>31732.11</v>
          </cell>
          <cell r="G33">
            <v>38874</v>
          </cell>
          <cell r="H33">
            <v>7141.8899999999994</v>
          </cell>
          <cell r="I33">
            <v>0.18371893810773265</v>
          </cell>
        </row>
        <row r="34">
          <cell r="A34" t="str">
            <v>6216077053</v>
          </cell>
          <cell r="B34">
            <v>77053</v>
          </cell>
          <cell r="D34" t="str">
            <v>Landscaping</v>
          </cell>
          <cell r="F34">
            <v>16882</v>
          </cell>
          <cell r="G34">
            <v>26145</v>
          </cell>
          <cell r="H34">
            <v>9263</v>
          </cell>
          <cell r="I34">
            <v>0.35429336393191813</v>
          </cell>
        </row>
        <row r="35">
          <cell r="A35" t="str">
            <v>6216078020</v>
          </cell>
          <cell r="B35">
            <v>78020</v>
          </cell>
          <cell r="D35" t="str">
            <v>Amortized CAM Exp</v>
          </cell>
          <cell r="F35">
            <v>57986.34</v>
          </cell>
          <cell r="G35">
            <v>16022.64</v>
          </cell>
          <cell r="H35">
            <v>-41963.7</v>
          </cell>
          <cell r="I35">
            <v>-2.6190253291592396</v>
          </cell>
        </row>
        <row r="36">
          <cell r="A36" t="str">
            <v>6216085584</v>
          </cell>
          <cell r="B36">
            <v>85584</v>
          </cell>
          <cell r="D36" t="str">
            <v>Bldg Admin-Office Costs</v>
          </cell>
          <cell r="F36">
            <v>3739.17</v>
          </cell>
          <cell r="G36">
            <v>3560</v>
          </cell>
          <cell r="H36">
            <v>-179.17000000000007</v>
          </cell>
          <cell r="I36">
            <v>-5.0328651685393279E-2</v>
          </cell>
        </row>
        <row r="37">
          <cell r="A37" t="str">
            <v>6216085582</v>
          </cell>
          <cell r="B37">
            <v>85582</v>
          </cell>
          <cell r="D37" t="str">
            <v>Bldg Admin-Salaries</v>
          </cell>
          <cell r="F37">
            <v>24188.47</v>
          </cell>
          <cell r="G37">
            <v>23992.639999999999</v>
          </cell>
          <cell r="H37">
            <v>-195.83000000000175</v>
          </cell>
          <cell r="I37">
            <v>-8.1620863731545062E-3</v>
          </cell>
        </row>
        <row r="38">
          <cell r="A38" t="str">
            <v>6216086564</v>
          </cell>
          <cell r="B38">
            <v>86564</v>
          </cell>
          <cell r="D38" t="str">
            <v>Insurance</v>
          </cell>
          <cell r="F38">
            <v>18524</v>
          </cell>
          <cell r="G38">
            <v>21086</v>
          </cell>
          <cell r="H38">
            <v>2562</v>
          </cell>
          <cell r="I38">
            <v>0.12150241866641373</v>
          </cell>
        </row>
        <row r="39">
          <cell r="A39" t="str">
            <v>6216088890</v>
          </cell>
          <cell r="B39">
            <v>88890</v>
          </cell>
          <cell r="D39" t="str">
            <v>Security/Safety</v>
          </cell>
          <cell r="F39">
            <v>5253.7</v>
          </cell>
          <cell r="G39">
            <v>8900</v>
          </cell>
          <cell r="H39">
            <v>3646.3</v>
          </cell>
          <cell r="I39">
            <v>0.40969662921348315</v>
          </cell>
        </row>
        <row r="40">
          <cell r="A40" t="str">
            <v>6216089786</v>
          </cell>
          <cell r="B40">
            <v>89786</v>
          </cell>
          <cell r="D40" t="str">
            <v>Property Tax Exp</v>
          </cell>
          <cell r="F40">
            <v>64493</v>
          </cell>
          <cell r="G40">
            <v>63018.64</v>
          </cell>
          <cell r="H40">
            <v>-1474.3600000000006</v>
          </cell>
          <cell r="I40">
            <v>-2.3395617550616778E-2</v>
          </cell>
        </row>
        <row r="41">
          <cell r="D41" t="str">
            <v>Total Reimbursable</v>
          </cell>
          <cell r="F41">
            <v>298321.87</v>
          </cell>
          <cell r="G41">
            <v>282056.92000000004</v>
          </cell>
          <cell r="H41">
            <v>-16264.95</v>
          </cell>
          <cell r="I41">
            <v>-5.7665488228404387E-2</v>
          </cell>
        </row>
        <row r="43">
          <cell r="D43" t="str">
            <v>NON-REIMBURSABLE EXPENSES</v>
          </cell>
        </row>
        <row r="44">
          <cell r="A44" t="str">
            <v>6216072701</v>
          </cell>
          <cell r="B44">
            <v>72701</v>
          </cell>
          <cell r="D44" t="str">
            <v>Utilities</v>
          </cell>
          <cell r="F44">
            <v>7.92</v>
          </cell>
          <cell r="G44">
            <v>50</v>
          </cell>
          <cell r="H44">
            <v>42.08</v>
          </cell>
          <cell r="I44">
            <v>0.84160000000000001</v>
          </cell>
        </row>
        <row r="45">
          <cell r="A45" t="str">
            <v>6216076010</v>
          </cell>
          <cell r="B45">
            <v>76010</v>
          </cell>
          <cell r="D45" t="str">
            <v>Tenant Alterations</v>
          </cell>
          <cell r="F45">
            <v>0</v>
          </cell>
          <cell r="G45">
            <v>500</v>
          </cell>
          <cell r="H45">
            <v>500</v>
          </cell>
          <cell r="I45">
            <v>1</v>
          </cell>
        </row>
        <row r="46">
          <cell r="A46" t="str">
            <v>6216076054</v>
          </cell>
          <cell r="B46">
            <v>76054</v>
          </cell>
          <cell r="D46" t="str">
            <v>Bldg Maintenance &amp; Repair</v>
          </cell>
          <cell r="F46">
            <v>289</v>
          </cell>
          <cell r="G46">
            <v>1750</v>
          </cell>
          <cell r="H46">
            <v>1461</v>
          </cell>
          <cell r="I46">
            <v>0.83485714285714285</v>
          </cell>
        </row>
        <row r="47">
          <cell r="A47" t="str">
            <v>6216077001</v>
          </cell>
          <cell r="B47">
            <v>77001</v>
          </cell>
          <cell r="D47" t="str">
            <v>Grounds Maintenance</v>
          </cell>
          <cell r="F47">
            <v>0</v>
          </cell>
          <cell r="G47">
            <v>0</v>
          </cell>
          <cell r="H47">
            <v>0</v>
          </cell>
          <cell r="I47" t="str">
            <v>N/A</v>
          </cell>
        </row>
        <row r="48">
          <cell r="A48" t="str">
            <v>6216084240</v>
          </cell>
          <cell r="B48">
            <v>84240</v>
          </cell>
          <cell r="D48" t="str">
            <v>Marketing Leasing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6216085016</v>
          </cell>
          <cell r="B49">
            <v>85016</v>
          </cell>
          <cell r="D49" t="str">
            <v>Prof Svc-Attorney Outside</v>
          </cell>
          <cell r="F49">
            <v>0</v>
          </cell>
          <cell r="G49">
            <v>1000</v>
          </cell>
          <cell r="H49">
            <v>1000</v>
          </cell>
          <cell r="I49">
            <v>1</v>
          </cell>
        </row>
        <row r="50">
          <cell r="A50" t="str">
            <v>6216085022</v>
          </cell>
          <cell r="B50">
            <v>85022</v>
          </cell>
          <cell r="D50" t="str">
            <v>Prof Svc-Audit/Acctng</v>
          </cell>
          <cell r="F50">
            <v>0</v>
          </cell>
          <cell r="G50">
            <v>0</v>
          </cell>
          <cell r="H50">
            <v>0</v>
          </cell>
          <cell r="I50" t="str">
            <v>N/A</v>
          </cell>
        </row>
        <row r="51">
          <cell r="A51" t="str">
            <v>6216085500</v>
          </cell>
          <cell r="B51">
            <v>85500</v>
          </cell>
          <cell r="D51" t="str">
            <v>Consulting Services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6216085566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6216085581</v>
          </cell>
          <cell r="B53">
            <v>85581</v>
          </cell>
          <cell r="D53" t="str">
            <v>Bldg Admin- Salaries</v>
          </cell>
          <cell r="F53">
            <v>13702.6</v>
          </cell>
          <cell r="G53">
            <v>14341</v>
          </cell>
          <cell r="H53">
            <v>638.39999999999964</v>
          </cell>
          <cell r="I53">
            <v>4.4515724147548959E-2</v>
          </cell>
        </row>
        <row r="54">
          <cell r="A54" t="str">
            <v>6216085583</v>
          </cell>
          <cell r="B54">
            <v>85583</v>
          </cell>
          <cell r="D54" t="str">
            <v>Bldg Admin - Office Exp</v>
          </cell>
          <cell r="F54">
            <v>1969.58</v>
          </cell>
          <cell r="G54">
            <v>2079.36</v>
          </cell>
          <cell r="H54">
            <v>109.7800000000002</v>
          </cell>
          <cell r="I54">
            <v>5.2795090797168452E-2</v>
          </cell>
        </row>
        <row r="55">
          <cell r="A55" t="str">
            <v>6216088710</v>
          </cell>
          <cell r="B55">
            <v>88710</v>
          </cell>
          <cell r="D55" t="str">
            <v>Losses-Bad Debts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D56" t="str">
            <v>Total Non-Reimbursable</v>
          </cell>
          <cell r="F56">
            <v>15969.1</v>
          </cell>
          <cell r="G56">
            <v>19720.36</v>
          </cell>
          <cell r="H56">
            <v>3751.2599999999998</v>
          </cell>
          <cell r="I56">
            <v>0.19022269370336037</v>
          </cell>
        </row>
        <row r="58">
          <cell r="D58" t="str">
            <v>TOTAL OPERATING EXPENSES</v>
          </cell>
          <cell r="F58">
            <v>314290.96999999997</v>
          </cell>
          <cell r="G58">
            <v>301777.28000000003</v>
          </cell>
          <cell r="H58">
            <v>-12513.69</v>
          </cell>
          <cell r="I58">
            <v>-4.1466640563530825E-2</v>
          </cell>
        </row>
        <row r="60">
          <cell r="D60" t="str">
            <v>NET INCOME (Excluding NRO)</v>
          </cell>
          <cell r="F60">
            <v>1409023.64</v>
          </cell>
          <cell r="G60">
            <v>1302895.9000000001</v>
          </cell>
          <cell r="H60">
            <v>106127.73999999987</v>
          </cell>
          <cell r="I60">
            <v>8.1455272059724693E-2</v>
          </cell>
        </row>
        <row r="62">
          <cell r="A62" t="str">
            <v>6216076071</v>
          </cell>
          <cell r="B62">
            <v>76071</v>
          </cell>
          <cell r="D62" t="str">
            <v>Reimaging Maintenance</v>
          </cell>
          <cell r="F62">
            <v>7530.49</v>
          </cell>
          <cell r="G62">
            <v>0</v>
          </cell>
          <cell r="H62">
            <v>-7530.49</v>
          </cell>
          <cell r="I62" t="str">
            <v>N/A</v>
          </cell>
        </row>
        <row r="64">
          <cell r="D64" t="str">
            <v>NET INCOME</v>
          </cell>
          <cell r="F64">
            <v>1401493.15</v>
          </cell>
          <cell r="G64">
            <v>1302895.9000000001</v>
          </cell>
          <cell r="H64">
            <v>98597.249999999869</v>
          </cell>
          <cell r="I64">
            <v>7.5675462636730889E-2</v>
          </cell>
        </row>
      </sheetData>
      <sheetData sheetId="3">
        <row r="2">
          <cell r="C2" t="str">
            <v>Alton Square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Five Months Ended November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62200</v>
          </cell>
          <cell r="C11" t="str">
            <v>Alton Square</v>
          </cell>
        </row>
        <row r="13">
          <cell r="D13" t="str">
            <v>REVENUE</v>
          </cell>
        </row>
        <row r="14">
          <cell r="A14" t="str">
            <v>6220041050</v>
          </cell>
          <cell r="B14">
            <v>41050</v>
          </cell>
          <cell r="D14" t="str">
            <v>Rental Income - Fixed</v>
          </cell>
          <cell r="F14">
            <v>2232798.98</v>
          </cell>
          <cell r="G14">
            <v>2253561.38</v>
          </cell>
          <cell r="H14">
            <v>-20762.399999999907</v>
          </cell>
          <cell r="I14">
            <v>-9.2131504312520252E-3</v>
          </cell>
        </row>
        <row r="15">
          <cell r="A15" t="str">
            <v>6220041074</v>
          </cell>
          <cell r="B15">
            <v>41074</v>
          </cell>
          <cell r="D15" t="str">
            <v>Rental Income - Percentage</v>
          </cell>
          <cell r="F15">
            <v>225934.59</v>
          </cell>
          <cell r="G15">
            <v>246464</v>
          </cell>
          <cell r="H15">
            <v>-20529.410000000003</v>
          </cell>
          <cell r="I15">
            <v>-8.3295775447935622E-2</v>
          </cell>
        </row>
        <row r="16">
          <cell r="A16" t="str">
            <v>6220041082</v>
          </cell>
          <cell r="B16">
            <v>41082</v>
          </cell>
          <cell r="D16" t="str">
            <v>Rental Income - Operating Expense Recoveries</v>
          </cell>
          <cell r="F16">
            <v>501644.14</v>
          </cell>
          <cell r="G16">
            <v>513712.08</v>
          </cell>
          <cell r="H16">
            <v>-12067.940000000002</v>
          </cell>
          <cell r="I16">
            <v>-2.3491641465779825E-2</v>
          </cell>
        </row>
        <row r="17">
          <cell r="A17" t="str">
            <v>6220045071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6220045070</v>
          </cell>
          <cell r="B18">
            <v>45070</v>
          </cell>
          <cell r="D18" t="str">
            <v>Other Income</v>
          </cell>
          <cell r="F18">
            <v>248.96</v>
          </cell>
          <cell r="G18">
            <v>100</v>
          </cell>
          <cell r="H18">
            <v>148.96</v>
          </cell>
          <cell r="I18">
            <v>1.4896</v>
          </cell>
        </row>
        <row r="19">
          <cell r="A19" t="str">
            <v>6220041060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-6304</v>
          </cell>
          <cell r="H19">
            <v>6304</v>
          </cell>
          <cell r="I19">
            <v>-1</v>
          </cell>
        </row>
        <row r="20">
          <cell r="A20" t="str">
            <v>6220044870</v>
          </cell>
          <cell r="B20">
            <v>44870</v>
          </cell>
          <cell r="D20" t="str">
            <v>Late Fees</v>
          </cell>
          <cell r="F20">
            <v>3077.67</v>
          </cell>
          <cell r="G20">
            <v>1333.36</v>
          </cell>
          <cell r="H20">
            <v>1744.3100000000002</v>
          </cell>
          <cell r="I20">
            <v>1.3082063358732827</v>
          </cell>
        </row>
        <row r="21">
          <cell r="D21" t="str">
            <v>TOTAL REVENUE</v>
          </cell>
          <cell r="F21">
            <v>2963704.34</v>
          </cell>
          <cell r="G21">
            <v>3008866.82</v>
          </cell>
          <cell r="H21">
            <v>-45162.479999999916</v>
          </cell>
          <cell r="I21">
            <v>-1.5009796944086717E-2</v>
          </cell>
        </row>
        <row r="23">
          <cell r="D23" t="str">
            <v>Exclusion to CAM True Up</v>
          </cell>
          <cell r="F23">
            <v>800</v>
          </cell>
        </row>
        <row r="24">
          <cell r="D24" t="str">
            <v>CAM Rev Excluding PY, HVAC</v>
          </cell>
          <cell r="F24">
            <v>500844.14</v>
          </cell>
          <cell r="G24">
            <v>513712.08</v>
          </cell>
        </row>
        <row r="25">
          <cell r="D25" t="str">
            <v>CAM Recovery Ratio</v>
          </cell>
          <cell r="F25">
            <v>1.2112165600500675</v>
          </cell>
          <cell r="G25">
            <v>1.1430300348387898</v>
          </cell>
          <cell r="H25">
            <v>6.818652521127766E-2</v>
          </cell>
          <cell r="I25">
            <v>5.96541850458851E-2</v>
          </cell>
        </row>
        <row r="27">
          <cell r="D27" t="str">
            <v>REIMBURSABLE EXPENSES</v>
          </cell>
        </row>
        <row r="28">
          <cell r="A28" t="str">
            <v>6220072710</v>
          </cell>
          <cell r="B28">
            <v>72710</v>
          </cell>
          <cell r="D28" t="str">
            <v>Utilities - Electricity</v>
          </cell>
          <cell r="F28">
            <v>8640.19</v>
          </cell>
          <cell r="G28">
            <v>9760</v>
          </cell>
          <cell r="H28">
            <v>1119.8099999999995</v>
          </cell>
          <cell r="I28">
            <v>0.11473463114754093</v>
          </cell>
        </row>
        <row r="29">
          <cell r="A29" t="str">
            <v>6220072740</v>
          </cell>
          <cell r="B29">
            <v>72740</v>
          </cell>
          <cell r="D29" t="str">
            <v>Utilities - Gas</v>
          </cell>
          <cell r="F29">
            <v>2079.64</v>
          </cell>
          <cell r="G29">
            <v>5502</v>
          </cell>
          <cell r="H29">
            <v>3422.36</v>
          </cell>
          <cell r="I29">
            <v>0.62202108324245731</v>
          </cell>
        </row>
        <row r="30">
          <cell r="A30" t="str">
            <v>6220072770</v>
          </cell>
          <cell r="B30">
            <v>72770</v>
          </cell>
          <cell r="D30" t="str">
            <v>Utilities - Water</v>
          </cell>
          <cell r="F30">
            <v>15600.72</v>
          </cell>
          <cell r="G30">
            <v>14688</v>
          </cell>
          <cell r="H30">
            <v>-912.71999999999935</v>
          </cell>
          <cell r="I30">
            <v>-6.214052287581695E-2</v>
          </cell>
        </row>
        <row r="31">
          <cell r="A31" t="str">
            <v>6220076000</v>
          </cell>
          <cell r="B31">
            <v>76000</v>
          </cell>
          <cell r="D31" t="str">
            <v>Bldg Maintenance &amp; Repair</v>
          </cell>
          <cell r="F31">
            <v>38764.879999999997</v>
          </cell>
          <cell r="G31">
            <v>66767</v>
          </cell>
          <cell r="H31">
            <v>28002.120000000003</v>
          </cell>
          <cell r="I31">
            <v>0.41940060209384877</v>
          </cell>
        </row>
        <row r="32">
          <cell r="A32" t="str">
            <v>6220076020</v>
          </cell>
          <cell r="B32">
            <v>76020</v>
          </cell>
          <cell r="D32" t="str">
            <v>Food Court Expense</v>
          </cell>
          <cell r="F32">
            <v>0</v>
          </cell>
          <cell r="G32">
            <v>0</v>
          </cell>
          <cell r="H32">
            <v>0</v>
          </cell>
          <cell r="I32" t="str">
            <v>N/A</v>
          </cell>
        </row>
        <row r="33">
          <cell r="A33" t="str">
            <v>6220076050</v>
          </cell>
          <cell r="B33">
            <v>76050</v>
          </cell>
          <cell r="D33" t="str">
            <v>Cleaning Expense</v>
          </cell>
          <cell r="F33">
            <v>60168.08</v>
          </cell>
          <cell r="G33">
            <v>55093.36</v>
          </cell>
          <cell r="H33">
            <v>-5074.7200000000012</v>
          </cell>
          <cell r="I33">
            <v>-9.21112816499121E-2</v>
          </cell>
        </row>
        <row r="34">
          <cell r="A34" t="str">
            <v>6220076091</v>
          </cell>
          <cell r="B34">
            <v>76091</v>
          </cell>
          <cell r="D34" t="str">
            <v>Parking Maintenance</v>
          </cell>
          <cell r="F34">
            <v>29287.49</v>
          </cell>
          <cell r="G34">
            <v>31598</v>
          </cell>
          <cell r="H34">
            <v>2310.5099999999984</v>
          </cell>
          <cell r="I34">
            <v>7.3122033040065773E-2</v>
          </cell>
        </row>
        <row r="35">
          <cell r="A35" t="str">
            <v>6220077000</v>
          </cell>
          <cell r="B35">
            <v>77000</v>
          </cell>
          <cell r="D35" t="str">
            <v>Grounds Maintenance</v>
          </cell>
          <cell r="F35">
            <v>24341.16</v>
          </cell>
          <cell r="G35">
            <v>30779.360000000001</v>
          </cell>
          <cell r="H35">
            <v>6438.2000000000007</v>
          </cell>
          <cell r="I35">
            <v>0.20917264036679128</v>
          </cell>
        </row>
        <row r="36">
          <cell r="A36" t="str">
            <v>6220077053</v>
          </cell>
          <cell r="B36">
            <v>77053</v>
          </cell>
          <cell r="D36" t="str">
            <v>Landscaping</v>
          </cell>
          <cell r="F36">
            <v>39375</v>
          </cell>
          <cell r="G36">
            <v>47798.36</v>
          </cell>
          <cell r="H36">
            <v>8423.36</v>
          </cell>
          <cell r="I36">
            <v>0.17622696678296076</v>
          </cell>
        </row>
        <row r="37">
          <cell r="A37" t="str">
            <v>6220078020</v>
          </cell>
          <cell r="B37">
            <v>78020</v>
          </cell>
          <cell r="D37" t="str">
            <v>Amortized CAM Exp</v>
          </cell>
          <cell r="F37">
            <v>29704.61</v>
          </cell>
          <cell r="G37">
            <v>22222</v>
          </cell>
          <cell r="H37">
            <v>-7482.6100000000006</v>
          </cell>
          <cell r="I37">
            <v>-0.3367208172081721</v>
          </cell>
        </row>
        <row r="38">
          <cell r="A38" t="str">
            <v>6220085584</v>
          </cell>
          <cell r="B38">
            <v>85584</v>
          </cell>
          <cell r="D38" t="str">
            <v>Bldg Admin-Office Costs</v>
          </cell>
          <cell r="F38">
            <v>6104.17</v>
          </cell>
          <cell r="G38">
            <v>5816</v>
          </cell>
          <cell r="H38">
            <v>-288.17000000000007</v>
          </cell>
          <cell r="I38">
            <v>-4.9547799174690522E-2</v>
          </cell>
        </row>
        <row r="39">
          <cell r="A39" t="str">
            <v>6220085582</v>
          </cell>
          <cell r="B39">
            <v>85582</v>
          </cell>
          <cell r="D39" t="str">
            <v>Bldg Admin-Salaries</v>
          </cell>
          <cell r="F39">
            <v>39487.65</v>
          </cell>
          <cell r="G39">
            <v>39168.639999999999</v>
          </cell>
          <cell r="H39">
            <v>-319.01000000000204</v>
          </cell>
          <cell r="I39">
            <v>-8.1445258247414779E-3</v>
          </cell>
        </row>
        <row r="40">
          <cell r="A40" t="str">
            <v>6220086564</v>
          </cell>
          <cell r="B40">
            <v>86564</v>
          </cell>
          <cell r="D40" t="str">
            <v>Insurance</v>
          </cell>
          <cell r="F40">
            <v>30404</v>
          </cell>
          <cell r="G40">
            <v>34405.360000000001</v>
          </cell>
          <cell r="H40">
            <v>4001.3600000000006</v>
          </cell>
          <cell r="I40">
            <v>0.1163004834130496</v>
          </cell>
        </row>
        <row r="41">
          <cell r="A41" t="str">
            <v>6220088846</v>
          </cell>
          <cell r="B41">
            <v>88846</v>
          </cell>
          <cell r="D41" t="str">
            <v>Expenses-Other</v>
          </cell>
          <cell r="F41">
            <v>0</v>
          </cell>
          <cell r="G41">
            <v>0</v>
          </cell>
          <cell r="H41">
            <v>0</v>
          </cell>
          <cell r="I41" t="str">
            <v>N/A</v>
          </cell>
        </row>
        <row r="42">
          <cell r="A42" t="str">
            <v>6220088890</v>
          </cell>
          <cell r="B42">
            <v>88890</v>
          </cell>
          <cell r="D42" t="str">
            <v>Security/Safety</v>
          </cell>
          <cell r="F42">
            <v>21683.439999999999</v>
          </cell>
          <cell r="G42">
            <v>18666.64</v>
          </cell>
          <cell r="H42">
            <v>-3016.7999999999993</v>
          </cell>
          <cell r="I42">
            <v>-0.16161451659216652</v>
          </cell>
        </row>
        <row r="43">
          <cell r="A43" t="str">
            <v>6220089775</v>
          </cell>
          <cell r="B43">
            <v>89775</v>
          </cell>
          <cell r="D43" t="str">
            <v>Assmt Dist Taxes- Reimb</v>
          </cell>
          <cell r="F43">
            <v>0</v>
          </cell>
          <cell r="G43">
            <v>0</v>
          </cell>
          <cell r="H43">
            <v>0</v>
          </cell>
          <cell r="I43" t="str">
            <v>N/A</v>
          </cell>
        </row>
        <row r="44">
          <cell r="A44" t="str">
            <v>6220089786</v>
          </cell>
          <cell r="B44">
            <v>89786</v>
          </cell>
          <cell r="D44" t="str">
            <v>Property Tax Exp</v>
          </cell>
          <cell r="F44">
            <v>67864</v>
          </cell>
          <cell r="G44">
            <v>67165.36</v>
          </cell>
          <cell r="H44">
            <v>-698.63999999999942</v>
          </cell>
          <cell r="I44">
            <v>-1.0401790446742181E-2</v>
          </cell>
        </row>
        <row r="45">
          <cell r="D45" t="str">
            <v>Total Reimbursable</v>
          </cell>
          <cell r="F45">
            <v>413505.03</v>
          </cell>
          <cell r="G45">
            <v>449430.07999999996</v>
          </cell>
          <cell r="H45">
            <v>35925.050000000003</v>
          </cell>
          <cell r="I45">
            <v>7.9934680829551963E-2</v>
          </cell>
        </row>
        <row r="46">
          <cell r="A46" t="str">
            <v>6220072701</v>
          </cell>
          <cell r="B46">
            <v>72701</v>
          </cell>
          <cell r="D46" t="str">
            <v>Utilities</v>
          </cell>
          <cell r="F46">
            <v>26.99</v>
          </cell>
          <cell r="G46">
            <v>62.5</v>
          </cell>
          <cell r="H46">
            <v>35.510000000000005</v>
          </cell>
          <cell r="I46">
            <v>0.56816000000000011</v>
          </cell>
        </row>
        <row r="47">
          <cell r="A47" t="str">
            <v>6220076010</v>
          </cell>
          <cell r="B47">
            <v>76010</v>
          </cell>
          <cell r="D47" t="str">
            <v>NON-REIMBURSABLE EXPENSES</v>
          </cell>
          <cell r="F47">
            <v>439</v>
          </cell>
          <cell r="G47">
            <v>500</v>
          </cell>
          <cell r="H47">
            <v>61</v>
          </cell>
          <cell r="I47">
            <v>0.122</v>
          </cell>
        </row>
        <row r="48">
          <cell r="A48" t="str">
            <v>6220072701</v>
          </cell>
          <cell r="B48">
            <v>72701</v>
          </cell>
          <cell r="D48" t="str">
            <v>Utilities</v>
          </cell>
          <cell r="F48">
            <v>66.09</v>
          </cell>
          <cell r="G48">
            <v>100</v>
          </cell>
          <cell r="H48">
            <v>33.909999999999997</v>
          </cell>
          <cell r="I48">
            <v>0.33909999999999996</v>
          </cell>
        </row>
        <row r="49">
          <cell r="A49" t="str">
            <v>6220076010</v>
          </cell>
          <cell r="B49">
            <v>76010</v>
          </cell>
          <cell r="D49" t="str">
            <v>Tenant Alterations</v>
          </cell>
          <cell r="F49">
            <v>439</v>
          </cell>
          <cell r="G49">
            <v>1000</v>
          </cell>
          <cell r="H49">
            <v>561</v>
          </cell>
          <cell r="I49">
            <v>0.56100000000000005</v>
          </cell>
        </row>
        <row r="50">
          <cell r="A50" t="str">
            <v>6220076054</v>
          </cell>
          <cell r="B50">
            <v>76054</v>
          </cell>
          <cell r="D50" t="str">
            <v>Bldg Maintenance &amp; Repair</v>
          </cell>
          <cell r="F50">
            <v>7176.92</v>
          </cell>
          <cell r="G50">
            <v>10250</v>
          </cell>
          <cell r="H50">
            <v>3073.08</v>
          </cell>
          <cell r="I50">
            <v>0.29981268292682928</v>
          </cell>
        </row>
        <row r="51">
          <cell r="A51" t="str">
            <v>6220084240</v>
          </cell>
          <cell r="B51">
            <v>84240</v>
          </cell>
          <cell r="D51" t="str">
            <v>Marketing Leasing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6220084243</v>
          </cell>
          <cell r="B52">
            <v>84243</v>
          </cell>
          <cell r="D52" t="str">
            <v>Marketing Coordination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6220084244</v>
          </cell>
          <cell r="B53">
            <v>84244</v>
          </cell>
          <cell r="D53" t="str">
            <v>Marketing-Net Required</v>
          </cell>
          <cell r="F53">
            <v>0</v>
          </cell>
          <cell r="G53">
            <v>0</v>
          </cell>
          <cell r="H53">
            <v>0</v>
          </cell>
          <cell r="I53" t="str">
            <v>N/A</v>
          </cell>
        </row>
        <row r="54">
          <cell r="A54" t="str">
            <v>6220085016</v>
          </cell>
          <cell r="B54">
            <v>85016</v>
          </cell>
          <cell r="D54" t="str">
            <v>Prof Svc-Attorney Outside</v>
          </cell>
          <cell r="F54">
            <v>-854.77</v>
          </cell>
          <cell r="G54">
            <v>5000</v>
          </cell>
          <cell r="H54">
            <v>5854.77</v>
          </cell>
          <cell r="I54">
            <v>1.1709540000000001</v>
          </cell>
        </row>
        <row r="55">
          <cell r="A55" t="str">
            <v>6220085022</v>
          </cell>
          <cell r="B55">
            <v>85022</v>
          </cell>
          <cell r="D55" t="str">
            <v>Prof Svc-Audit/Acctng</v>
          </cell>
          <cell r="F55">
            <v>-2025</v>
          </cell>
          <cell r="G55">
            <v>0</v>
          </cell>
          <cell r="H55">
            <v>2025</v>
          </cell>
          <cell r="I55" t="str">
            <v>N/A</v>
          </cell>
        </row>
        <row r="56">
          <cell r="A56" t="str">
            <v>6220085500</v>
          </cell>
          <cell r="B56">
            <v>85500</v>
          </cell>
          <cell r="D56" t="str">
            <v>Consulting Services</v>
          </cell>
          <cell r="F56">
            <v>0</v>
          </cell>
          <cell r="G56">
            <v>500</v>
          </cell>
          <cell r="H56">
            <v>500</v>
          </cell>
          <cell r="I56">
            <v>1</v>
          </cell>
        </row>
        <row r="57">
          <cell r="A57" t="str">
            <v>6220085566</v>
          </cell>
          <cell r="B57">
            <v>85566</v>
          </cell>
          <cell r="D57" t="str">
            <v>Management Fee</v>
          </cell>
          <cell r="F57">
            <v>0</v>
          </cell>
          <cell r="G57">
            <v>0</v>
          </cell>
          <cell r="H57">
            <v>0</v>
          </cell>
          <cell r="I57" t="str">
            <v>N/A</v>
          </cell>
        </row>
        <row r="58">
          <cell r="A58" t="str">
            <v>6220085581</v>
          </cell>
          <cell r="B58">
            <v>85581</v>
          </cell>
          <cell r="D58" t="str">
            <v>Bldg Admin- Salaries</v>
          </cell>
          <cell r="F58">
            <v>22369.46</v>
          </cell>
          <cell r="G58">
            <v>23408</v>
          </cell>
          <cell r="H58">
            <v>1038.5400000000009</v>
          </cell>
          <cell r="I58">
            <v>4.4366883116883152E-2</v>
          </cell>
        </row>
        <row r="59">
          <cell r="A59" t="str">
            <v>6220085583</v>
          </cell>
          <cell r="B59">
            <v>85583</v>
          </cell>
          <cell r="D59" t="str">
            <v>Bldg Admin - Office Exp</v>
          </cell>
          <cell r="F59">
            <v>3646.34</v>
          </cell>
          <cell r="G59">
            <v>3395.36</v>
          </cell>
          <cell r="H59">
            <v>-250.98000000000002</v>
          </cell>
          <cell r="I59">
            <v>-7.3918524103482403E-2</v>
          </cell>
        </row>
        <row r="60">
          <cell r="A60" t="str">
            <v>6220086985</v>
          </cell>
          <cell r="B60">
            <v>86985</v>
          </cell>
          <cell r="D60" t="str">
            <v>Purchased Svcs-Other</v>
          </cell>
          <cell r="F60">
            <v>0</v>
          </cell>
          <cell r="G60">
            <v>0</v>
          </cell>
          <cell r="H60">
            <v>0</v>
          </cell>
          <cell r="I60" t="str">
            <v>N/A</v>
          </cell>
        </row>
        <row r="61">
          <cell r="A61" t="str">
            <v>6220088710</v>
          </cell>
          <cell r="B61">
            <v>88710</v>
          </cell>
          <cell r="D61" t="str">
            <v>Losses-Bad Debts</v>
          </cell>
          <cell r="F61">
            <v>10089.42</v>
          </cell>
          <cell r="G61">
            <v>20880</v>
          </cell>
          <cell r="H61">
            <v>10790.58</v>
          </cell>
          <cell r="I61">
            <v>0.51679022988505752</v>
          </cell>
        </row>
        <row r="62">
          <cell r="D62" t="str">
            <v>Total Non-Reimbursable</v>
          </cell>
          <cell r="F62">
            <v>40907.46</v>
          </cell>
          <cell r="G62">
            <v>64533.36</v>
          </cell>
          <cell r="H62">
            <v>23625.9</v>
          </cell>
          <cell r="I62">
            <v>0.3661036710315409</v>
          </cell>
        </row>
        <row r="63">
          <cell r="D63" t="str">
            <v>NET INCOME (Excluding NRO)</v>
          </cell>
          <cell r="F63">
            <v>1616791.09</v>
          </cell>
          <cell r="G63">
            <v>1610428.7300000002</v>
          </cell>
          <cell r="H63">
            <v>6362.3600000000806</v>
          </cell>
          <cell r="I63">
            <v>3.9507243515210259E-3</v>
          </cell>
        </row>
        <row r="64">
          <cell r="D64" t="str">
            <v>TOTAL OPERATING EXPENSES</v>
          </cell>
          <cell r="F64">
            <v>454412.49000000005</v>
          </cell>
          <cell r="G64">
            <v>513963.43999999994</v>
          </cell>
          <cell r="H64">
            <v>59550.950000000004</v>
          </cell>
          <cell r="I64">
            <v>0.11586612074975608</v>
          </cell>
        </row>
        <row r="65">
          <cell r="A65" t="str">
            <v>6220076071</v>
          </cell>
          <cell r="B65">
            <v>76071</v>
          </cell>
          <cell r="D65" t="str">
            <v>Reimaging Maintenance</v>
          </cell>
          <cell r="F65">
            <v>0</v>
          </cell>
          <cell r="G65">
            <v>0</v>
          </cell>
          <cell r="H65">
            <v>0</v>
          </cell>
          <cell r="I65" t="str">
            <v>N/A</v>
          </cell>
        </row>
        <row r="66">
          <cell r="D66" t="str">
            <v>NET INCOME (Excluding NRO)</v>
          </cell>
          <cell r="F66">
            <v>2509291.8499999996</v>
          </cell>
          <cell r="G66">
            <v>2494903.38</v>
          </cell>
          <cell r="H66">
            <v>14388.470000000088</v>
          </cell>
          <cell r="I66">
            <v>5.7671451789848829E-3</v>
          </cell>
        </row>
        <row r="67">
          <cell r="D67" t="str">
            <v>NET INCOME</v>
          </cell>
          <cell r="F67">
            <v>1616791.09</v>
          </cell>
          <cell r="G67">
            <v>1610428.7300000002</v>
          </cell>
          <cell r="H67">
            <v>6362.3600000000806</v>
          </cell>
          <cell r="I67">
            <v>3.9507243515210259E-3</v>
          </cell>
        </row>
        <row r="68">
          <cell r="A68" t="str">
            <v>6220076071</v>
          </cell>
          <cell r="B68">
            <v>76071</v>
          </cell>
          <cell r="D68" t="str">
            <v>Reimaging Maintenance</v>
          </cell>
          <cell r="F68">
            <v>0</v>
          </cell>
          <cell r="G68">
            <v>0</v>
          </cell>
          <cell r="H68">
            <v>0</v>
          </cell>
          <cell r="I68" t="str">
            <v>N/A</v>
          </cell>
        </row>
        <row r="70">
          <cell r="D70" t="str">
            <v>NET INCOME</v>
          </cell>
          <cell r="F70">
            <v>2509291.8499999996</v>
          </cell>
          <cell r="G70">
            <v>2494903.38</v>
          </cell>
          <cell r="H70">
            <v>14388.470000000088</v>
          </cell>
          <cell r="I70">
            <v>5.7671451789848829E-3</v>
          </cell>
        </row>
      </sheetData>
      <sheetData sheetId="4">
        <row r="2">
          <cell r="C2" t="str">
            <v>Corona Del Mar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Five Months Ended November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62255</v>
          </cell>
          <cell r="C11" t="str">
            <v>Corona Del Mar</v>
          </cell>
        </row>
        <row r="13">
          <cell r="D13" t="str">
            <v>REVENUE</v>
          </cell>
        </row>
        <row r="14">
          <cell r="A14" t="str">
            <v>6225541050</v>
          </cell>
          <cell r="B14">
            <v>41050</v>
          </cell>
          <cell r="D14" t="str">
            <v>Rental Income - Fixed</v>
          </cell>
          <cell r="F14">
            <v>2560667.41</v>
          </cell>
          <cell r="G14">
            <v>2553938.64</v>
          </cell>
          <cell r="H14">
            <v>6728.7700000000186</v>
          </cell>
          <cell r="I14">
            <v>2.6346639244238142E-3</v>
          </cell>
        </row>
        <row r="15">
          <cell r="A15" t="str">
            <v>6225541074</v>
          </cell>
          <cell r="B15">
            <v>41074</v>
          </cell>
          <cell r="D15" t="str">
            <v>Rental Income - Percentage</v>
          </cell>
          <cell r="F15">
            <v>883961.12</v>
          </cell>
          <cell r="G15">
            <v>859471</v>
          </cell>
          <cell r="H15">
            <v>24490.119999999995</v>
          </cell>
          <cell r="I15">
            <v>2.8494411097058536E-2</v>
          </cell>
        </row>
        <row r="16">
          <cell r="A16" t="str">
            <v>6225541082</v>
          </cell>
          <cell r="B16">
            <v>41082</v>
          </cell>
          <cell r="D16" t="str">
            <v>Rental Income - Operating Expense Recoveries</v>
          </cell>
          <cell r="F16">
            <v>456434.29</v>
          </cell>
          <cell r="G16">
            <v>865290.32</v>
          </cell>
          <cell r="H16">
            <v>-408856.02999999997</v>
          </cell>
          <cell r="I16">
            <v>-0.47250734296900487</v>
          </cell>
        </row>
        <row r="17">
          <cell r="A17" t="str">
            <v>6225545071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6225545070</v>
          </cell>
          <cell r="B18">
            <v>45070</v>
          </cell>
          <cell r="D18" t="str">
            <v>Other Income</v>
          </cell>
          <cell r="F18">
            <v>34220.239999999998</v>
          </cell>
          <cell r="G18">
            <v>28718</v>
          </cell>
          <cell r="H18">
            <v>5502.239999999998</v>
          </cell>
          <cell r="I18">
            <v>0.19159551500800884</v>
          </cell>
        </row>
        <row r="19">
          <cell r="A19" t="str">
            <v>6225541060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-14720</v>
          </cell>
          <cell r="H19">
            <v>14720</v>
          </cell>
          <cell r="I19">
            <v>-1</v>
          </cell>
        </row>
        <row r="20">
          <cell r="A20" t="str">
            <v>6225544870</v>
          </cell>
          <cell r="B20">
            <v>44870</v>
          </cell>
          <cell r="D20" t="str">
            <v>Late Fees</v>
          </cell>
          <cell r="F20">
            <v>21502.400000000001</v>
          </cell>
          <cell r="G20">
            <v>666.64</v>
          </cell>
          <cell r="H20">
            <v>20835.760000000002</v>
          </cell>
          <cell r="I20">
            <v>31.254890195607828</v>
          </cell>
        </row>
        <row r="21">
          <cell r="D21" t="str">
            <v>TOTAL REVENUE</v>
          </cell>
          <cell r="F21">
            <v>3956785.4600000004</v>
          </cell>
          <cell r="G21">
            <v>4293364.5999999996</v>
          </cell>
          <cell r="H21">
            <v>-336579.13999999996</v>
          </cell>
          <cell r="I21">
            <v>-7.8395191500856928E-2</v>
          </cell>
        </row>
        <row r="23">
          <cell r="D23" t="str">
            <v>Exclusion to CAM True Up</v>
          </cell>
          <cell r="F23">
            <v>-1144</v>
          </cell>
        </row>
        <row r="24">
          <cell r="D24" t="str">
            <v>CAM Rev Excluding PY, HVAC</v>
          </cell>
          <cell r="F24">
            <v>457578.29</v>
          </cell>
          <cell r="G24">
            <v>865290.32</v>
          </cell>
        </row>
        <row r="25">
          <cell r="D25" t="str">
            <v>CAM Recovery Ratio</v>
          </cell>
          <cell r="F25">
            <v>1.1014055598249617</v>
          </cell>
          <cell r="G25">
            <v>1.0543487847217949</v>
          </cell>
          <cell r="H25">
            <v>4.7056775103166748E-2</v>
          </cell>
          <cell r="I25">
            <v>4.4631127559542218E-2</v>
          </cell>
        </row>
        <row r="27">
          <cell r="D27" t="str">
            <v>REIMBURSABLE EXPENSES</v>
          </cell>
        </row>
        <row r="28">
          <cell r="A28" t="str">
            <v>6225572710</v>
          </cell>
          <cell r="B28">
            <v>72710</v>
          </cell>
          <cell r="D28" t="str">
            <v>Utilities - Electricity</v>
          </cell>
          <cell r="F28">
            <v>21905.82</v>
          </cell>
          <cell r="G28">
            <v>19896</v>
          </cell>
          <cell r="H28">
            <v>-2009.8199999999997</v>
          </cell>
          <cell r="I28">
            <v>-0.10101628468033774</v>
          </cell>
        </row>
        <row r="29">
          <cell r="A29" t="str">
            <v>6225572770</v>
          </cell>
          <cell r="B29">
            <v>72770</v>
          </cell>
          <cell r="D29" t="str">
            <v>Utilities - Water</v>
          </cell>
          <cell r="F29">
            <v>45565.13</v>
          </cell>
          <cell r="G29">
            <v>26576</v>
          </cell>
          <cell r="H29">
            <v>-18989.129999999997</v>
          </cell>
          <cell r="I29">
            <v>-0.71452174894641773</v>
          </cell>
        </row>
        <row r="30">
          <cell r="A30" t="str">
            <v>6225576000</v>
          </cell>
          <cell r="B30">
            <v>76000</v>
          </cell>
          <cell r="D30" t="str">
            <v>Bldg Maintenance &amp; Repair</v>
          </cell>
          <cell r="F30">
            <v>24858.15</v>
          </cell>
          <cell r="G30">
            <v>27796.62</v>
          </cell>
          <cell r="H30">
            <v>2938.4699999999975</v>
          </cell>
          <cell r="I30">
            <v>0.10571321261361985</v>
          </cell>
        </row>
        <row r="31">
          <cell r="A31" t="str">
            <v>6225576020</v>
          </cell>
          <cell r="B31">
            <v>76020</v>
          </cell>
          <cell r="D31" t="str">
            <v>Food Court Expense</v>
          </cell>
          <cell r="F31">
            <v>0</v>
          </cell>
          <cell r="G31">
            <v>0</v>
          </cell>
          <cell r="H31">
            <v>0</v>
          </cell>
          <cell r="I31" t="str">
            <v>N/A</v>
          </cell>
        </row>
        <row r="32">
          <cell r="A32" t="str">
            <v>6225576050</v>
          </cell>
          <cell r="B32">
            <v>76050</v>
          </cell>
          <cell r="D32" t="str">
            <v>Cleaning Expense</v>
          </cell>
          <cell r="F32">
            <v>48856.24</v>
          </cell>
          <cell r="G32">
            <v>46640</v>
          </cell>
          <cell r="H32">
            <v>-2216.239999999998</v>
          </cell>
          <cell r="I32">
            <v>-4.751801029159515E-2</v>
          </cell>
        </row>
        <row r="33">
          <cell r="A33" t="str">
            <v>6225576091</v>
          </cell>
          <cell r="B33">
            <v>76091</v>
          </cell>
          <cell r="D33" t="str">
            <v>Parking Maintenance</v>
          </cell>
          <cell r="F33">
            <v>33901.599999999999</v>
          </cell>
          <cell r="G33">
            <v>36277.360000000001</v>
          </cell>
          <cell r="H33">
            <v>2375.760000000002</v>
          </cell>
          <cell r="I33">
            <v>6.5488778676287412E-2</v>
          </cell>
        </row>
        <row r="34">
          <cell r="A34" t="str">
            <v>6225577000</v>
          </cell>
          <cell r="B34">
            <v>77000</v>
          </cell>
          <cell r="D34" t="str">
            <v>Grounds Maintenance</v>
          </cell>
          <cell r="F34">
            <v>33647.519999999997</v>
          </cell>
          <cell r="G34">
            <v>122276.64</v>
          </cell>
          <cell r="H34">
            <v>88629.119999999995</v>
          </cell>
          <cell r="I34">
            <v>0.72482462717326868</v>
          </cell>
        </row>
        <row r="35">
          <cell r="A35" t="str">
            <v>6225577053</v>
          </cell>
          <cell r="B35">
            <v>77053</v>
          </cell>
          <cell r="D35" t="str">
            <v>Landscaping</v>
          </cell>
          <cell r="F35">
            <v>34798</v>
          </cell>
          <cell r="G35">
            <v>48681</v>
          </cell>
          <cell r="H35">
            <v>13883</v>
          </cell>
          <cell r="I35">
            <v>0.28518313099566567</v>
          </cell>
        </row>
        <row r="36">
          <cell r="A36" t="str">
            <v>6225578020</v>
          </cell>
          <cell r="B36">
            <v>78020</v>
          </cell>
          <cell r="D36" t="str">
            <v>Amortized CAM Exp</v>
          </cell>
          <cell r="F36">
            <v>68058.44</v>
          </cell>
          <cell r="G36">
            <v>56111.360000000001</v>
          </cell>
          <cell r="H36">
            <v>-11947.080000000002</v>
          </cell>
          <cell r="I36">
            <v>-0.21291731300043346</v>
          </cell>
        </row>
        <row r="37">
          <cell r="A37" t="str">
            <v>6225585584</v>
          </cell>
          <cell r="B37">
            <v>85584</v>
          </cell>
          <cell r="D37" t="str">
            <v>Bldg Admin-Office Costs</v>
          </cell>
          <cell r="F37">
            <v>5502.29</v>
          </cell>
          <cell r="G37">
            <v>5240</v>
          </cell>
          <cell r="H37">
            <v>-262.28999999999996</v>
          </cell>
          <cell r="I37">
            <v>-5.0055343511450377E-2</v>
          </cell>
        </row>
        <row r="38">
          <cell r="A38" t="str">
            <v>6225585582</v>
          </cell>
          <cell r="B38">
            <v>85582</v>
          </cell>
          <cell r="D38" t="str">
            <v>Bldg Admin-Salaries</v>
          </cell>
          <cell r="F38">
            <v>35594.11</v>
          </cell>
          <cell r="G38">
            <v>35306.639999999999</v>
          </cell>
          <cell r="H38">
            <v>-287.47000000000116</v>
          </cell>
          <cell r="I38">
            <v>-8.1420945181983097E-3</v>
          </cell>
        </row>
        <row r="39">
          <cell r="A39" t="str">
            <v>6225586564</v>
          </cell>
          <cell r="B39">
            <v>86564</v>
          </cell>
          <cell r="D39" t="str">
            <v>Insurance</v>
          </cell>
          <cell r="F39">
            <v>33996</v>
          </cell>
          <cell r="G39">
            <v>38724</v>
          </cell>
          <cell r="H39">
            <v>4728</v>
          </cell>
          <cell r="I39">
            <v>0.12209482491478153</v>
          </cell>
        </row>
        <row r="40">
          <cell r="A40" t="str">
            <v>6225588890</v>
          </cell>
          <cell r="B40">
            <v>88890</v>
          </cell>
          <cell r="D40" t="str">
            <v>Security/Safety</v>
          </cell>
          <cell r="F40">
            <v>38824.35</v>
          </cell>
          <cell r="G40">
            <v>57400</v>
          </cell>
          <cell r="H40">
            <v>18575.650000000001</v>
          </cell>
          <cell r="I40">
            <v>0.32361759581881533</v>
          </cell>
        </row>
        <row r="41">
          <cell r="A41" t="str">
            <v>6225589775</v>
          </cell>
          <cell r="B41">
            <v>89775</v>
          </cell>
          <cell r="D41" t="str">
            <v>Assmt Dist Taxes- Reimb</v>
          </cell>
          <cell r="F41">
            <v>112148</v>
          </cell>
          <cell r="G41">
            <v>98394</v>
          </cell>
          <cell r="H41">
            <v>-13754</v>
          </cell>
          <cell r="I41">
            <v>-0.13978494623655913</v>
          </cell>
        </row>
        <row r="42">
          <cell r="A42" t="str">
            <v>6225589786</v>
          </cell>
          <cell r="B42">
            <v>89786</v>
          </cell>
          <cell r="D42" t="str">
            <v>Property Tax Exp</v>
          </cell>
          <cell r="F42">
            <v>-122206.24</v>
          </cell>
          <cell r="G42">
            <v>201367.36</v>
          </cell>
          <cell r="H42">
            <v>323573.59999999998</v>
          </cell>
          <cell r="I42">
            <v>1.6068820686728971</v>
          </cell>
        </row>
        <row r="43">
          <cell r="D43" t="str">
            <v>Total Reimbursable</v>
          </cell>
          <cell r="F43">
            <v>415449.40999999992</v>
          </cell>
          <cell r="G43">
            <v>820686.98</v>
          </cell>
          <cell r="H43">
            <v>405237.56999999995</v>
          </cell>
          <cell r="I43">
            <v>0.49377848056027396</v>
          </cell>
        </row>
        <row r="45">
          <cell r="D45" t="str">
            <v>NON-REIMBURSABLE EXPENSES</v>
          </cell>
        </row>
        <row r="46">
          <cell r="A46" t="str">
            <v>6225572701</v>
          </cell>
          <cell r="B46">
            <v>72701</v>
          </cell>
          <cell r="D46" t="str">
            <v>Utilities</v>
          </cell>
          <cell r="F46">
            <v>215.74</v>
          </cell>
          <cell r="G46">
            <v>160</v>
          </cell>
          <cell r="H46">
            <v>-55.740000000000009</v>
          </cell>
          <cell r="I46">
            <v>-0.34837500000000005</v>
          </cell>
        </row>
        <row r="47">
          <cell r="A47" t="str">
            <v>6225576010</v>
          </cell>
          <cell r="B47">
            <v>76010</v>
          </cell>
          <cell r="D47" t="str">
            <v>Tenant Alterations</v>
          </cell>
          <cell r="F47">
            <v>213.1</v>
          </cell>
          <cell r="G47">
            <v>500</v>
          </cell>
          <cell r="H47">
            <v>286.89999999999998</v>
          </cell>
          <cell r="I47">
            <v>0.57379999999999998</v>
          </cell>
        </row>
        <row r="48">
          <cell r="A48" t="str">
            <v>6225576054</v>
          </cell>
          <cell r="B48">
            <v>76054</v>
          </cell>
          <cell r="D48" t="str">
            <v>Bldg Maintenance &amp; Repair</v>
          </cell>
          <cell r="F48">
            <v>2252.56</v>
          </cell>
          <cell r="G48">
            <v>0</v>
          </cell>
          <cell r="H48">
            <v>-2252.56</v>
          </cell>
          <cell r="I48" t="str">
            <v>N/A</v>
          </cell>
        </row>
        <row r="49">
          <cell r="A49" t="str">
            <v>6225584240</v>
          </cell>
          <cell r="B49">
            <v>84240</v>
          </cell>
          <cell r="D49" t="str">
            <v>Marketing Leasing</v>
          </cell>
          <cell r="F49">
            <v>0</v>
          </cell>
          <cell r="G49">
            <v>0</v>
          </cell>
          <cell r="H49">
            <v>0</v>
          </cell>
          <cell r="I49" t="str">
            <v>N/A</v>
          </cell>
        </row>
        <row r="50">
          <cell r="A50" t="str">
            <v>6225584243</v>
          </cell>
          <cell r="B50">
            <v>84243</v>
          </cell>
          <cell r="D50" t="str">
            <v>Marketing Coordination</v>
          </cell>
          <cell r="F50">
            <v>0</v>
          </cell>
          <cell r="G50">
            <v>0</v>
          </cell>
          <cell r="H50">
            <v>0</v>
          </cell>
          <cell r="I50" t="str">
            <v>N/A</v>
          </cell>
        </row>
        <row r="51">
          <cell r="A51" t="str">
            <v>6225584244</v>
          </cell>
          <cell r="B51">
            <v>84244</v>
          </cell>
          <cell r="D51" t="str">
            <v>Marketing-Net Required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6225585016</v>
          </cell>
          <cell r="B52">
            <v>85016</v>
          </cell>
          <cell r="D52" t="str">
            <v>Prof Svc-Attorney Outside</v>
          </cell>
          <cell r="F52">
            <v>1553.93</v>
          </cell>
          <cell r="G52">
            <v>10000</v>
          </cell>
          <cell r="H52">
            <v>8446.07</v>
          </cell>
          <cell r="I52">
            <v>0.844607</v>
          </cell>
        </row>
        <row r="53">
          <cell r="A53" t="str">
            <v>6225585022</v>
          </cell>
          <cell r="B53">
            <v>85022</v>
          </cell>
          <cell r="D53" t="str">
            <v>Prof Svc-Audit/Acctng</v>
          </cell>
          <cell r="F53">
            <v>-1225</v>
          </cell>
          <cell r="G53">
            <v>1350</v>
          </cell>
          <cell r="H53">
            <v>2575</v>
          </cell>
          <cell r="I53">
            <v>1.9074074074074074</v>
          </cell>
        </row>
        <row r="54">
          <cell r="A54" t="str">
            <v>6225585500</v>
          </cell>
          <cell r="B54">
            <v>85500</v>
          </cell>
          <cell r="D54" t="str">
            <v>Consulting Services</v>
          </cell>
          <cell r="F54">
            <v>0</v>
          </cell>
          <cell r="G54">
            <v>0</v>
          </cell>
          <cell r="H54">
            <v>0</v>
          </cell>
          <cell r="I54" t="str">
            <v>N/A</v>
          </cell>
        </row>
        <row r="55">
          <cell r="A55" t="str">
            <v>6225585566</v>
          </cell>
          <cell r="B55">
            <v>85566</v>
          </cell>
          <cell r="D55" t="str">
            <v>Management Fee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A56" t="str">
            <v>6225585581</v>
          </cell>
          <cell r="B56">
            <v>85581</v>
          </cell>
          <cell r="D56" t="str">
            <v>Bldg Admin- Salaries</v>
          </cell>
          <cell r="F56">
            <v>20163.849999999999</v>
          </cell>
          <cell r="G56">
            <v>21100</v>
          </cell>
          <cell r="H56">
            <v>936.15000000000146</v>
          </cell>
          <cell r="I56">
            <v>4.436729857819912E-2</v>
          </cell>
        </row>
        <row r="57">
          <cell r="A57" t="str">
            <v>6225585583</v>
          </cell>
          <cell r="B57">
            <v>85583</v>
          </cell>
          <cell r="D57" t="str">
            <v>Bldg Admin - Office Exp</v>
          </cell>
          <cell r="F57">
            <v>2898.29</v>
          </cell>
          <cell r="G57">
            <v>3060</v>
          </cell>
          <cell r="H57">
            <v>161.71000000000004</v>
          </cell>
          <cell r="I57">
            <v>5.2846405228758185E-2</v>
          </cell>
        </row>
        <row r="58">
          <cell r="A58" t="str">
            <v>6225586985</v>
          </cell>
          <cell r="B58">
            <v>86985</v>
          </cell>
          <cell r="D58" t="str">
            <v>Signage - Leasing</v>
          </cell>
          <cell r="F58">
            <v>298.77</v>
          </cell>
          <cell r="G58">
            <v>0</v>
          </cell>
          <cell r="H58">
            <v>-298.77</v>
          </cell>
          <cell r="I58" t="str">
            <v>N/A</v>
          </cell>
        </row>
        <row r="59">
          <cell r="A59" t="str">
            <v>6225588710</v>
          </cell>
          <cell r="B59">
            <v>88710</v>
          </cell>
          <cell r="D59" t="str">
            <v>Losses-Bad Debts</v>
          </cell>
          <cell r="F59">
            <v>-3062.26</v>
          </cell>
          <cell r="G59">
            <v>28740</v>
          </cell>
          <cell r="H59">
            <v>31802.260000000002</v>
          </cell>
          <cell r="I59">
            <v>1.1065504523312457</v>
          </cell>
        </row>
        <row r="60">
          <cell r="D60" t="str">
            <v>Total Non-Reimbursable</v>
          </cell>
          <cell r="F60">
            <v>23308.980000000003</v>
          </cell>
          <cell r="G60">
            <v>64910</v>
          </cell>
          <cell r="H60">
            <v>41601.020000000004</v>
          </cell>
          <cell r="I60">
            <v>0.64090309659528588</v>
          </cell>
        </row>
        <row r="61">
          <cell r="D61" t="str">
            <v>TOTAL OPERATING EXPENSES</v>
          </cell>
          <cell r="F61">
            <v>456097.12</v>
          </cell>
          <cell r="G61">
            <v>582987.82000000007</v>
          </cell>
          <cell r="H61">
            <v>126890.70000000003</v>
          </cell>
          <cell r="I61">
            <v>0.21765583370163721</v>
          </cell>
        </row>
        <row r="62">
          <cell r="D62" t="str">
            <v>TOTAL OPERATING EXPENSES</v>
          </cell>
          <cell r="F62">
            <v>438758.3899999999</v>
          </cell>
          <cell r="G62">
            <v>885596.98</v>
          </cell>
          <cell r="H62">
            <v>446838.58999999997</v>
          </cell>
          <cell r="I62">
            <v>0.50456200742689972</v>
          </cell>
        </row>
        <row r="63">
          <cell r="D63" t="str">
            <v>NET INCOME (Excluding NRO)</v>
          </cell>
          <cell r="F63">
            <v>2246625.7000000002</v>
          </cell>
          <cell r="G63">
            <v>2173003.75</v>
          </cell>
          <cell r="H63">
            <v>73621.949999999983</v>
          </cell>
          <cell r="I63">
            <v>3.3880268269210298E-2</v>
          </cell>
        </row>
        <row r="64">
          <cell r="D64" t="str">
            <v>NET INCOME (Excluding NRO)</v>
          </cell>
          <cell r="F64">
            <v>3518027.0700000003</v>
          </cell>
          <cell r="G64">
            <v>3407767.6199999996</v>
          </cell>
          <cell r="H64">
            <v>110259.45000000001</v>
          </cell>
          <cell r="I64">
            <v>3.2355331200664444E-2</v>
          </cell>
        </row>
        <row r="65">
          <cell r="A65" t="str">
            <v>6225576071</v>
          </cell>
          <cell r="B65">
            <v>76071</v>
          </cell>
          <cell r="D65" t="str">
            <v>Reimaging Maintenance</v>
          </cell>
          <cell r="F65">
            <v>0</v>
          </cell>
          <cell r="G65">
            <v>0</v>
          </cell>
          <cell r="H65">
            <v>0</v>
          </cell>
          <cell r="I65" t="str">
            <v>N/A</v>
          </cell>
        </row>
        <row r="66">
          <cell r="A66" t="str">
            <v>6225576071</v>
          </cell>
          <cell r="B66">
            <v>76071</v>
          </cell>
          <cell r="D66" t="str">
            <v>Reimaging Maintenance</v>
          </cell>
          <cell r="F66">
            <v>0</v>
          </cell>
          <cell r="G66">
            <v>0</v>
          </cell>
          <cell r="H66">
            <v>0</v>
          </cell>
          <cell r="I66" t="str">
            <v>N/A</v>
          </cell>
        </row>
        <row r="67">
          <cell r="D67" t="str">
            <v>NET INCOME</v>
          </cell>
          <cell r="F67">
            <v>2246625.7000000002</v>
          </cell>
          <cell r="G67">
            <v>2173003.75</v>
          </cell>
          <cell r="H67">
            <v>73621.949999999983</v>
          </cell>
          <cell r="I67">
            <v>3.3880268269210298E-2</v>
          </cell>
        </row>
        <row r="68">
          <cell r="D68" t="str">
            <v>NET INCOME</v>
          </cell>
          <cell r="F68">
            <v>3518027.0700000003</v>
          </cell>
          <cell r="G68">
            <v>3407767.6199999996</v>
          </cell>
          <cell r="H68">
            <v>110259.45000000001</v>
          </cell>
          <cell r="I68">
            <v>3.2355331200664444E-2</v>
          </cell>
        </row>
      </sheetData>
      <sheetData sheetId="5">
        <row r="2">
          <cell r="C2" t="str">
            <v>Oak Creek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Five Months Ended November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62295</v>
          </cell>
          <cell r="C11" t="str">
            <v>Oak Creek</v>
          </cell>
        </row>
        <row r="13">
          <cell r="D13" t="str">
            <v>REVENUE</v>
          </cell>
        </row>
        <row r="14">
          <cell r="A14" t="str">
            <v>6229541050</v>
          </cell>
          <cell r="B14">
            <v>41050</v>
          </cell>
          <cell r="D14" t="str">
            <v>Rental Income - Fixed</v>
          </cell>
          <cell r="F14">
            <v>2294798.33</v>
          </cell>
          <cell r="G14">
            <v>2293892.33</v>
          </cell>
          <cell r="H14">
            <v>906</v>
          </cell>
          <cell r="I14">
            <v>3.9496186815359376E-4</v>
          </cell>
        </row>
        <row r="15">
          <cell r="A15" t="str">
            <v>6229541074</v>
          </cell>
          <cell r="B15">
            <v>41074</v>
          </cell>
          <cell r="D15" t="str">
            <v>Rental Income - Percentage</v>
          </cell>
          <cell r="F15">
            <v>2087.61</v>
          </cell>
          <cell r="G15">
            <v>2450</v>
          </cell>
          <cell r="H15">
            <v>-362.38999999999987</v>
          </cell>
          <cell r="I15">
            <v>-0.14791428571428566</v>
          </cell>
        </row>
        <row r="16">
          <cell r="A16" t="str">
            <v>6229541082</v>
          </cell>
          <cell r="B16">
            <v>41082</v>
          </cell>
          <cell r="D16" t="str">
            <v>Rental Income - Operating Expense Recoveries</v>
          </cell>
          <cell r="F16">
            <v>423169.86</v>
          </cell>
          <cell r="G16">
            <v>582196.31999999995</v>
          </cell>
          <cell r="H16">
            <v>-159026.45999999996</v>
          </cell>
          <cell r="I16">
            <v>-0.27314920163013051</v>
          </cell>
        </row>
        <row r="17">
          <cell r="A17" t="str">
            <v>6229545071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6229545070</v>
          </cell>
          <cell r="B18">
            <v>45070</v>
          </cell>
          <cell r="D18" t="str">
            <v>Other Income</v>
          </cell>
          <cell r="F18">
            <v>0.06</v>
          </cell>
          <cell r="G18">
            <v>0</v>
          </cell>
          <cell r="H18">
            <v>0.06</v>
          </cell>
          <cell r="I18" t="str">
            <v>N/A</v>
          </cell>
        </row>
        <row r="19">
          <cell r="A19" t="str">
            <v>6229541060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0</v>
          </cell>
          <cell r="H19">
            <v>0</v>
          </cell>
          <cell r="I19" t="str">
            <v>N/A</v>
          </cell>
        </row>
        <row r="20">
          <cell r="A20" t="str">
            <v>6229544870</v>
          </cell>
          <cell r="B20">
            <v>44870</v>
          </cell>
          <cell r="D20" t="str">
            <v>Late Fees</v>
          </cell>
          <cell r="F20">
            <v>2428.94</v>
          </cell>
          <cell r="G20">
            <v>0</v>
          </cell>
          <cell r="H20">
            <v>2428.94</v>
          </cell>
          <cell r="I20" t="str">
            <v>N/A</v>
          </cell>
        </row>
        <row r="21">
          <cell r="D21" t="str">
            <v>TOTAL REVENUE</v>
          </cell>
          <cell r="F21">
            <v>2722484.8</v>
          </cell>
          <cell r="G21">
            <v>2878538.65</v>
          </cell>
          <cell r="H21">
            <v>-156053.84999999998</v>
          </cell>
          <cell r="I21">
            <v>-5.4212872910356785E-2</v>
          </cell>
        </row>
        <row r="23">
          <cell r="D23" t="str">
            <v>Exclusion to CAM True Up</v>
          </cell>
          <cell r="F23">
            <v>178</v>
          </cell>
        </row>
        <row r="24">
          <cell r="D24" t="str">
            <v>CAM Rev Excluding PY, HVAC</v>
          </cell>
          <cell r="F24">
            <v>422991.86</v>
          </cell>
          <cell r="G24">
            <v>582196.31999999995</v>
          </cell>
        </row>
        <row r="25">
          <cell r="D25" t="str">
            <v>CAM Recovery Ratio</v>
          </cell>
          <cell r="F25">
            <v>1.1253689079489315</v>
          </cell>
          <cell r="G25">
            <v>1.0565409407665505</v>
          </cell>
          <cell r="H25">
            <v>6.8827967182381045E-2</v>
          </cell>
          <cell r="I25">
            <v>6.5144628595693033E-2</v>
          </cell>
        </row>
        <row r="27">
          <cell r="D27" t="str">
            <v>REIMBURSABLE EXPENSES</v>
          </cell>
        </row>
        <row r="28">
          <cell r="A28" t="str">
            <v>6229572710</v>
          </cell>
          <cell r="B28">
            <v>72710</v>
          </cell>
          <cell r="D28" t="str">
            <v>Utilities - Electricity</v>
          </cell>
          <cell r="F28">
            <v>14896.99</v>
          </cell>
          <cell r="G28">
            <v>20664</v>
          </cell>
          <cell r="H28">
            <v>5767.01</v>
          </cell>
          <cell r="I28">
            <v>0.27908488192024777</v>
          </cell>
        </row>
        <row r="29">
          <cell r="A29" t="str">
            <v>6229572770</v>
          </cell>
          <cell r="B29">
            <v>72770</v>
          </cell>
          <cell r="D29" t="str">
            <v>Utilities - Water</v>
          </cell>
          <cell r="F29">
            <v>3062.56</v>
          </cell>
          <cell r="G29">
            <v>2864</v>
          </cell>
          <cell r="H29">
            <v>-198.55999999999995</v>
          </cell>
          <cell r="I29">
            <v>-6.9329608938547463E-2</v>
          </cell>
        </row>
        <row r="30">
          <cell r="A30" t="str">
            <v>6229576000</v>
          </cell>
          <cell r="B30">
            <v>76000</v>
          </cell>
          <cell r="D30" t="str">
            <v>Bldg Maintenance &amp; Repair</v>
          </cell>
          <cell r="F30">
            <v>41486.769999999997</v>
          </cell>
          <cell r="G30">
            <v>46962.64</v>
          </cell>
          <cell r="H30">
            <v>5475.8700000000026</v>
          </cell>
          <cell r="I30">
            <v>0.11660055737922746</v>
          </cell>
        </row>
        <row r="31">
          <cell r="A31" t="str">
            <v>6229576020</v>
          </cell>
          <cell r="B31">
            <v>76020</v>
          </cell>
          <cell r="D31" t="str">
            <v>Food Court Expense</v>
          </cell>
          <cell r="F31">
            <v>0</v>
          </cell>
          <cell r="G31">
            <v>0</v>
          </cell>
          <cell r="H31">
            <v>0</v>
          </cell>
          <cell r="I31" t="str">
            <v>N/A</v>
          </cell>
        </row>
        <row r="32">
          <cell r="A32" t="str">
            <v>6229576050</v>
          </cell>
          <cell r="B32">
            <v>76050</v>
          </cell>
          <cell r="D32" t="str">
            <v>Cleaning Expense</v>
          </cell>
          <cell r="F32">
            <v>65756.45</v>
          </cell>
          <cell r="G32">
            <v>60000</v>
          </cell>
          <cell r="H32">
            <v>-5756.4499999999971</v>
          </cell>
          <cell r="I32">
            <v>-9.5940833333333281E-2</v>
          </cell>
        </row>
        <row r="33">
          <cell r="A33" t="str">
            <v>6229576091</v>
          </cell>
          <cell r="B33">
            <v>76091</v>
          </cell>
          <cell r="D33" t="str">
            <v>Parking Maintenance</v>
          </cell>
          <cell r="F33">
            <v>37695.480000000003</v>
          </cell>
          <cell r="G33">
            <v>30944</v>
          </cell>
          <cell r="H33">
            <v>-6751.4800000000032</v>
          </cell>
          <cell r="I33">
            <v>-0.21818381592554301</v>
          </cell>
        </row>
        <row r="34">
          <cell r="A34" t="str">
            <v>6229577000</v>
          </cell>
          <cell r="B34">
            <v>77000</v>
          </cell>
          <cell r="D34" t="str">
            <v>Grounds Maintenance</v>
          </cell>
          <cell r="F34">
            <v>39537.71</v>
          </cell>
          <cell r="G34">
            <v>63147.64</v>
          </cell>
          <cell r="H34">
            <v>23609.93</v>
          </cell>
          <cell r="I34">
            <v>0.37388459806257213</v>
          </cell>
        </row>
        <row r="35">
          <cell r="A35" t="str">
            <v>6229577053</v>
          </cell>
          <cell r="B35">
            <v>77053</v>
          </cell>
          <cell r="D35" t="str">
            <v>Landscaping</v>
          </cell>
          <cell r="F35">
            <v>31514</v>
          </cell>
          <cell r="G35">
            <v>56730</v>
          </cell>
          <cell r="H35">
            <v>25216</v>
          </cell>
          <cell r="I35">
            <v>0.44449145073153534</v>
          </cell>
        </row>
        <row r="36">
          <cell r="A36" t="str">
            <v>6229578020</v>
          </cell>
          <cell r="B36">
            <v>78020</v>
          </cell>
          <cell r="D36" t="str">
            <v>Amortized CAM Exp</v>
          </cell>
          <cell r="F36">
            <v>0</v>
          </cell>
          <cell r="G36">
            <v>13445.36</v>
          </cell>
          <cell r="H36">
            <v>13445.36</v>
          </cell>
          <cell r="I36">
            <v>1</v>
          </cell>
        </row>
        <row r="37">
          <cell r="A37" t="str">
            <v>6229585584</v>
          </cell>
          <cell r="B37">
            <v>85584</v>
          </cell>
          <cell r="D37" t="str">
            <v>Bldg Admin-Office Costs</v>
          </cell>
          <cell r="F37">
            <v>7328.15</v>
          </cell>
          <cell r="G37">
            <v>6984</v>
          </cell>
          <cell r="H37">
            <v>-344.14999999999964</v>
          </cell>
          <cell r="I37">
            <v>-4.9276918671248518E-2</v>
          </cell>
        </row>
        <row r="38">
          <cell r="A38" t="str">
            <v>6229585582</v>
          </cell>
          <cell r="B38">
            <v>85582</v>
          </cell>
          <cell r="D38" t="str">
            <v>Bldg Admin-Salaries</v>
          </cell>
          <cell r="F38">
            <v>47405.55</v>
          </cell>
          <cell r="G38">
            <v>47022</v>
          </cell>
          <cell r="H38">
            <v>-383.55000000000291</v>
          </cell>
          <cell r="I38">
            <v>-8.1568202118158083E-3</v>
          </cell>
        </row>
        <row r="39">
          <cell r="A39" t="str">
            <v>6229586564</v>
          </cell>
          <cell r="B39">
            <v>86564</v>
          </cell>
          <cell r="D39" t="str">
            <v>Insurance</v>
          </cell>
          <cell r="F39">
            <v>36215</v>
          </cell>
          <cell r="G39">
            <v>40868.720000000001</v>
          </cell>
          <cell r="H39">
            <v>4653.7200000000012</v>
          </cell>
          <cell r="I39">
            <v>0.11386997194920714</v>
          </cell>
        </row>
        <row r="40">
          <cell r="A40" t="str">
            <v>6229588846</v>
          </cell>
          <cell r="B40">
            <v>88846</v>
          </cell>
          <cell r="D40" t="str">
            <v>Expenses-Other</v>
          </cell>
          <cell r="F40">
            <v>0</v>
          </cell>
          <cell r="G40">
            <v>0</v>
          </cell>
          <cell r="H40">
            <v>0</v>
          </cell>
          <cell r="I40" t="str">
            <v>N/A</v>
          </cell>
        </row>
        <row r="41">
          <cell r="A41" t="str">
            <v>6229588890</v>
          </cell>
          <cell r="B41">
            <v>88890</v>
          </cell>
          <cell r="D41" t="str">
            <v>Security/Safety</v>
          </cell>
          <cell r="F41">
            <v>18071.759999999998</v>
          </cell>
          <cell r="G41">
            <v>22595</v>
          </cell>
          <cell r="H41">
            <v>4523.2400000000016</v>
          </cell>
          <cell r="I41">
            <v>0.20018765213542827</v>
          </cell>
        </row>
        <row r="42">
          <cell r="A42" t="str">
            <v>6229589775</v>
          </cell>
          <cell r="B42">
            <v>89775</v>
          </cell>
          <cell r="D42" t="str">
            <v>Assmt Dist Taxes- Reimb</v>
          </cell>
          <cell r="F42">
            <v>51674</v>
          </cell>
          <cell r="G42">
            <v>34450.639999999999</v>
          </cell>
          <cell r="H42">
            <v>-17223.36</v>
          </cell>
          <cell r="I42">
            <v>-0.4999431070075912</v>
          </cell>
        </row>
        <row r="43">
          <cell r="A43" t="str">
            <v>6229589786</v>
          </cell>
          <cell r="B43">
            <v>89786</v>
          </cell>
          <cell r="D43" t="str">
            <v>Property Tax Exp</v>
          </cell>
          <cell r="F43">
            <v>-18774.91</v>
          </cell>
          <cell r="G43">
            <v>104362</v>
          </cell>
          <cell r="H43">
            <v>123136.91</v>
          </cell>
          <cell r="I43">
            <v>1.1799017841743165</v>
          </cell>
        </row>
        <row r="44">
          <cell r="D44" t="str">
            <v>Total Reimbursable</v>
          </cell>
          <cell r="F44">
            <v>375869.51</v>
          </cell>
          <cell r="G44">
            <v>551040</v>
          </cell>
          <cell r="H44">
            <v>175170.49</v>
          </cell>
          <cell r="I44">
            <v>0.31789069759001159</v>
          </cell>
        </row>
        <row r="45">
          <cell r="D45" t="str">
            <v>NON-REIMBURSABLE EXPENSES</v>
          </cell>
        </row>
        <row r="46">
          <cell r="A46" t="str">
            <v>6229572701</v>
          </cell>
          <cell r="B46">
            <v>72701</v>
          </cell>
          <cell r="D46" t="str">
            <v>NON-REIMBURSABLE EXPENSES</v>
          </cell>
          <cell r="F46">
            <v>0</v>
          </cell>
          <cell r="G46">
            <v>62.5</v>
          </cell>
          <cell r="H46">
            <v>62.5</v>
          </cell>
          <cell r="I46">
            <v>1</v>
          </cell>
        </row>
        <row r="47">
          <cell r="A47" t="str">
            <v>6229572701</v>
          </cell>
          <cell r="B47">
            <v>72701</v>
          </cell>
          <cell r="D47" t="str">
            <v>Utilities</v>
          </cell>
          <cell r="F47">
            <v>0</v>
          </cell>
          <cell r="G47">
            <v>100</v>
          </cell>
          <cell r="H47">
            <v>100</v>
          </cell>
          <cell r="I47">
            <v>1</v>
          </cell>
        </row>
        <row r="48">
          <cell r="A48" t="str">
            <v>6229576010</v>
          </cell>
          <cell r="B48">
            <v>76010</v>
          </cell>
          <cell r="D48" t="str">
            <v>Tenant Alterations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6229576054</v>
          </cell>
          <cell r="B49">
            <v>76054</v>
          </cell>
          <cell r="D49" t="str">
            <v>Bldg Maintenance &amp; Repair</v>
          </cell>
          <cell r="F49">
            <v>258.18</v>
          </cell>
          <cell r="G49">
            <v>1000</v>
          </cell>
          <cell r="H49">
            <v>741.81999999999994</v>
          </cell>
          <cell r="I49">
            <v>0.74181999999999992</v>
          </cell>
        </row>
        <row r="50">
          <cell r="A50" t="str">
            <v>6229584240</v>
          </cell>
          <cell r="B50">
            <v>84240</v>
          </cell>
          <cell r="D50" t="str">
            <v>Marketing Leasing</v>
          </cell>
          <cell r="F50">
            <v>0</v>
          </cell>
          <cell r="G50">
            <v>0</v>
          </cell>
          <cell r="H50">
            <v>0</v>
          </cell>
          <cell r="I50" t="str">
            <v>N/A</v>
          </cell>
        </row>
        <row r="51">
          <cell r="A51" t="str">
            <v>6229584243</v>
          </cell>
          <cell r="B51">
            <v>84243</v>
          </cell>
          <cell r="D51" t="str">
            <v>Marketing Coordination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6229584244</v>
          </cell>
          <cell r="B52">
            <v>84244</v>
          </cell>
          <cell r="D52" t="str">
            <v>Marketing-Net Required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6229585016</v>
          </cell>
          <cell r="B53">
            <v>85016</v>
          </cell>
          <cell r="D53" t="str">
            <v>Prof Svc-Attorney Outside</v>
          </cell>
          <cell r="F53">
            <v>1794.26</v>
          </cell>
          <cell r="G53">
            <v>2000</v>
          </cell>
          <cell r="H53">
            <v>205.74</v>
          </cell>
          <cell r="I53">
            <v>0.10287</v>
          </cell>
        </row>
        <row r="54">
          <cell r="A54" t="str">
            <v>6229585022</v>
          </cell>
          <cell r="B54">
            <v>85022</v>
          </cell>
          <cell r="D54" t="str">
            <v>Prof Svc-Audit/Acctng</v>
          </cell>
          <cell r="F54">
            <v>-1300</v>
          </cell>
          <cell r="G54">
            <v>1500</v>
          </cell>
          <cell r="H54">
            <v>2800</v>
          </cell>
          <cell r="I54">
            <v>1.8666666666666667</v>
          </cell>
        </row>
        <row r="55">
          <cell r="A55" t="str">
            <v>6229585500</v>
          </cell>
          <cell r="B55">
            <v>85500</v>
          </cell>
          <cell r="D55" t="str">
            <v>Consulting Services</v>
          </cell>
          <cell r="F55">
            <v>0</v>
          </cell>
          <cell r="G55">
            <v>500</v>
          </cell>
          <cell r="H55">
            <v>500</v>
          </cell>
          <cell r="I55">
            <v>1</v>
          </cell>
        </row>
        <row r="56">
          <cell r="A56" t="str">
            <v>6229585566</v>
          </cell>
          <cell r="B56">
            <v>85566</v>
          </cell>
          <cell r="D56" t="str">
            <v>Management Fee</v>
          </cell>
          <cell r="F56">
            <v>0</v>
          </cell>
          <cell r="G56">
            <v>0</v>
          </cell>
          <cell r="H56">
            <v>0</v>
          </cell>
          <cell r="I56" t="str">
            <v>N/A</v>
          </cell>
        </row>
        <row r="57">
          <cell r="A57" t="str">
            <v>6229585581</v>
          </cell>
          <cell r="B57">
            <v>85581</v>
          </cell>
          <cell r="D57" t="str">
            <v>Bldg Admin- Salaries</v>
          </cell>
          <cell r="F57">
            <v>26854.89</v>
          </cell>
          <cell r="G57">
            <v>28104</v>
          </cell>
          <cell r="H57">
            <v>1249.1100000000006</v>
          </cell>
          <cell r="I57">
            <v>4.4445986336464578E-2</v>
          </cell>
        </row>
        <row r="58">
          <cell r="A58" t="str">
            <v>6229585583</v>
          </cell>
          <cell r="B58">
            <v>85583</v>
          </cell>
          <cell r="D58" t="str">
            <v>Bldg Admin - Office Exp</v>
          </cell>
          <cell r="F58">
            <v>3860.04</v>
          </cell>
          <cell r="G58">
            <v>4076</v>
          </cell>
          <cell r="H58">
            <v>215.96000000000004</v>
          </cell>
          <cell r="I58">
            <v>5.2983316977428863E-2</v>
          </cell>
        </row>
        <row r="59">
          <cell r="A59" t="str">
            <v>6229588710</v>
          </cell>
          <cell r="B59">
            <v>88710</v>
          </cell>
          <cell r="D59" t="str">
            <v>Purchased Svcs-Other</v>
          </cell>
          <cell r="F59">
            <v>0</v>
          </cell>
          <cell r="G59">
            <v>24366</v>
          </cell>
          <cell r="H59">
            <v>24366</v>
          </cell>
          <cell r="I59">
            <v>1</v>
          </cell>
        </row>
        <row r="60">
          <cell r="A60" t="str">
            <v>6229588710</v>
          </cell>
          <cell r="B60">
            <v>88710</v>
          </cell>
          <cell r="D60" t="str">
            <v>Losses-Bad Debts</v>
          </cell>
          <cell r="F60">
            <v>0</v>
          </cell>
          <cell r="G60">
            <v>24366</v>
          </cell>
          <cell r="H60">
            <v>24366</v>
          </cell>
          <cell r="I60">
            <v>1</v>
          </cell>
        </row>
        <row r="61">
          <cell r="D61" t="str">
            <v>Total Non-Reimbursable</v>
          </cell>
          <cell r="F61">
            <v>31467.37</v>
          </cell>
          <cell r="G61">
            <v>86012</v>
          </cell>
          <cell r="H61">
            <v>54544.630000000005</v>
          </cell>
          <cell r="I61">
            <v>0.63415139747942151</v>
          </cell>
        </row>
        <row r="63">
          <cell r="D63" t="str">
            <v>TOTAL OPERATING EXPENSES</v>
          </cell>
          <cell r="F63">
            <v>407336.88</v>
          </cell>
          <cell r="G63">
            <v>637052</v>
          </cell>
          <cell r="H63">
            <v>229715.12</v>
          </cell>
          <cell r="I63">
            <v>0.36059084658709178</v>
          </cell>
        </row>
        <row r="65">
          <cell r="A65" t="str">
            <v>6229576071</v>
          </cell>
          <cell r="B65">
            <v>76071</v>
          </cell>
          <cell r="D65" t="str">
            <v>NET INCOME (Excluding NRO)</v>
          </cell>
          <cell r="F65">
            <v>2315147.92</v>
          </cell>
          <cell r="G65">
            <v>2241486.65</v>
          </cell>
          <cell r="H65">
            <v>73661.270000000019</v>
          </cell>
          <cell r="I65">
            <v>3.2862685129086099E-2</v>
          </cell>
        </row>
        <row r="67">
          <cell r="A67" t="str">
            <v>6229576071</v>
          </cell>
          <cell r="B67">
            <v>76071</v>
          </cell>
          <cell r="D67" t="str">
            <v>Reimaging Maintenance</v>
          </cell>
          <cell r="F67">
            <v>17061.79</v>
          </cell>
          <cell r="G67">
            <v>74800</v>
          </cell>
          <cell r="H67">
            <v>57738.21</v>
          </cell>
          <cell r="I67">
            <v>0.77190120320855615</v>
          </cell>
        </row>
        <row r="69">
          <cell r="D69" t="str">
            <v>NET INCOME</v>
          </cell>
          <cell r="F69">
            <v>2298086.13</v>
          </cell>
          <cell r="G69">
            <v>2166686.65</v>
          </cell>
          <cell r="H69">
            <v>131399.48000000001</v>
          </cell>
          <cell r="I69">
            <v>6.0645354509384186E-2</v>
          </cell>
        </row>
      </sheetData>
      <sheetData sheetId="6"/>
      <sheetData sheetId="7"/>
      <sheetData sheetId="8"/>
      <sheetData sheetId="9" refreshError="1">
        <row r="2">
          <cell r="A2" t="str">
            <v>6213141010</v>
          </cell>
          <cell r="B2">
            <v>62131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6213141040</v>
          </cell>
          <cell r="B3">
            <v>62131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6213141050</v>
          </cell>
          <cell r="B4">
            <v>62131</v>
          </cell>
          <cell r="C4">
            <v>41050</v>
          </cell>
          <cell r="D4" t="str">
            <v>Rental Income - Fixed</v>
          </cell>
          <cell r="E4">
            <v>-1436174.03</v>
          </cell>
          <cell r="F4">
            <v>-1348906.04</v>
          </cell>
          <cell r="G4">
            <v>-87267.99</v>
          </cell>
          <cell r="H4">
            <v>6.4699999999999994E-2</v>
          </cell>
          <cell r="I4">
            <v>-1392715.1</v>
          </cell>
          <cell r="J4">
            <v>-43458.929999999898</v>
          </cell>
        </row>
        <row r="5">
          <cell r="A5" t="str">
            <v>6213141074</v>
          </cell>
          <cell r="B5">
            <v>62131</v>
          </cell>
          <cell r="C5">
            <v>41074</v>
          </cell>
          <cell r="D5" t="str">
            <v>Rental Income - Percentage</v>
          </cell>
          <cell r="E5">
            <v>-19583.509999999998</v>
          </cell>
          <cell r="F5">
            <v>-27355</v>
          </cell>
          <cell r="G5">
            <v>7771.49</v>
          </cell>
          <cell r="H5">
            <v>-0.28410000000000002</v>
          </cell>
          <cell r="I5">
            <v>-18618.53</v>
          </cell>
          <cell r="J5">
            <v>-964.98</v>
          </cell>
        </row>
        <row r="6">
          <cell r="A6" t="str">
            <v>6213141082</v>
          </cell>
          <cell r="B6">
            <v>62131</v>
          </cell>
          <cell r="C6">
            <v>41082</v>
          </cell>
          <cell r="D6" t="str">
            <v>Rental Income - Operating Exp</v>
          </cell>
          <cell r="E6">
            <v>-374007.4</v>
          </cell>
          <cell r="F6">
            <v>-416168.55</v>
          </cell>
          <cell r="G6">
            <v>42161.15</v>
          </cell>
          <cell r="H6">
            <v>-0.1013</v>
          </cell>
          <cell r="I6">
            <v>-378548.4</v>
          </cell>
          <cell r="J6">
            <v>4541</v>
          </cell>
        </row>
        <row r="7">
          <cell r="A7" t="str">
            <v>6213144610</v>
          </cell>
          <cell r="B7">
            <v>62131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6213145071</v>
          </cell>
          <cell r="B8">
            <v>62131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6213145010</v>
          </cell>
          <cell r="B9">
            <v>62131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6213145046</v>
          </cell>
          <cell r="B10">
            <v>62131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6213145070</v>
          </cell>
          <cell r="B11">
            <v>62131</v>
          </cell>
          <cell r="C11">
            <v>45070</v>
          </cell>
          <cell r="D11" t="str">
            <v>Other Income</v>
          </cell>
          <cell r="E11">
            <v>-18073.47</v>
          </cell>
          <cell r="F11">
            <v>-168</v>
          </cell>
          <cell r="G11">
            <v>-17905.47</v>
          </cell>
          <cell r="H11">
            <v>106.5802</v>
          </cell>
          <cell r="I11">
            <v>-17810.32</v>
          </cell>
          <cell r="J11">
            <v>-263.150000000001</v>
          </cell>
        </row>
        <row r="12">
          <cell r="A12" t="str">
            <v>6213141060</v>
          </cell>
          <cell r="B12">
            <v>62131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41286</v>
          </cell>
          <cell r="G12">
            <v>-41286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6213144870</v>
          </cell>
          <cell r="B13">
            <v>62131</v>
          </cell>
          <cell r="C13">
            <v>44870</v>
          </cell>
          <cell r="D13" t="str">
            <v>Late Fees</v>
          </cell>
          <cell r="E13">
            <v>-3947.74</v>
          </cell>
          <cell r="F13">
            <v>-1166.69</v>
          </cell>
          <cell r="G13">
            <v>-2781.05</v>
          </cell>
          <cell r="H13">
            <v>2.3837000000000002</v>
          </cell>
          <cell r="I13">
            <v>-3200.04</v>
          </cell>
          <cell r="J13">
            <v>-747.7</v>
          </cell>
        </row>
        <row r="14">
          <cell r="A14" t="str">
            <v>6213152542</v>
          </cell>
          <cell r="B14">
            <v>62131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6213172710</v>
          </cell>
          <cell r="B15">
            <v>62131</v>
          </cell>
          <cell r="C15">
            <v>72710</v>
          </cell>
          <cell r="D15" t="str">
            <v>Utilities - Electricity</v>
          </cell>
          <cell r="E15">
            <v>40855.35</v>
          </cell>
          <cell r="F15">
            <v>47250</v>
          </cell>
          <cell r="G15">
            <v>-6394.65</v>
          </cell>
          <cell r="H15">
            <v>-0.1353</v>
          </cell>
          <cell r="I15">
            <v>44200.84</v>
          </cell>
          <cell r="J15">
            <v>-3345.49</v>
          </cell>
        </row>
        <row r="16">
          <cell r="A16" t="str">
            <v>6213172740</v>
          </cell>
          <cell r="B16">
            <v>62131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6213172770</v>
          </cell>
          <cell r="B17">
            <v>62131</v>
          </cell>
          <cell r="C17">
            <v>72770</v>
          </cell>
          <cell r="D17" t="str">
            <v>Utilities - Water</v>
          </cell>
          <cell r="E17">
            <v>10738.07</v>
          </cell>
          <cell r="F17">
            <v>9450</v>
          </cell>
          <cell r="G17">
            <v>1288.07</v>
          </cell>
          <cell r="H17">
            <v>0.1363</v>
          </cell>
          <cell r="I17">
            <v>8962.35</v>
          </cell>
          <cell r="J17">
            <v>1775.72</v>
          </cell>
        </row>
        <row r="18">
          <cell r="A18" t="str">
            <v>6213176000</v>
          </cell>
          <cell r="B18">
            <v>62131</v>
          </cell>
          <cell r="C18">
            <v>76000</v>
          </cell>
          <cell r="D18" t="str">
            <v>Bldg Maintenance &amp; Repair</v>
          </cell>
          <cell r="E18">
            <v>45043.27</v>
          </cell>
          <cell r="F18">
            <v>45711</v>
          </cell>
          <cell r="G18">
            <v>-667.73000000000297</v>
          </cell>
          <cell r="H18">
            <v>-1.46E-2</v>
          </cell>
          <cell r="I18">
            <v>47922.91</v>
          </cell>
          <cell r="J18">
            <v>-2879.6400000000099</v>
          </cell>
        </row>
        <row r="19">
          <cell r="A19" t="str">
            <v>6213176020</v>
          </cell>
          <cell r="B19">
            <v>62131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6213176034</v>
          </cell>
          <cell r="B20">
            <v>62131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6213176050</v>
          </cell>
          <cell r="B21">
            <v>62131</v>
          </cell>
          <cell r="C21">
            <v>76050</v>
          </cell>
          <cell r="D21" t="str">
            <v>Cleaning Expense</v>
          </cell>
          <cell r="E21">
            <v>54593.93</v>
          </cell>
          <cell r="F21">
            <v>46085.69</v>
          </cell>
          <cell r="G21">
            <v>8508.24</v>
          </cell>
          <cell r="H21">
            <v>0.18459999999999999</v>
          </cell>
          <cell r="I21">
            <v>53512.68</v>
          </cell>
          <cell r="J21">
            <v>1081.25</v>
          </cell>
        </row>
        <row r="22">
          <cell r="A22" t="str">
            <v>6213176056</v>
          </cell>
          <cell r="B22">
            <v>62131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6213176070</v>
          </cell>
          <cell r="B23">
            <v>62131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6213176091</v>
          </cell>
          <cell r="B24">
            <v>62131</v>
          </cell>
          <cell r="C24">
            <v>76091</v>
          </cell>
          <cell r="D24" t="str">
            <v>Parking Maintenance</v>
          </cell>
          <cell r="E24">
            <v>27960.44</v>
          </cell>
          <cell r="F24">
            <v>25320.81</v>
          </cell>
          <cell r="G24">
            <v>2639.63</v>
          </cell>
          <cell r="H24">
            <v>0.1042</v>
          </cell>
          <cell r="I24">
            <v>29960.44</v>
          </cell>
          <cell r="J24">
            <v>-2000</v>
          </cell>
        </row>
        <row r="25">
          <cell r="A25" t="str">
            <v>6213177000</v>
          </cell>
          <cell r="B25">
            <v>62131</v>
          </cell>
          <cell r="C25">
            <v>77000</v>
          </cell>
          <cell r="D25" t="str">
            <v>Grounds Maintenance</v>
          </cell>
          <cell r="E25">
            <v>42104.160000000003</v>
          </cell>
          <cell r="F25">
            <v>36604.44</v>
          </cell>
          <cell r="G25">
            <v>5499.72</v>
          </cell>
          <cell r="H25">
            <v>0.1502</v>
          </cell>
          <cell r="I25">
            <v>60847.32</v>
          </cell>
          <cell r="J25">
            <v>-18743.16</v>
          </cell>
        </row>
        <row r="26">
          <cell r="A26" t="str">
            <v>6213177053</v>
          </cell>
          <cell r="B26">
            <v>62131</v>
          </cell>
          <cell r="C26">
            <v>77053</v>
          </cell>
          <cell r="D26" t="str">
            <v>Landscaping</v>
          </cell>
          <cell r="E26">
            <v>40591.550000000003</v>
          </cell>
          <cell r="F26">
            <v>53902</v>
          </cell>
          <cell r="G26">
            <v>-13310.45</v>
          </cell>
          <cell r="H26">
            <v>-0.24690000000000001</v>
          </cell>
          <cell r="I26">
            <v>24219.55</v>
          </cell>
          <cell r="J26">
            <v>16372</v>
          </cell>
        </row>
        <row r="27">
          <cell r="A27" t="str">
            <v>6213178020</v>
          </cell>
          <cell r="B27">
            <v>62131</v>
          </cell>
          <cell r="C27">
            <v>78020</v>
          </cell>
          <cell r="D27" t="str">
            <v>Amortized CAM Exp</v>
          </cell>
          <cell r="E27">
            <v>-0.16</v>
          </cell>
          <cell r="F27">
            <v>35000</v>
          </cell>
          <cell r="G27">
            <v>-35000.160000000003</v>
          </cell>
          <cell r="H27">
            <v>-1</v>
          </cell>
          <cell r="I27">
            <v>-0.16</v>
          </cell>
          <cell r="J27">
            <v>0</v>
          </cell>
        </row>
        <row r="28">
          <cell r="A28" t="str">
            <v>6213184264</v>
          </cell>
          <cell r="B28">
            <v>62131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6213185555</v>
          </cell>
          <cell r="B29">
            <v>62131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6213185584</v>
          </cell>
          <cell r="B30">
            <v>62131</v>
          </cell>
          <cell r="C30">
            <v>85584</v>
          </cell>
          <cell r="D30" t="str">
            <v>Bldg Admin-Office Costs</v>
          </cell>
          <cell r="E30">
            <v>7167.66</v>
          </cell>
          <cell r="F30">
            <v>6867</v>
          </cell>
          <cell r="G30">
            <v>300.66000000000003</v>
          </cell>
          <cell r="H30">
            <v>4.3799999999999999E-2</v>
          </cell>
          <cell r="I30">
            <v>7277.41</v>
          </cell>
          <cell r="J30">
            <v>-109.75</v>
          </cell>
        </row>
        <row r="31">
          <cell r="A31" t="str">
            <v>6213185582</v>
          </cell>
          <cell r="B31">
            <v>62131</v>
          </cell>
          <cell r="C31">
            <v>85582</v>
          </cell>
          <cell r="D31" t="str">
            <v>Bldg Admin-Salaries</v>
          </cell>
          <cell r="E31">
            <v>46598.6</v>
          </cell>
          <cell r="F31">
            <v>46279.31</v>
          </cell>
          <cell r="G31">
            <v>319.29000000000099</v>
          </cell>
          <cell r="H31">
            <v>6.8999999999999999E-3</v>
          </cell>
          <cell r="I31">
            <v>47386.09</v>
          </cell>
          <cell r="J31">
            <v>-787.48999999999796</v>
          </cell>
        </row>
        <row r="32">
          <cell r="A32" t="str">
            <v>6213186564</v>
          </cell>
          <cell r="B32">
            <v>62131</v>
          </cell>
          <cell r="C32">
            <v>86564</v>
          </cell>
          <cell r="D32" t="str">
            <v>Insurance</v>
          </cell>
          <cell r="E32">
            <v>33508</v>
          </cell>
          <cell r="F32">
            <v>38069.57</v>
          </cell>
          <cell r="G32">
            <v>-4561.57</v>
          </cell>
          <cell r="H32">
            <v>-0.1198</v>
          </cell>
          <cell r="I32">
            <v>32821.760000000002</v>
          </cell>
          <cell r="J32">
            <v>686.23999999999796</v>
          </cell>
        </row>
        <row r="33">
          <cell r="A33" t="str">
            <v>6213188846</v>
          </cell>
          <cell r="B33">
            <v>62131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6213188890</v>
          </cell>
          <cell r="B34">
            <v>62131</v>
          </cell>
          <cell r="C34">
            <v>88890</v>
          </cell>
          <cell r="D34" t="str">
            <v>Security/Safety</v>
          </cell>
          <cell r="E34">
            <v>42496.57</v>
          </cell>
          <cell r="F34">
            <v>36925</v>
          </cell>
          <cell r="G34">
            <v>5571.57</v>
          </cell>
          <cell r="H34">
            <v>0.15090000000000001</v>
          </cell>
          <cell r="I34">
            <v>39378.53</v>
          </cell>
          <cell r="J34">
            <v>3118.04</v>
          </cell>
        </row>
        <row r="35">
          <cell r="A35" t="str">
            <v>6213189775</v>
          </cell>
          <cell r="B35">
            <v>62131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6213189729</v>
          </cell>
          <cell r="B36">
            <v>62131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6213189786</v>
          </cell>
          <cell r="B37">
            <v>62131</v>
          </cell>
          <cell r="C37">
            <v>89786</v>
          </cell>
          <cell r="D37" t="str">
            <v>Property Tax Exp</v>
          </cell>
          <cell r="E37">
            <v>136438</v>
          </cell>
          <cell r="F37">
            <v>134897</v>
          </cell>
          <cell r="G37">
            <v>1541</v>
          </cell>
          <cell r="H37">
            <v>1.14E-2</v>
          </cell>
          <cell r="I37">
            <v>136658.26</v>
          </cell>
          <cell r="J37">
            <v>-220.260000000009</v>
          </cell>
        </row>
        <row r="38">
          <cell r="A38" t="str">
            <v>6213171040</v>
          </cell>
          <cell r="B38">
            <v>62131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6213172701</v>
          </cell>
          <cell r="B39">
            <v>62131</v>
          </cell>
          <cell r="C39">
            <v>72701</v>
          </cell>
          <cell r="D39" t="str">
            <v>Utilities</v>
          </cell>
          <cell r="E39">
            <v>8734.34</v>
          </cell>
          <cell r="F39">
            <v>11328.94</v>
          </cell>
          <cell r="G39">
            <v>-2594.6</v>
          </cell>
          <cell r="H39">
            <v>-0.22900000000000001</v>
          </cell>
          <cell r="I39">
            <v>12879.1</v>
          </cell>
          <cell r="J39">
            <v>-4144.76</v>
          </cell>
        </row>
        <row r="40">
          <cell r="A40" t="str">
            <v>6213172855</v>
          </cell>
          <cell r="B40">
            <v>62131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6213172870</v>
          </cell>
          <cell r="B41">
            <v>62131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6213176010</v>
          </cell>
          <cell r="B42">
            <v>62131</v>
          </cell>
          <cell r="C42">
            <v>76010</v>
          </cell>
          <cell r="D42" t="str">
            <v>Tenant Alterations</v>
          </cell>
          <cell r="E42">
            <v>1827.34</v>
          </cell>
          <cell r="F42">
            <v>0</v>
          </cell>
          <cell r="G42">
            <v>1827.34</v>
          </cell>
          <cell r="H42">
            <v>0</v>
          </cell>
          <cell r="I42">
            <v>109.34</v>
          </cell>
          <cell r="J42">
            <v>1718</v>
          </cell>
        </row>
        <row r="43">
          <cell r="A43" t="str">
            <v>6213176040</v>
          </cell>
          <cell r="B43">
            <v>62131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6213176051</v>
          </cell>
          <cell r="B44">
            <v>62131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6213176054</v>
          </cell>
          <cell r="B45">
            <v>62131</v>
          </cell>
          <cell r="C45">
            <v>76054</v>
          </cell>
          <cell r="D45" t="str">
            <v>Bldg Maintenance &amp; Repair</v>
          </cell>
          <cell r="E45">
            <v>17268.28</v>
          </cell>
          <cell r="F45">
            <v>7833.31</v>
          </cell>
          <cell r="G45">
            <v>9434.9699999999993</v>
          </cell>
          <cell r="H45">
            <v>1.2044999999999999</v>
          </cell>
          <cell r="I45">
            <v>31332.59</v>
          </cell>
          <cell r="J45">
            <v>-14064.31</v>
          </cell>
        </row>
        <row r="46">
          <cell r="A46" t="str">
            <v>6213176060</v>
          </cell>
          <cell r="B46">
            <v>62131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6213176071</v>
          </cell>
          <cell r="B47">
            <v>62131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6213176090</v>
          </cell>
          <cell r="B48">
            <v>62131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6213177001</v>
          </cell>
          <cell r="B49">
            <v>62131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6213177022</v>
          </cell>
          <cell r="B50">
            <v>62131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6213184200</v>
          </cell>
          <cell r="B51">
            <v>62131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6213184240</v>
          </cell>
          <cell r="B52">
            <v>62131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 t="str">
            <v>6213184242</v>
          </cell>
          <cell r="B53">
            <v>62131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6213184243</v>
          </cell>
          <cell r="B54">
            <v>62131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6213184244</v>
          </cell>
          <cell r="B55">
            <v>62131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6213184265</v>
          </cell>
          <cell r="B56">
            <v>62131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6213188037</v>
          </cell>
          <cell r="B57">
            <v>62131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6213185016</v>
          </cell>
          <cell r="B58">
            <v>62131</v>
          </cell>
          <cell r="C58">
            <v>85016</v>
          </cell>
          <cell r="D58" t="str">
            <v>Prof Svc-Attorney Outside</v>
          </cell>
          <cell r="E58">
            <v>6133</v>
          </cell>
          <cell r="F58">
            <v>3500</v>
          </cell>
          <cell r="G58">
            <v>2633</v>
          </cell>
          <cell r="H58">
            <v>0.75229999999999997</v>
          </cell>
          <cell r="I58">
            <v>4735.5</v>
          </cell>
          <cell r="J58">
            <v>1397.5</v>
          </cell>
        </row>
        <row r="59">
          <cell r="A59" t="str">
            <v>6213185022</v>
          </cell>
          <cell r="B59">
            <v>62131</v>
          </cell>
          <cell r="C59">
            <v>85022</v>
          </cell>
          <cell r="D59" t="str">
            <v>Prof Svc-Audit/Acctng</v>
          </cell>
          <cell r="E59">
            <v>-1947</v>
          </cell>
          <cell r="F59">
            <v>1500</v>
          </cell>
          <cell r="G59">
            <v>-3447</v>
          </cell>
          <cell r="H59">
            <v>-2.298</v>
          </cell>
          <cell r="I59">
            <v>-600</v>
          </cell>
          <cell r="J59">
            <v>-1347</v>
          </cell>
        </row>
        <row r="60">
          <cell r="A60" t="str">
            <v>6213185065</v>
          </cell>
          <cell r="B60">
            <v>62131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6213185500</v>
          </cell>
          <cell r="B61">
            <v>62131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9000</v>
          </cell>
          <cell r="G61">
            <v>-9000</v>
          </cell>
          <cell r="H61">
            <v>0</v>
          </cell>
          <cell r="I61">
            <v>4500</v>
          </cell>
          <cell r="J61">
            <v>-4500</v>
          </cell>
        </row>
        <row r="62">
          <cell r="A62" t="str">
            <v>6213185566</v>
          </cell>
          <cell r="B62">
            <v>62131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6213185581</v>
          </cell>
          <cell r="B63">
            <v>62131</v>
          </cell>
          <cell r="C63">
            <v>85581</v>
          </cell>
          <cell r="D63" t="str">
            <v>Bldg Admin- Salaries</v>
          </cell>
          <cell r="E63">
            <v>26040.89</v>
          </cell>
          <cell r="F63">
            <v>27657</v>
          </cell>
          <cell r="G63">
            <v>-1616.11</v>
          </cell>
          <cell r="H63">
            <v>-5.8400000000000001E-2</v>
          </cell>
          <cell r="I63">
            <v>26735.38</v>
          </cell>
          <cell r="J63">
            <v>-694.49000000000206</v>
          </cell>
        </row>
        <row r="64">
          <cell r="A64" t="str">
            <v>6213185583</v>
          </cell>
          <cell r="B64">
            <v>62131</v>
          </cell>
          <cell r="C64">
            <v>85583</v>
          </cell>
          <cell r="D64" t="str">
            <v>Bldg Admin-Office Exp.</v>
          </cell>
          <cell r="E64">
            <v>3886.56</v>
          </cell>
          <cell r="F64">
            <v>4011.56</v>
          </cell>
          <cell r="G64">
            <v>-125</v>
          </cell>
          <cell r="H64">
            <v>-3.1199999999999999E-2</v>
          </cell>
          <cell r="I64">
            <v>4166.93</v>
          </cell>
          <cell r="J64">
            <v>-280.37</v>
          </cell>
        </row>
        <row r="65">
          <cell r="A65" t="str">
            <v>6213185530</v>
          </cell>
          <cell r="B65">
            <v>62131</v>
          </cell>
          <cell r="C65">
            <v>85530</v>
          </cell>
          <cell r="D65" t="str">
            <v>Bldg Admin - Office Exp</v>
          </cell>
          <cell r="E65">
            <v>3886.56</v>
          </cell>
          <cell r="F65">
            <v>4011.56</v>
          </cell>
          <cell r="G65">
            <v>-125</v>
          </cell>
          <cell r="H65">
            <v>-3.1199999999999999E-2</v>
          </cell>
          <cell r="I65">
            <v>4166.93</v>
          </cell>
          <cell r="J65">
            <v>-280.37</v>
          </cell>
        </row>
        <row r="66">
          <cell r="A66" t="str">
            <v>6213186012</v>
          </cell>
          <cell r="B66">
            <v>62131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6213186037</v>
          </cell>
          <cell r="B67">
            <v>62131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6213183050</v>
          </cell>
          <cell r="B68">
            <v>62131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6213186510</v>
          </cell>
          <cell r="B69">
            <v>62131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6213186537</v>
          </cell>
          <cell r="B70">
            <v>62131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6213186566</v>
          </cell>
          <cell r="B71">
            <v>62131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6213186955</v>
          </cell>
          <cell r="B72">
            <v>62131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6213186985</v>
          </cell>
          <cell r="B73">
            <v>62131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6213186880</v>
          </cell>
          <cell r="B74">
            <v>62131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6213188710</v>
          </cell>
          <cell r="B75">
            <v>62131</v>
          </cell>
          <cell r="C75">
            <v>88710</v>
          </cell>
          <cell r="D75" t="str">
            <v>Losses-Bad Debts</v>
          </cell>
          <cell r="E75">
            <v>-7580.78</v>
          </cell>
          <cell r="F75">
            <v>25370</v>
          </cell>
          <cell r="G75">
            <v>-32950.78</v>
          </cell>
          <cell r="H75">
            <v>-1.2988</v>
          </cell>
          <cell r="I75">
            <v>-5769.58</v>
          </cell>
          <cell r="J75">
            <v>-1811.2</v>
          </cell>
        </row>
        <row r="76">
          <cell r="A76" t="str">
            <v>6213188711</v>
          </cell>
          <cell r="B76">
            <v>62131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6213188785</v>
          </cell>
          <cell r="B77">
            <v>62131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6213188847</v>
          </cell>
          <cell r="B78">
            <v>62131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6213188866</v>
          </cell>
          <cell r="B79">
            <v>62131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6213188870</v>
          </cell>
          <cell r="B80">
            <v>62131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6213188889</v>
          </cell>
          <cell r="B81">
            <v>62131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6213189776</v>
          </cell>
          <cell r="B82">
            <v>62131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6213189787</v>
          </cell>
          <cell r="B83">
            <v>62131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6213189510</v>
          </cell>
          <cell r="B84">
            <v>62131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301577</v>
          </cell>
          <cell r="G84">
            <v>-301577</v>
          </cell>
          <cell r="H84">
            <v>0</v>
          </cell>
          <cell r="I84">
            <v>85071</v>
          </cell>
          <cell r="J84">
            <v>-85071</v>
          </cell>
        </row>
        <row r="85">
          <cell r="A85" t="str">
            <v>6213189511</v>
          </cell>
          <cell r="B85">
            <v>62131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6213189512</v>
          </cell>
          <cell r="B86">
            <v>62131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6213189528</v>
          </cell>
          <cell r="B87">
            <v>62131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6213189529</v>
          </cell>
          <cell r="B88">
            <v>62131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11408</v>
          </cell>
          <cell r="G88">
            <v>-11408</v>
          </cell>
          <cell r="H88">
            <v>0</v>
          </cell>
          <cell r="I88">
            <v>6223</v>
          </cell>
          <cell r="J88">
            <v>-6223</v>
          </cell>
        </row>
        <row r="89">
          <cell r="A89" t="str">
            <v>6213189567</v>
          </cell>
          <cell r="B89">
            <v>62131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6213185058</v>
          </cell>
          <cell r="B90">
            <v>62131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6213186513</v>
          </cell>
          <cell r="B91">
            <v>62131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6213186519</v>
          </cell>
          <cell r="B92">
            <v>62131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6213188770</v>
          </cell>
          <cell r="B93">
            <v>62131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849233</v>
          </cell>
          <cell r="G93">
            <v>-849233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6213188862</v>
          </cell>
          <cell r="B94">
            <v>62131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6213188874</v>
          </cell>
          <cell r="B95">
            <v>62131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6213189910</v>
          </cell>
          <cell r="B96">
            <v>62131</v>
          </cell>
          <cell r="C96">
            <v>89910</v>
          </cell>
          <cell r="D96" t="str">
            <v>Depreciation</v>
          </cell>
          <cell r="E96">
            <v>0</v>
          </cell>
          <cell r="F96">
            <v>215622.98</v>
          </cell>
          <cell r="G96">
            <v>-215622.98</v>
          </cell>
          <cell r="H96">
            <v>0</v>
          </cell>
          <cell r="I96">
            <v>171736.07</v>
          </cell>
          <cell r="J96">
            <v>-171736.07</v>
          </cell>
        </row>
        <row r="97">
          <cell r="A97" t="str">
            <v>6213189548</v>
          </cell>
          <cell r="B97">
            <v>62131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6213541010</v>
          </cell>
          <cell r="B98">
            <v>62135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6213541040</v>
          </cell>
          <cell r="B99">
            <v>62135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6213541050</v>
          </cell>
          <cell r="B100">
            <v>62135</v>
          </cell>
          <cell r="C100">
            <v>41050</v>
          </cell>
          <cell r="D100" t="str">
            <v>Rental Income - Fixed</v>
          </cell>
          <cell r="E100">
            <v>-982554.14</v>
          </cell>
          <cell r="F100">
            <v>-987658.19</v>
          </cell>
          <cell r="G100">
            <v>5104.0499999999302</v>
          </cell>
          <cell r="H100">
            <v>-5.1999999999999998E-3</v>
          </cell>
          <cell r="I100">
            <v>-988668.47</v>
          </cell>
          <cell r="J100">
            <v>6114.3299999999599</v>
          </cell>
        </row>
        <row r="101">
          <cell r="A101" t="str">
            <v>6213541074</v>
          </cell>
          <cell r="B101">
            <v>62135</v>
          </cell>
          <cell r="C101">
            <v>41074</v>
          </cell>
          <cell r="D101" t="str">
            <v>Rental Income - Percentage</v>
          </cell>
          <cell r="E101">
            <v>-4684.62</v>
          </cell>
          <cell r="F101">
            <v>-17538</v>
          </cell>
          <cell r="G101">
            <v>12853.38</v>
          </cell>
          <cell r="H101">
            <v>-0.7329</v>
          </cell>
          <cell r="I101">
            <v>-5358</v>
          </cell>
          <cell r="J101">
            <v>673.38</v>
          </cell>
        </row>
        <row r="102">
          <cell r="A102" t="str">
            <v>6213541082</v>
          </cell>
          <cell r="B102">
            <v>62135</v>
          </cell>
          <cell r="C102">
            <v>41082</v>
          </cell>
          <cell r="D102" t="str">
            <v>Rental Income - Operating Exp</v>
          </cell>
          <cell r="E102">
            <v>-295432.24</v>
          </cell>
          <cell r="F102">
            <v>-284224.15000000002</v>
          </cell>
          <cell r="G102">
            <v>-11208.09</v>
          </cell>
          <cell r="H102">
            <v>3.9399999999999998E-2</v>
          </cell>
          <cell r="I102">
            <v>-297826.94</v>
          </cell>
          <cell r="J102">
            <v>2394.7000000000098</v>
          </cell>
        </row>
        <row r="103">
          <cell r="A103" t="str">
            <v>6213544610</v>
          </cell>
          <cell r="B103">
            <v>62135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6213545071</v>
          </cell>
          <cell r="B104">
            <v>62135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-2884</v>
          </cell>
          <cell r="G104">
            <v>2884</v>
          </cell>
          <cell r="H104">
            <v>0</v>
          </cell>
          <cell r="I104">
            <v>-1854</v>
          </cell>
          <cell r="J104">
            <v>1854</v>
          </cell>
        </row>
        <row r="105">
          <cell r="A105" t="str">
            <v>6213545010</v>
          </cell>
          <cell r="B105">
            <v>62135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6213545046</v>
          </cell>
          <cell r="B106">
            <v>62135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6213545070</v>
          </cell>
          <cell r="B107">
            <v>62135</v>
          </cell>
          <cell r="C107">
            <v>45070</v>
          </cell>
          <cell r="D107" t="str">
            <v>Other Income</v>
          </cell>
          <cell r="E107">
            <v>0.73</v>
          </cell>
          <cell r="F107">
            <v>-1374.31</v>
          </cell>
          <cell r="G107">
            <v>1375.04</v>
          </cell>
          <cell r="H107">
            <v>-1.0004999999999999</v>
          </cell>
          <cell r="I107">
            <v>-391.93</v>
          </cell>
          <cell r="J107">
            <v>392.66</v>
          </cell>
        </row>
        <row r="108">
          <cell r="A108" t="str">
            <v>6213541060</v>
          </cell>
          <cell r="B108">
            <v>62135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10129</v>
          </cell>
          <cell r="G108">
            <v>-10129</v>
          </cell>
          <cell r="H108">
            <v>0</v>
          </cell>
          <cell r="I108">
            <v>0</v>
          </cell>
          <cell r="J108">
            <v>0</v>
          </cell>
        </row>
        <row r="109">
          <cell r="A109" t="str">
            <v>6213544870</v>
          </cell>
          <cell r="B109">
            <v>62135</v>
          </cell>
          <cell r="C109">
            <v>44870</v>
          </cell>
          <cell r="D109" t="str">
            <v>Late Fees</v>
          </cell>
          <cell r="E109">
            <v>-8360.5400000000009</v>
          </cell>
          <cell r="F109">
            <v>0</v>
          </cell>
          <cell r="G109">
            <v>-8360.5400000000009</v>
          </cell>
          <cell r="H109">
            <v>0</v>
          </cell>
          <cell r="I109">
            <v>-6791.48</v>
          </cell>
          <cell r="J109">
            <v>-1569.06</v>
          </cell>
        </row>
        <row r="110">
          <cell r="A110" t="str">
            <v>6213552542</v>
          </cell>
          <cell r="B110">
            <v>62135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6213572710</v>
          </cell>
          <cell r="B111">
            <v>62135</v>
          </cell>
          <cell r="C111">
            <v>72710</v>
          </cell>
          <cell r="D111" t="str">
            <v>Utilities - Electricity</v>
          </cell>
          <cell r="E111">
            <v>9721.07</v>
          </cell>
          <cell r="F111">
            <v>11375</v>
          </cell>
          <cell r="G111">
            <v>-1653.93</v>
          </cell>
          <cell r="H111">
            <v>-0.1454</v>
          </cell>
          <cell r="I111">
            <v>9990.51</v>
          </cell>
          <cell r="J111">
            <v>-269.44000000000102</v>
          </cell>
        </row>
        <row r="112">
          <cell r="A112" t="str">
            <v>6213572740</v>
          </cell>
          <cell r="B112">
            <v>62135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6213572770</v>
          </cell>
          <cell r="B113">
            <v>62135</v>
          </cell>
          <cell r="C113">
            <v>72770</v>
          </cell>
          <cell r="D113" t="str">
            <v>Utilities - Water</v>
          </cell>
          <cell r="E113">
            <v>5314.95</v>
          </cell>
          <cell r="F113">
            <v>5831</v>
          </cell>
          <cell r="G113">
            <v>-516.04999999999995</v>
          </cell>
          <cell r="H113">
            <v>-8.8499999999999995E-2</v>
          </cell>
          <cell r="I113">
            <v>5422.69</v>
          </cell>
          <cell r="J113">
            <v>-107.74</v>
          </cell>
        </row>
        <row r="114">
          <cell r="A114" t="str">
            <v>6213576000</v>
          </cell>
          <cell r="B114">
            <v>62135</v>
          </cell>
          <cell r="C114">
            <v>76000</v>
          </cell>
          <cell r="D114" t="str">
            <v>Bldg Maintenance &amp; Repair</v>
          </cell>
          <cell r="E114">
            <v>11332.88</v>
          </cell>
          <cell r="F114">
            <v>14594.31</v>
          </cell>
          <cell r="G114">
            <v>-3261.43</v>
          </cell>
          <cell r="H114">
            <v>-0.2235</v>
          </cell>
          <cell r="I114">
            <v>14155.75</v>
          </cell>
          <cell r="J114">
            <v>-2822.87</v>
          </cell>
        </row>
        <row r="115">
          <cell r="A115" t="str">
            <v>6213576020</v>
          </cell>
          <cell r="B115">
            <v>62135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6213576034</v>
          </cell>
          <cell r="B116">
            <v>62135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6213576050</v>
          </cell>
          <cell r="B117">
            <v>62135</v>
          </cell>
          <cell r="C117">
            <v>76050</v>
          </cell>
          <cell r="D117" t="str">
            <v>Cleaning Expense</v>
          </cell>
          <cell r="E117">
            <v>22248.06</v>
          </cell>
          <cell r="F117">
            <v>19873</v>
          </cell>
          <cell r="G117">
            <v>2375.06</v>
          </cell>
          <cell r="H117">
            <v>0.1195</v>
          </cell>
          <cell r="I117">
            <v>20724.3</v>
          </cell>
          <cell r="J117">
            <v>1523.76</v>
          </cell>
        </row>
        <row r="118">
          <cell r="A118" t="str">
            <v>6213576056</v>
          </cell>
          <cell r="B118">
            <v>62135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6213576070</v>
          </cell>
          <cell r="B119">
            <v>62135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6213576091</v>
          </cell>
          <cell r="B120">
            <v>62135</v>
          </cell>
          <cell r="C120">
            <v>76091</v>
          </cell>
          <cell r="D120" t="str">
            <v>Parking Maintenance</v>
          </cell>
          <cell r="E120">
            <v>24247</v>
          </cell>
          <cell r="F120">
            <v>17617.689999999999</v>
          </cell>
          <cell r="G120">
            <v>6629.31</v>
          </cell>
          <cell r="H120">
            <v>0.37630000000000002</v>
          </cell>
          <cell r="I120">
            <v>14924.34</v>
          </cell>
          <cell r="J120">
            <v>9322.66</v>
          </cell>
        </row>
        <row r="121">
          <cell r="A121" t="str">
            <v>6213577000</v>
          </cell>
          <cell r="B121">
            <v>62135</v>
          </cell>
          <cell r="C121">
            <v>77000</v>
          </cell>
          <cell r="D121" t="str">
            <v>Grounds Maintenance</v>
          </cell>
          <cell r="E121">
            <v>16343.62</v>
          </cell>
          <cell r="F121">
            <v>50181.19</v>
          </cell>
          <cell r="G121">
            <v>-33837.57</v>
          </cell>
          <cell r="H121">
            <v>-0.67430000000000001</v>
          </cell>
          <cell r="I121">
            <v>28132.87</v>
          </cell>
          <cell r="J121">
            <v>-11789.25</v>
          </cell>
        </row>
        <row r="122">
          <cell r="A122" t="str">
            <v>6213577053</v>
          </cell>
          <cell r="B122">
            <v>62135</v>
          </cell>
          <cell r="C122">
            <v>77053</v>
          </cell>
          <cell r="D122" t="str">
            <v>Landscaping</v>
          </cell>
          <cell r="E122">
            <v>25863.5</v>
          </cell>
          <cell r="F122">
            <v>29948</v>
          </cell>
          <cell r="G122">
            <v>-4084.5</v>
          </cell>
          <cell r="H122">
            <v>-0.13639999999999999</v>
          </cell>
          <cell r="I122">
            <v>19123</v>
          </cell>
          <cell r="J122">
            <v>6740.5</v>
          </cell>
        </row>
        <row r="123">
          <cell r="A123" t="str">
            <v>6213578020</v>
          </cell>
          <cell r="B123">
            <v>62135</v>
          </cell>
          <cell r="C123">
            <v>78020</v>
          </cell>
          <cell r="D123" t="str">
            <v>Amortized CAM Exp</v>
          </cell>
          <cell r="E123">
            <v>47881.93</v>
          </cell>
          <cell r="F123">
            <v>21801.5</v>
          </cell>
          <cell r="G123">
            <v>26080.43</v>
          </cell>
          <cell r="H123">
            <v>1.1962999999999999</v>
          </cell>
          <cell r="I123">
            <v>55959.49</v>
          </cell>
          <cell r="J123">
            <v>-8077.56</v>
          </cell>
        </row>
        <row r="124">
          <cell r="A124" t="str">
            <v>6213584264</v>
          </cell>
          <cell r="B124">
            <v>62135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6213585555</v>
          </cell>
          <cell r="B125">
            <v>62135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6213585584</v>
          </cell>
          <cell r="B126">
            <v>62135</v>
          </cell>
          <cell r="C126">
            <v>85584</v>
          </cell>
          <cell r="D126" t="str">
            <v>Bldg Admin-Office Costs</v>
          </cell>
          <cell r="E126">
            <v>3080.43</v>
          </cell>
          <cell r="F126">
            <v>3080</v>
          </cell>
          <cell r="G126">
            <v>0.42999999999983601</v>
          </cell>
          <cell r="H126">
            <v>1E-4</v>
          </cell>
          <cell r="I126">
            <v>3188.89</v>
          </cell>
          <cell r="J126">
            <v>-108.46</v>
          </cell>
        </row>
        <row r="127">
          <cell r="A127" t="str">
            <v>6213585582</v>
          </cell>
          <cell r="B127">
            <v>62135</v>
          </cell>
          <cell r="C127">
            <v>85582</v>
          </cell>
          <cell r="D127" t="str">
            <v>Bldg Admin-Salaries</v>
          </cell>
          <cell r="E127">
            <v>20583.169999999998</v>
          </cell>
          <cell r="F127">
            <v>20734</v>
          </cell>
          <cell r="G127">
            <v>-150.830000000002</v>
          </cell>
          <cell r="H127">
            <v>-7.3000000000000001E-3</v>
          </cell>
          <cell r="I127">
            <v>20931.810000000001</v>
          </cell>
          <cell r="J127">
            <v>-348.640000000003</v>
          </cell>
        </row>
        <row r="128">
          <cell r="A128" t="str">
            <v>6213586564</v>
          </cell>
          <cell r="B128">
            <v>62135</v>
          </cell>
          <cell r="C128">
            <v>86564</v>
          </cell>
          <cell r="D128" t="str">
            <v>Insurance</v>
          </cell>
          <cell r="E128">
            <v>15943.47</v>
          </cell>
          <cell r="F128">
            <v>18196.5</v>
          </cell>
          <cell r="G128">
            <v>-2253.0300000000002</v>
          </cell>
          <cell r="H128">
            <v>-0.12379999999999999</v>
          </cell>
          <cell r="I128">
            <v>15563.26</v>
          </cell>
          <cell r="J128">
            <v>380.20999999999901</v>
          </cell>
        </row>
        <row r="129">
          <cell r="A129" t="str">
            <v>6213588846</v>
          </cell>
          <cell r="B129">
            <v>62135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6213588890</v>
          </cell>
          <cell r="B130">
            <v>62135</v>
          </cell>
          <cell r="C130">
            <v>88890</v>
          </cell>
          <cell r="D130" t="str">
            <v>Security/Safety</v>
          </cell>
          <cell r="E130">
            <v>8423.86</v>
          </cell>
          <cell r="F130">
            <v>4900</v>
          </cell>
          <cell r="G130">
            <v>3523.86</v>
          </cell>
          <cell r="H130">
            <v>0.71919999999999995</v>
          </cell>
          <cell r="I130">
            <v>7881.69</v>
          </cell>
          <cell r="J130">
            <v>542.17000000000098</v>
          </cell>
        </row>
        <row r="131">
          <cell r="A131" t="str">
            <v>6213589775</v>
          </cell>
          <cell r="B131">
            <v>62135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6213589729</v>
          </cell>
          <cell r="B132">
            <v>62135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6213589786</v>
          </cell>
          <cell r="B133">
            <v>62135</v>
          </cell>
          <cell r="C133">
            <v>89786</v>
          </cell>
          <cell r="D133" t="str">
            <v>Property Tax Exp</v>
          </cell>
          <cell r="E133">
            <v>59664.01</v>
          </cell>
          <cell r="F133">
            <v>54852.56</v>
          </cell>
          <cell r="G133">
            <v>4811.45</v>
          </cell>
          <cell r="H133">
            <v>8.77E-2</v>
          </cell>
          <cell r="I133">
            <v>57029.26</v>
          </cell>
          <cell r="J133">
            <v>2634.75</v>
          </cell>
        </row>
        <row r="134">
          <cell r="A134" t="str">
            <v>6213571040</v>
          </cell>
          <cell r="B134">
            <v>62135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6213572701</v>
          </cell>
          <cell r="B135">
            <v>62135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>6213572855</v>
          </cell>
          <cell r="B136">
            <v>62135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6213572870</v>
          </cell>
          <cell r="B137">
            <v>62135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6213576010</v>
          </cell>
          <cell r="B138">
            <v>62135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6213576040</v>
          </cell>
          <cell r="B139">
            <v>62135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6213576051</v>
          </cell>
          <cell r="B140">
            <v>62135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6213576054</v>
          </cell>
          <cell r="B141">
            <v>62135</v>
          </cell>
          <cell r="C141">
            <v>76054</v>
          </cell>
          <cell r="D141" t="str">
            <v>Bldg Maintenance &amp; Repair</v>
          </cell>
          <cell r="E141">
            <v>97.75</v>
          </cell>
          <cell r="F141">
            <v>5200</v>
          </cell>
          <cell r="G141">
            <v>-5102.25</v>
          </cell>
          <cell r="H141">
            <v>-0.98119999999999996</v>
          </cell>
          <cell r="I141">
            <v>2707.75</v>
          </cell>
          <cell r="J141">
            <v>-2610</v>
          </cell>
        </row>
        <row r="142">
          <cell r="A142" t="str">
            <v>6213576060</v>
          </cell>
          <cell r="B142">
            <v>62135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6213576071</v>
          </cell>
          <cell r="B143">
            <v>62135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6213576090</v>
          </cell>
          <cell r="B144">
            <v>62135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6213577001</v>
          </cell>
          <cell r="B145">
            <v>62135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6213577022</v>
          </cell>
          <cell r="B146">
            <v>62135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6213584200</v>
          </cell>
          <cell r="B147">
            <v>62135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6213584240</v>
          </cell>
          <cell r="B148">
            <v>62135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6213584242</v>
          </cell>
          <cell r="B149">
            <v>62135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6213584243</v>
          </cell>
          <cell r="B150">
            <v>62135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6213584244</v>
          </cell>
          <cell r="B151">
            <v>62135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6213584265</v>
          </cell>
          <cell r="B152">
            <v>62135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6213588037</v>
          </cell>
          <cell r="B153">
            <v>62135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6213585016</v>
          </cell>
          <cell r="B154">
            <v>62135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1000</v>
          </cell>
          <cell r="G154">
            <v>-1000</v>
          </cell>
          <cell r="H154">
            <v>0</v>
          </cell>
          <cell r="I154">
            <v>500</v>
          </cell>
          <cell r="J154">
            <v>-500</v>
          </cell>
        </row>
        <row r="155">
          <cell r="A155" t="str">
            <v>6213585022</v>
          </cell>
          <cell r="B155">
            <v>62135</v>
          </cell>
          <cell r="C155">
            <v>85022</v>
          </cell>
          <cell r="D155" t="str">
            <v>Prof Svc-Audit/Acctng</v>
          </cell>
          <cell r="E155">
            <v>-1350</v>
          </cell>
          <cell r="F155">
            <v>0</v>
          </cell>
          <cell r="G155">
            <v>-1350</v>
          </cell>
          <cell r="H155">
            <v>0</v>
          </cell>
          <cell r="I155">
            <v>0</v>
          </cell>
          <cell r="J155">
            <v>-1350</v>
          </cell>
        </row>
        <row r="156">
          <cell r="A156" t="str">
            <v>6213585065</v>
          </cell>
          <cell r="B156">
            <v>62135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6213585500</v>
          </cell>
          <cell r="B157">
            <v>62135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6213585566</v>
          </cell>
          <cell r="B158">
            <v>62135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6213585581</v>
          </cell>
          <cell r="B159">
            <v>62135</v>
          </cell>
          <cell r="C159">
            <v>85581</v>
          </cell>
          <cell r="D159" t="str">
            <v>Bldg Admin- Salaries</v>
          </cell>
          <cell r="E159">
            <v>11502.02</v>
          </cell>
          <cell r="F159">
            <v>12390</v>
          </cell>
          <cell r="G159">
            <v>-887.98</v>
          </cell>
          <cell r="H159">
            <v>-7.17E-2</v>
          </cell>
          <cell r="I159">
            <v>11809.4</v>
          </cell>
          <cell r="J159">
            <v>-307.37999999999897</v>
          </cell>
        </row>
        <row r="160">
          <cell r="A160" t="str">
            <v>6213585583</v>
          </cell>
          <cell r="B160">
            <v>62135</v>
          </cell>
          <cell r="C160">
            <v>85583</v>
          </cell>
          <cell r="D160" t="str">
            <v>Bldg Admin-Office Exp.</v>
          </cell>
          <cell r="E160">
            <v>1703.42</v>
          </cell>
          <cell r="F160">
            <v>1797.25</v>
          </cell>
          <cell r="G160">
            <v>-93.829999999999899</v>
          </cell>
          <cell r="H160">
            <v>-5.2200000000000003E-2</v>
          </cell>
          <cell r="I160">
            <v>1852.54</v>
          </cell>
          <cell r="J160">
            <v>-149.12</v>
          </cell>
        </row>
        <row r="161">
          <cell r="A161" t="str">
            <v>6213585530</v>
          </cell>
          <cell r="B161">
            <v>62135</v>
          </cell>
          <cell r="C161">
            <v>85530</v>
          </cell>
          <cell r="D161" t="str">
            <v>Bldg Admin - Office Exp</v>
          </cell>
          <cell r="E161">
            <v>1703.42</v>
          </cell>
          <cell r="F161">
            <v>1797.25</v>
          </cell>
          <cell r="G161">
            <v>-93.829999999999899</v>
          </cell>
          <cell r="H161">
            <v>-5.2200000000000003E-2</v>
          </cell>
          <cell r="I161">
            <v>1852.54</v>
          </cell>
          <cell r="J161">
            <v>-149.12</v>
          </cell>
        </row>
        <row r="162">
          <cell r="A162" t="str">
            <v>6213586012</v>
          </cell>
          <cell r="B162">
            <v>62135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6213586037</v>
          </cell>
          <cell r="B163">
            <v>62135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6213583050</v>
          </cell>
          <cell r="B164">
            <v>62135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6213586510</v>
          </cell>
          <cell r="B165">
            <v>62135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6213586537</v>
          </cell>
          <cell r="B166">
            <v>62135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6213586566</v>
          </cell>
          <cell r="B167">
            <v>62135</v>
          </cell>
          <cell r="C167">
            <v>86566</v>
          </cell>
          <cell r="D167" t="str">
            <v>Insurance</v>
          </cell>
          <cell r="E167">
            <v>47.53</v>
          </cell>
          <cell r="F167">
            <v>0</v>
          </cell>
          <cell r="G167">
            <v>47.53</v>
          </cell>
          <cell r="H167">
            <v>0</v>
          </cell>
          <cell r="I167">
            <v>47.53</v>
          </cell>
          <cell r="J167">
            <v>0</v>
          </cell>
        </row>
        <row r="168">
          <cell r="A168" t="str">
            <v>6213586955</v>
          </cell>
          <cell r="B168">
            <v>62135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6213586985</v>
          </cell>
          <cell r="B169">
            <v>62135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6213586880</v>
          </cell>
          <cell r="B170">
            <v>62135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6213588710</v>
          </cell>
          <cell r="B171">
            <v>62135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6213588711</v>
          </cell>
          <cell r="B172">
            <v>62135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6213588785</v>
          </cell>
          <cell r="B173">
            <v>62135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6213588847</v>
          </cell>
          <cell r="B174">
            <v>62135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6213588866</v>
          </cell>
          <cell r="B175">
            <v>62135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6213588870</v>
          </cell>
          <cell r="B176">
            <v>62135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6213588889</v>
          </cell>
          <cell r="B177">
            <v>62135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6213589776</v>
          </cell>
          <cell r="B178">
            <v>62135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6213589787</v>
          </cell>
          <cell r="B179">
            <v>62135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6213589510</v>
          </cell>
          <cell r="B180">
            <v>62135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6213589511</v>
          </cell>
          <cell r="B181">
            <v>62135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6213589512</v>
          </cell>
          <cell r="B182">
            <v>62135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6213589528</v>
          </cell>
          <cell r="B183">
            <v>62135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6213589529</v>
          </cell>
          <cell r="B184">
            <v>62135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6213589567</v>
          </cell>
          <cell r="B185">
            <v>62135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6213585058</v>
          </cell>
          <cell r="B186">
            <v>62135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6213586513</v>
          </cell>
          <cell r="B187">
            <v>62135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45.55</v>
          </cell>
          <cell r="G187">
            <v>-45.55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6213586519</v>
          </cell>
          <cell r="B188">
            <v>62135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6213588770</v>
          </cell>
          <cell r="B189">
            <v>62135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6213588862</v>
          </cell>
          <cell r="B190">
            <v>62135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6213588874</v>
          </cell>
          <cell r="B191">
            <v>62135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6213589910</v>
          </cell>
          <cell r="B192">
            <v>62135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53029.33</v>
          </cell>
          <cell r="G192">
            <v>-53029.33</v>
          </cell>
          <cell r="H192">
            <v>0</v>
          </cell>
          <cell r="I192">
            <v>50990.66</v>
          </cell>
          <cell r="J192">
            <v>-50990.66</v>
          </cell>
        </row>
        <row r="193">
          <cell r="A193" t="str">
            <v>6213589548</v>
          </cell>
          <cell r="B193">
            <v>62135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6216041010</v>
          </cell>
          <cell r="B194">
            <v>62160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6216041040</v>
          </cell>
          <cell r="B195">
            <v>62160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6216041050</v>
          </cell>
          <cell r="B196">
            <v>62160</v>
          </cell>
          <cell r="C196">
            <v>41050</v>
          </cell>
          <cell r="D196" t="str">
            <v>Rental Income - Fixed</v>
          </cell>
          <cell r="E196">
            <v>-1117238.82</v>
          </cell>
          <cell r="F196">
            <v>-1113610.1399999999</v>
          </cell>
          <cell r="G196">
            <v>-3628.6800000001699</v>
          </cell>
          <cell r="H196">
            <v>3.3E-3</v>
          </cell>
          <cell r="I196">
            <v>-1115849.18</v>
          </cell>
          <cell r="J196">
            <v>-1389.6400000001299</v>
          </cell>
        </row>
        <row r="197">
          <cell r="A197" t="str">
            <v>6216041074</v>
          </cell>
          <cell r="B197">
            <v>62160</v>
          </cell>
          <cell r="C197">
            <v>41074</v>
          </cell>
          <cell r="D197" t="str">
            <v>Rental Income - Percentage</v>
          </cell>
          <cell r="E197">
            <v>-124976.24</v>
          </cell>
          <cell r="F197">
            <v>-51316</v>
          </cell>
          <cell r="G197">
            <v>-73660.240000000005</v>
          </cell>
          <cell r="H197">
            <v>1.4354</v>
          </cell>
          <cell r="I197">
            <v>-130215.63</v>
          </cell>
          <cell r="J197">
            <v>5239.3900000000003</v>
          </cell>
        </row>
        <row r="198">
          <cell r="A198" t="str">
            <v>6216041082</v>
          </cell>
          <cell r="B198">
            <v>62160</v>
          </cell>
          <cell r="C198">
            <v>41082</v>
          </cell>
          <cell r="D198" t="str">
            <v>Rental Income - Operating Exp</v>
          </cell>
          <cell r="E198">
            <v>-277488.96999999997</v>
          </cell>
          <cell r="F198">
            <v>-248331.23</v>
          </cell>
          <cell r="G198">
            <v>-29157.74</v>
          </cell>
          <cell r="H198">
            <v>0.1174</v>
          </cell>
          <cell r="I198">
            <v>-254970.12</v>
          </cell>
          <cell r="J198">
            <v>-22518.85</v>
          </cell>
        </row>
        <row r="199">
          <cell r="A199" t="str">
            <v>6216044610</v>
          </cell>
          <cell r="B199">
            <v>62160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6216045071</v>
          </cell>
          <cell r="B200">
            <v>62160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6216045010</v>
          </cell>
          <cell r="B201">
            <v>62160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6216045046</v>
          </cell>
          <cell r="B202">
            <v>62160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6216045070</v>
          </cell>
          <cell r="B203">
            <v>62160</v>
          </cell>
          <cell r="C203">
            <v>45070</v>
          </cell>
          <cell r="D203" t="str">
            <v>Other Income</v>
          </cell>
          <cell r="E203">
            <v>-202.15</v>
          </cell>
          <cell r="F203">
            <v>-1307.25</v>
          </cell>
          <cell r="G203">
            <v>1105.0999999999999</v>
          </cell>
          <cell r="H203">
            <v>-0.84540000000000004</v>
          </cell>
          <cell r="I203">
            <v>-574.79</v>
          </cell>
          <cell r="J203">
            <v>372.64</v>
          </cell>
        </row>
        <row r="204">
          <cell r="A204" t="str">
            <v>6216041060</v>
          </cell>
          <cell r="B204">
            <v>62160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4340</v>
          </cell>
          <cell r="G204">
            <v>-4340</v>
          </cell>
          <cell r="H204">
            <v>0</v>
          </cell>
          <cell r="I204">
            <v>0</v>
          </cell>
          <cell r="J204">
            <v>0</v>
          </cell>
        </row>
        <row r="205">
          <cell r="A205" t="str">
            <v>6216044870</v>
          </cell>
          <cell r="B205">
            <v>62160</v>
          </cell>
          <cell r="C205">
            <v>44870</v>
          </cell>
          <cell r="D205" t="str">
            <v>Late Fees</v>
          </cell>
          <cell r="E205">
            <v>-755.75</v>
          </cell>
          <cell r="F205">
            <v>0</v>
          </cell>
          <cell r="G205">
            <v>-755.75</v>
          </cell>
          <cell r="H205">
            <v>0</v>
          </cell>
          <cell r="I205">
            <v>-569.59</v>
          </cell>
          <cell r="J205">
            <v>-186.16</v>
          </cell>
        </row>
        <row r="206">
          <cell r="A206" t="str">
            <v>6216052542</v>
          </cell>
          <cell r="B206">
            <v>62160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6216072710</v>
          </cell>
          <cell r="B207">
            <v>62160</v>
          </cell>
          <cell r="C207">
            <v>72710</v>
          </cell>
          <cell r="D207" t="str">
            <v>Utilities - Electricity</v>
          </cell>
          <cell r="E207">
            <v>4803.5600000000004</v>
          </cell>
          <cell r="F207">
            <v>6531</v>
          </cell>
          <cell r="G207">
            <v>-1727.44</v>
          </cell>
          <cell r="H207">
            <v>-0.26450000000000001</v>
          </cell>
          <cell r="I207">
            <v>5230.67</v>
          </cell>
          <cell r="J207">
            <v>-427.11</v>
          </cell>
        </row>
        <row r="208">
          <cell r="A208" t="str">
            <v>6216072740</v>
          </cell>
          <cell r="B208">
            <v>62160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6216072770</v>
          </cell>
          <cell r="B209">
            <v>62160</v>
          </cell>
          <cell r="C209">
            <v>72770</v>
          </cell>
          <cell r="D209" t="str">
            <v>Utilities - Water</v>
          </cell>
          <cell r="E209">
            <v>1178.06</v>
          </cell>
          <cell r="F209">
            <v>2100</v>
          </cell>
          <cell r="G209">
            <v>-921.94</v>
          </cell>
          <cell r="H209">
            <v>-0.439</v>
          </cell>
          <cell r="I209">
            <v>1513.84</v>
          </cell>
          <cell r="J209">
            <v>-335.78</v>
          </cell>
        </row>
        <row r="210">
          <cell r="A210" t="str">
            <v>6216076000</v>
          </cell>
          <cell r="B210">
            <v>62160</v>
          </cell>
          <cell r="C210">
            <v>76000</v>
          </cell>
          <cell r="D210" t="str">
            <v>Bldg Maintenance &amp; Repair</v>
          </cell>
          <cell r="E210">
            <v>12604.27</v>
          </cell>
          <cell r="F210">
            <v>16884</v>
          </cell>
          <cell r="G210">
            <v>-4279.7299999999996</v>
          </cell>
          <cell r="H210">
            <v>-0.2535</v>
          </cell>
          <cell r="I210">
            <v>12562.88</v>
          </cell>
          <cell r="J210">
            <v>41.390000000001201</v>
          </cell>
        </row>
        <row r="211">
          <cell r="A211" t="str">
            <v>6216076020</v>
          </cell>
          <cell r="B211">
            <v>62160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6216076034</v>
          </cell>
          <cell r="B212">
            <v>62160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6216076050</v>
          </cell>
          <cell r="B213">
            <v>62160</v>
          </cell>
          <cell r="C213">
            <v>76050</v>
          </cell>
          <cell r="D213" t="str">
            <v>Cleaning Expense</v>
          </cell>
          <cell r="E213">
            <v>28260.65</v>
          </cell>
          <cell r="F213">
            <v>25550</v>
          </cell>
          <cell r="G213">
            <v>2710.65</v>
          </cell>
          <cell r="H213">
            <v>0.1061</v>
          </cell>
          <cell r="I213">
            <v>27675.93</v>
          </cell>
          <cell r="J213">
            <v>584.72000000000105</v>
          </cell>
        </row>
        <row r="214">
          <cell r="A214" t="str">
            <v>6216076056</v>
          </cell>
          <cell r="B214">
            <v>62160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6216076070</v>
          </cell>
          <cell r="B215">
            <v>62160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6216076091</v>
          </cell>
          <cell r="B216">
            <v>62160</v>
          </cell>
          <cell r="C216">
            <v>76091</v>
          </cell>
          <cell r="D216" t="str">
            <v>Parking Maintenance</v>
          </cell>
          <cell r="E216">
            <v>19139</v>
          </cell>
          <cell r="F216">
            <v>21037</v>
          </cell>
          <cell r="G216">
            <v>-1898</v>
          </cell>
          <cell r="H216">
            <v>-9.0200000000000002E-2</v>
          </cell>
          <cell r="I216">
            <v>19497</v>
          </cell>
          <cell r="J216">
            <v>-358</v>
          </cell>
        </row>
        <row r="217">
          <cell r="A217" t="str">
            <v>6216077000</v>
          </cell>
          <cell r="B217">
            <v>62160</v>
          </cell>
          <cell r="C217">
            <v>77000</v>
          </cell>
          <cell r="D217" t="str">
            <v>Grounds Maintenance</v>
          </cell>
          <cell r="E217">
            <v>29452.15</v>
          </cell>
          <cell r="F217">
            <v>38212.25</v>
          </cell>
          <cell r="G217">
            <v>-8760.1</v>
          </cell>
          <cell r="H217">
            <v>-0.22919999999999999</v>
          </cell>
          <cell r="I217">
            <v>29165.78</v>
          </cell>
          <cell r="J217">
            <v>286.37000000000302</v>
          </cell>
        </row>
        <row r="218">
          <cell r="A218" t="str">
            <v>6216077053</v>
          </cell>
          <cell r="B218">
            <v>62160</v>
          </cell>
          <cell r="C218">
            <v>77053</v>
          </cell>
          <cell r="D218" t="str">
            <v>Landscaping</v>
          </cell>
          <cell r="E218">
            <v>15605</v>
          </cell>
          <cell r="F218">
            <v>24300</v>
          </cell>
          <cell r="G218">
            <v>-8695</v>
          </cell>
          <cell r="H218">
            <v>-0.35780000000000001</v>
          </cell>
          <cell r="I218">
            <v>17235</v>
          </cell>
          <cell r="J218">
            <v>-1630</v>
          </cell>
        </row>
        <row r="219">
          <cell r="A219" t="str">
            <v>6216078020</v>
          </cell>
          <cell r="B219">
            <v>62160</v>
          </cell>
          <cell r="C219">
            <v>78020</v>
          </cell>
          <cell r="D219" t="str">
            <v>Amortized CAM Exp</v>
          </cell>
          <cell r="E219">
            <v>51243.66</v>
          </cell>
          <cell r="F219">
            <v>14019.81</v>
          </cell>
          <cell r="G219">
            <v>37223.85</v>
          </cell>
          <cell r="H219">
            <v>2.6551</v>
          </cell>
          <cell r="I219">
            <v>24775.55</v>
          </cell>
          <cell r="J219">
            <v>26468.11</v>
          </cell>
        </row>
        <row r="220">
          <cell r="A220" t="str">
            <v>6216084264</v>
          </cell>
          <cell r="B220">
            <v>62160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6216085555</v>
          </cell>
          <cell r="B221">
            <v>62160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6216085584</v>
          </cell>
          <cell r="B222">
            <v>62160</v>
          </cell>
          <cell r="C222">
            <v>85584</v>
          </cell>
          <cell r="D222" t="str">
            <v>Bldg Admin-Office Costs</v>
          </cell>
          <cell r="E222">
            <v>3119.01</v>
          </cell>
          <cell r="F222">
            <v>3115</v>
          </cell>
          <cell r="G222">
            <v>4.0100000000002201</v>
          </cell>
          <cell r="H222">
            <v>1.2999999999999999E-3</v>
          </cell>
          <cell r="I222">
            <v>3228.73</v>
          </cell>
          <cell r="J222">
            <v>-109.72</v>
          </cell>
        </row>
        <row r="223">
          <cell r="A223" t="str">
            <v>6216085582</v>
          </cell>
          <cell r="B223">
            <v>62160</v>
          </cell>
          <cell r="C223">
            <v>85582</v>
          </cell>
          <cell r="D223" t="str">
            <v>Bldg Admin-Salaries</v>
          </cell>
          <cell r="E223">
            <v>20841</v>
          </cell>
          <cell r="F223">
            <v>20993.56</v>
          </cell>
          <cell r="G223">
            <v>-152.560000000001</v>
          </cell>
          <cell r="H223">
            <v>-7.3000000000000001E-3</v>
          </cell>
          <cell r="I223">
            <v>21194.06</v>
          </cell>
          <cell r="J223">
            <v>-353.06000000000103</v>
          </cell>
        </row>
        <row r="224">
          <cell r="A224" t="str">
            <v>6216086564</v>
          </cell>
          <cell r="B224">
            <v>62160</v>
          </cell>
          <cell r="C224">
            <v>86564</v>
          </cell>
          <cell r="D224" t="str">
            <v>Insurance</v>
          </cell>
          <cell r="E224">
            <v>16207</v>
          </cell>
          <cell r="F224">
            <v>18450.25</v>
          </cell>
          <cell r="G224">
            <v>-2243.25</v>
          </cell>
          <cell r="H224">
            <v>-0.1216</v>
          </cell>
          <cell r="I224">
            <v>15839.5</v>
          </cell>
          <cell r="J224">
            <v>367.5</v>
          </cell>
        </row>
        <row r="225">
          <cell r="A225" t="str">
            <v>6216088846</v>
          </cell>
          <cell r="B225">
            <v>62160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6216088890</v>
          </cell>
          <cell r="B226">
            <v>62160</v>
          </cell>
          <cell r="C226">
            <v>88890</v>
          </cell>
          <cell r="D226" t="str">
            <v>Security/Safety</v>
          </cell>
          <cell r="E226">
            <v>4653.7</v>
          </cell>
          <cell r="F226">
            <v>8200</v>
          </cell>
          <cell r="G226">
            <v>-3546.3</v>
          </cell>
          <cell r="H226">
            <v>-0.4325</v>
          </cell>
          <cell r="I226">
            <v>7700</v>
          </cell>
          <cell r="J226">
            <v>-3046.3</v>
          </cell>
        </row>
        <row r="227">
          <cell r="A227" t="str">
            <v>6216089775</v>
          </cell>
          <cell r="B227">
            <v>62160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6216089729</v>
          </cell>
          <cell r="B228">
            <v>62160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6216089786</v>
          </cell>
          <cell r="B229">
            <v>62160</v>
          </cell>
          <cell r="C229">
            <v>89786</v>
          </cell>
          <cell r="D229" t="str">
            <v>Property Tax Exp</v>
          </cell>
          <cell r="E229">
            <v>56431</v>
          </cell>
          <cell r="F229">
            <v>55141.31</v>
          </cell>
          <cell r="G229">
            <v>1289.69</v>
          </cell>
          <cell r="H229">
            <v>2.3400000000000001E-2</v>
          </cell>
          <cell r="I229">
            <v>56615.26</v>
          </cell>
          <cell r="J229">
            <v>-184.26000000000201</v>
          </cell>
        </row>
        <row r="230">
          <cell r="A230" t="str">
            <v>6216071040</v>
          </cell>
          <cell r="B230">
            <v>62160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6216072701</v>
          </cell>
          <cell r="B231">
            <v>62160</v>
          </cell>
          <cell r="C231">
            <v>72701</v>
          </cell>
          <cell r="D231" t="str">
            <v>Utilities</v>
          </cell>
          <cell r="E231">
            <v>0</v>
          </cell>
          <cell r="F231">
            <v>50</v>
          </cell>
          <cell r="G231">
            <v>-50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>6216072855</v>
          </cell>
          <cell r="B232">
            <v>62160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6216072870</v>
          </cell>
          <cell r="B233">
            <v>62160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6216076010</v>
          </cell>
          <cell r="B234">
            <v>62160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500</v>
          </cell>
          <cell r="G234">
            <v>-500</v>
          </cell>
          <cell r="H234">
            <v>0</v>
          </cell>
          <cell r="I234">
            <v>500</v>
          </cell>
          <cell r="J234">
            <v>-500</v>
          </cell>
        </row>
        <row r="235">
          <cell r="A235" t="str">
            <v>6216076040</v>
          </cell>
          <cell r="B235">
            <v>62160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6216076051</v>
          </cell>
          <cell r="B236">
            <v>62160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6216076054</v>
          </cell>
          <cell r="B237">
            <v>62160</v>
          </cell>
          <cell r="C237">
            <v>76054</v>
          </cell>
          <cell r="D237" t="str">
            <v>Bldg Maintenance &amp; Repair</v>
          </cell>
          <cell r="E237">
            <v>289</v>
          </cell>
          <cell r="F237">
            <v>750</v>
          </cell>
          <cell r="G237">
            <v>-461</v>
          </cell>
          <cell r="H237">
            <v>-0.61470000000000002</v>
          </cell>
          <cell r="I237">
            <v>3443</v>
          </cell>
          <cell r="J237">
            <v>-3154</v>
          </cell>
        </row>
        <row r="238">
          <cell r="A238" t="str">
            <v>6216076060</v>
          </cell>
          <cell r="B238">
            <v>62160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6216076071</v>
          </cell>
          <cell r="B239">
            <v>62160</v>
          </cell>
          <cell r="C239">
            <v>76071</v>
          </cell>
          <cell r="D239" t="str">
            <v>Reimaging Maintenance</v>
          </cell>
          <cell r="E239">
            <v>7530.49</v>
          </cell>
          <cell r="F239">
            <v>0</v>
          </cell>
          <cell r="G239">
            <v>7530.49</v>
          </cell>
          <cell r="H239">
            <v>0</v>
          </cell>
          <cell r="I239">
            <v>7530.49</v>
          </cell>
          <cell r="J239">
            <v>0</v>
          </cell>
        </row>
        <row r="240">
          <cell r="A240" t="str">
            <v>6216076090</v>
          </cell>
          <cell r="B240">
            <v>62160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6216077001</v>
          </cell>
          <cell r="B241">
            <v>62160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6216077022</v>
          </cell>
          <cell r="B242">
            <v>62160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6216084200</v>
          </cell>
          <cell r="B243">
            <v>62160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6216084240</v>
          </cell>
          <cell r="B244">
            <v>62160</v>
          </cell>
          <cell r="C244">
            <v>84240</v>
          </cell>
          <cell r="D244" t="str">
            <v>Marketing Leasing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</row>
        <row r="245">
          <cell r="A245" t="str">
            <v>6216084242</v>
          </cell>
          <cell r="B245">
            <v>62160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6216084243</v>
          </cell>
          <cell r="B246">
            <v>62160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6216084244</v>
          </cell>
          <cell r="B247">
            <v>62160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6216084265</v>
          </cell>
          <cell r="B248">
            <v>62160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6216088037</v>
          </cell>
          <cell r="B249">
            <v>62160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6216085016</v>
          </cell>
          <cell r="B250">
            <v>62160</v>
          </cell>
          <cell r="C250">
            <v>85016</v>
          </cell>
          <cell r="D250" t="str">
            <v>Prof Svc-Attorney Outside</v>
          </cell>
          <cell r="E250">
            <v>0</v>
          </cell>
          <cell r="F250">
            <v>1000</v>
          </cell>
          <cell r="G250">
            <v>-1000</v>
          </cell>
          <cell r="H250">
            <v>0</v>
          </cell>
          <cell r="I250">
            <v>500</v>
          </cell>
          <cell r="J250">
            <v>-500</v>
          </cell>
        </row>
        <row r="251">
          <cell r="A251" t="str">
            <v>6216085022</v>
          </cell>
          <cell r="B251">
            <v>62160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</row>
        <row r="252">
          <cell r="A252" t="str">
            <v>6216085065</v>
          </cell>
          <cell r="B252">
            <v>62160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6216085500</v>
          </cell>
          <cell r="B253">
            <v>62160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 t="str">
            <v>6216085566</v>
          </cell>
          <cell r="B254">
            <v>62160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6216085581</v>
          </cell>
          <cell r="B255">
            <v>62160</v>
          </cell>
          <cell r="C255">
            <v>85581</v>
          </cell>
          <cell r="D255" t="str">
            <v>Bldg Admin- Salaries</v>
          </cell>
          <cell r="E255">
            <v>11646.08</v>
          </cell>
          <cell r="F255">
            <v>12549</v>
          </cell>
          <cell r="G255">
            <v>-902.92</v>
          </cell>
          <cell r="H255">
            <v>-7.1999999999999995E-2</v>
          </cell>
          <cell r="I255">
            <v>11957.23</v>
          </cell>
          <cell r="J255">
            <v>-311.14999999999998</v>
          </cell>
        </row>
        <row r="256">
          <cell r="A256" t="str">
            <v>6216085583</v>
          </cell>
          <cell r="B256">
            <v>62160</v>
          </cell>
          <cell r="C256">
            <v>85583</v>
          </cell>
          <cell r="D256" t="str">
            <v>Bldg Admin-Office Exp.</v>
          </cell>
          <cell r="E256">
            <v>1692.03</v>
          </cell>
          <cell r="F256">
            <v>1819.44</v>
          </cell>
          <cell r="G256">
            <v>-127.41</v>
          </cell>
          <cell r="H256">
            <v>-7.0000000000000007E-2</v>
          </cell>
          <cell r="I256">
            <v>1809.79</v>
          </cell>
          <cell r="J256">
            <v>-117.76</v>
          </cell>
        </row>
        <row r="257">
          <cell r="A257" t="str">
            <v>6216085530</v>
          </cell>
          <cell r="B257">
            <v>62160</v>
          </cell>
          <cell r="C257">
            <v>85530</v>
          </cell>
          <cell r="D257" t="str">
            <v>Bldg Admin - Office Exp</v>
          </cell>
          <cell r="E257">
            <v>1692.03</v>
          </cell>
          <cell r="F257">
            <v>1819.44</v>
          </cell>
          <cell r="G257">
            <v>-127.41</v>
          </cell>
          <cell r="H257">
            <v>-7.0000000000000007E-2</v>
          </cell>
          <cell r="I257">
            <v>1809.79</v>
          </cell>
          <cell r="J257">
            <v>-117.76</v>
          </cell>
        </row>
        <row r="258">
          <cell r="A258" t="str">
            <v>6216086012</v>
          </cell>
          <cell r="B258">
            <v>62160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6216086037</v>
          </cell>
          <cell r="B259">
            <v>62160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6216083050</v>
          </cell>
          <cell r="B260">
            <v>62160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6216086510</v>
          </cell>
          <cell r="B261">
            <v>62160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6216086537</v>
          </cell>
          <cell r="B262">
            <v>62160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6216086566</v>
          </cell>
          <cell r="B263">
            <v>62160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6216086955</v>
          </cell>
          <cell r="B264">
            <v>62160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6216086985</v>
          </cell>
          <cell r="B265">
            <v>62160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6216086880</v>
          </cell>
          <cell r="B266">
            <v>62160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6216088710</v>
          </cell>
          <cell r="B267">
            <v>62160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6216088711</v>
          </cell>
          <cell r="B268">
            <v>62160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6216088785</v>
          </cell>
          <cell r="B269">
            <v>62160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6216088847</v>
          </cell>
          <cell r="B270">
            <v>62160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6216088866</v>
          </cell>
          <cell r="B271">
            <v>62160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6216088870</v>
          </cell>
          <cell r="B272">
            <v>62160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6216088889</v>
          </cell>
          <cell r="B273">
            <v>62160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6216089776</v>
          </cell>
          <cell r="B274">
            <v>62160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6216089787</v>
          </cell>
          <cell r="B275">
            <v>62160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6216089510</v>
          </cell>
          <cell r="B276">
            <v>62160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6216089511</v>
          </cell>
          <cell r="B277">
            <v>62160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6216089512</v>
          </cell>
          <cell r="B278">
            <v>62160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6216089528</v>
          </cell>
          <cell r="B279">
            <v>62160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6216089529</v>
          </cell>
          <cell r="B280">
            <v>62160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>6216089567</v>
          </cell>
          <cell r="B281">
            <v>62160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6216085058</v>
          </cell>
          <cell r="B282">
            <v>62160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6216086513</v>
          </cell>
          <cell r="B283">
            <v>62160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59.7</v>
          </cell>
          <cell r="G283">
            <v>-59.7</v>
          </cell>
          <cell r="H283">
            <v>0</v>
          </cell>
          <cell r="I283">
            <v>0</v>
          </cell>
          <cell r="J283">
            <v>0</v>
          </cell>
        </row>
        <row r="284">
          <cell r="A284" t="str">
            <v>6216086519</v>
          </cell>
          <cell r="B284">
            <v>62160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6216088770</v>
          </cell>
          <cell r="B285">
            <v>62160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6216088862</v>
          </cell>
          <cell r="B286">
            <v>62160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6216088874</v>
          </cell>
          <cell r="B287">
            <v>62160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6216089910</v>
          </cell>
          <cell r="B288">
            <v>62160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78567.78</v>
          </cell>
          <cell r="G288">
            <v>-78567.78</v>
          </cell>
          <cell r="H288">
            <v>0</v>
          </cell>
          <cell r="I288">
            <v>79923.22</v>
          </cell>
          <cell r="J288">
            <v>-79923.22</v>
          </cell>
        </row>
        <row r="289">
          <cell r="A289" t="str">
            <v>6216089548</v>
          </cell>
          <cell r="B289">
            <v>62160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6220041010</v>
          </cell>
          <cell r="B290">
            <v>62200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6220041040</v>
          </cell>
          <cell r="B291">
            <v>62200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6220041050</v>
          </cell>
          <cell r="B292">
            <v>62200</v>
          </cell>
          <cell r="C292">
            <v>41050</v>
          </cell>
          <cell r="D292" t="str">
            <v>Rental Income - Fixed</v>
          </cell>
          <cell r="E292">
            <v>-1930808.57</v>
          </cell>
          <cell r="F292">
            <v>-1962088.25</v>
          </cell>
          <cell r="G292">
            <v>31279.679999999898</v>
          </cell>
          <cell r="H292">
            <v>-1.5900000000000001E-2</v>
          </cell>
          <cell r="I292">
            <v>-1930241.91</v>
          </cell>
          <cell r="J292">
            <v>-566.66000000014901</v>
          </cell>
        </row>
        <row r="293">
          <cell r="A293" t="str">
            <v>6220041074</v>
          </cell>
          <cell r="B293">
            <v>62200</v>
          </cell>
          <cell r="C293">
            <v>41074</v>
          </cell>
          <cell r="D293" t="str">
            <v>Rental Income - Percentage</v>
          </cell>
          <cell r="E293">
            <v>-225619.75</v>
          </cell>
          <cell r="F293">
            <v>-246464</v>
          </cell>
          <cell r="G293">
            <v>20844.25</v>
          </cell>
          <cell r="H293">
            <v>-8.4599999999999995E-2</v>
          </cell>
          <cell r="I293">
            <v>-267955.98</v>
          </cell>
          <cell r="J293">
            <v>42336.23</v>
          </cell>
        </row>
        <row r="294">
          <cell r="A294" t="str">
            <v>6220041082</v>
          </cell>
          <cell r="B294">
            <v>62200</v>
          </cell>
          <cell r="C294">
            <v>41082</v>
          </cell>
          <cell r="D294" t="str">
            <v>Rental Income - Operating Exp</v>
          </cell>
          <cell r="E294">
            <v>-445282.32</v>
          </cell>
          <cell r="F294">
            <v>-449498.07</v>
          </cell>
          <cell r="G294">
            <v>4215.75</v>
          </cell>
          <cell r="H294">
            <v>-9.4000000000000004E-3</v>
          </cell>
          <cell r="I294">
            <v>-442214.69</v>
          </cell>
          <cell r="J294">
            <v>-3067.63</v>
          </cell>
        </row>
        <row r="295">
          <cell r="A295" t="str">
            <v>6220044610</v>
          </cell>
          <cell r="B295">
            <v>62200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6220045071</v>
          </cell>
          <cell r="B296">
            <v>62200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6220045010</v>
          </cell>
          <cell r="B297">
            <v>62200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6220045046</v>
          </cell>
          <cell r="B298">
            <v>62200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6220045070</v>
          </cell>
          <cell r="B299">
            <v>62200</v>
          </cell>
          <cell r="C299">
            <v>45070</v>
          </cell>
          <cell r="D299" t="str">
            <v>Other Income</v>
          </cell>
          <cell r="E299">
            <v>-249.02</v>
          </cell>
          <cell r="F299">
            <v>-33</v>
          </cell>
          <cell r="G299">
            <v>-216.02</v>
          </cell>
          <cell r="H299">
            <v>6.5461</v>
          </cell>
          <cell r="I299">
            <v>0.98</v>
          </cell>
          <cell r="J299">
            <v>-250</v>
          </cell>
        </row>
        <row r="300">
          <cell r="A300" t="str">
            <v>6220041060</v>
          </cell>
          <cell r="B300">
            <v>62200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5516</v>
          </cell>
          <cell r="G300">
            <v>-5516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6220044870</v>
          </cell>
          <cell r="B301">
            <v>62200</v>
          </cell>
          <cell r="C301">
            <v>44870</v>
          </cell>
          <cell r="D301" t="str">
            <v>Late Fees</v>
          </cell>
          <cell r="E301">
            <v>-3077.67</v>
          </cell>
          <cell r="F301">
            <v>-1166.69</v>
          </cell>
          <cell r="G301">
            <v>-1910.98</v>
          </cell>
          <cell r="H301">
            <v>1.6379999999999999</v>
          </cell>
          <cell r="I301">
            <v>-3393.21</v>
          </cell>
          <cell r="J301">
            <v>315.54000000000002</v>
          </cell>
        </row>
        <row r="302">
          <cell r="A302" t="str">
            <v>6220052542</v>
          </cell>
          <cell r="B302">
            <v>62200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6220072710</v>
          </cell>
          <cell r="B303">
            <v>62200</v>
          </cell>
          <cell r="C303">
            <v>72710</v>
          </cell>
          <cell r="D303" t="str">
            <v>Utilities - Electricity</v>
          </cell>
          <cell r="E303">
            <v>7078.34</v>
          </cell>
          <cell r="F303">
            <v>8540</v>
          </cell>
          <cell r="G303">
            <v>-1461.66</v>
          </cell>
          <cell r="H303">
            <v>-0.17119999999999999</v>
          </cell>
          <cell r="I303">
            <v>5741.38</v>
          </cell>
          <cell r="J303">
            <v>1336.96</v>
          </cell>
        </row>
        <row r="304">
          <cell r="A304" t="str">
            <v>6220072740</v>
          </cell>
          <cell r="B304">
            <v>62200</v>
          </cell>
          <cell r="C304">
            <v>72740</v>
          </cell>
          <cell r="D304" t="str">
            <v>Utilities - Gas</v>
          </cell>
          <cell r="E304">
            <v>1457.13</v>
          </cell>
          <cell r="F304">
            <v>4814.25</v>
          </cell>
          <cell r="G304">
            <v>-3357.12</v>
          </cell>
          <cell r="H304">
            <v>-0.69730000000000003</v>
          </cell>
          <cell r="I304">
            <v>1591.57</v>
          </cell>
          <cell r="J304">
            <v>-134.44</v>
          </cell>
        </row>
        <row r="305">
          <cell r="A305" t="str">
            <v>6220072770</v>
          </cell>
          <cell r="B305">
            <v>62200</v>
          </cell>
          <cell r="C305">
            <v>72770</v>
          </cell>
          <cell r="D305" t="str">
            <v>Utilities - Water</v>
          </cell>
          <cell r="E305">
            <v>14200.72</v>
          </cell>
          <cell r="F305">
            <v>12852</v>
          </cell>
          <cell r="G305">
            <v>1348.72</v>
          </cell>
          <cell r="H305">
            <v>0.10489999999999999</v>
          </cell>
          <cell r="I305">
            <v>14608.89</v>
          </cell>
          <cell r="J305">
            <v>-408.17</v>
          </cell>
        </row>
        <row r="306">
          <cell r="A306" t="str">
            <v>6220076000</v>
          </cell>
          <cell r="B306">
            <v>62200</v>
          </cell>
          <cell r="C306">
            <v>76000</v>
          </cell>
          <cell r="D306" t="str">
            <v>Bldg Maintenance &amp; Repair</v>
          </cell>
          <cell r="E306">
            <v>31588.34</v>
          </cell>
          <cell r="F306">
            <v>52264</v>
          </cell>
          <cell r="G306">
            <v>-20675.66</v>
          </cell>
          <cell r="H306">
            <v>-0.39560000000000001</v>
          </cell>
          <cell r="I306">
            <v>37901.300000000003</v>
          </cell>
          <cell r="J306">
            <v>-6312.96</v>
          </cell>
        </row>
        <row r="307">
          <cell r="A307" t="str">
            <v>6220076020</v>
          </cell>
          <cell r="B307">
            <v>62200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6220076034</v>
          </cell>
          <cell r="B308">
            <v>62200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6220076050</v>
          </cell>
          <cell r="B309">
            <v>62200</v>
          </cell>
          <cell r="C309">
            <v>76050</v>
          </cell>
          <cell r="D309" t="str">
            <v>Cleaning Expense</v>
          </cell>
          <cell r="E309">
            <v>53210.61</v>
          </cell>
          <cell r="F309">
            <v>48206.69</v>
          </cell>
          <cell r="G309">
            <v>5003.92</v>
          </cell>
          <cell r="H309">
            <v>0.1038</v>
          </cell>
          <cell r="I309">
            <v>51492.21</v>
          </cell>
          <cell r="J309">
            <v>1718.4</v>
          </cell>
        </row>
        <row r="310">
          <cell r="A310" t="str">
            <v>6220076056</v>
          </cell>
          <cell r="B310">
            <v>62200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6220076070</v>
          </cell>
          <cell r="B311">
            <v>62200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6220076091</v>
          </cell>
          <cell r="B312">
            <v>62200</v>
          </cell>
          <cell r="C312">
            <v>76091</v>
          </cell>
          <cell r="D312" t="str">
            <v>Parking Maintenance</v>
          </cell>
          <cell r="E312">
            <v>25300.99</v>
          </cell>
          <cell r="F312">
            <v>27742</v>
          </cell>
          <cell r="G312">
            <v>-2441.0100000000002</v>
          </cell>
          <cell r="H312">
            <v>-8.7999999999999995E-2</v>
          </cell>
          <cell r="I312">
            <v>27389.63</v>
          </cell>
          <cell r="J312">
            <v>-2088.64</v>
          </cell>
        </row>
        <row r="313">
          <cell r="A313" t="str">
            <v>6220077000</v>
          </cell>
          <cell r="B313">
            <v>62200</v>
          </cell>
          <cell r="C313">
            <v>77000</v>
          </cell>
          <cell r="D313" t="str">
            <v>Grounds Maintenance</v>
          </cell>
          <cell r="E313">
            <v>23020.49</v>
          </cell>
          <cell r="F313">
            <v>28460.69</v>
          </cell>
          <cell r="G313">
            <v>-5440.2</v>
          </cell>
          <cell r="H313">
            <v>-0.19109999999999999</v>
          </cell>
          <cell r="I313">
            <v>21985.95</v>
          </cell>
          <cell r="J313">
            <v>1034.54</v>
          </cell>
        </row>
        <row r="314">
          <cell r="A314" t="str">
            <v>6220077053</v>
          </cell>
          <cell r="B314">
            <v>62200</v>
          </cell>
          <cell r="C314">
            <v>77053</v>
          </cell>
          <cell r="D314" t="str">
            <v>Landscaping</v>
          </cell>
          <cell r="E314">
            <v>37075</v>
          </cell>
          <cell r="F314">
            <v>43676.69</v>
          </cell>
          <cell r="G314">
            <v>-6601.69</v>
          </cell>
          <cell r="H314">
            <v>-0.15110000000000001</v>
          </cell>
          <cell r="I314">
            <v>35977.339999999997</v>
          </cell>
          <cell r="J314">
            <v>1097.6600000000001</v>
          </cell>
        </row>
        <row r="315">
          <cell r="A315" t="str">
            <v>6220078020</v>
          </cell>
          <cell r="B315">
            <v>62200</v>
          </cell>
          <cell r="C315">
            <v>78020</v>
          </cell>
          <cell r="D315" t="str">
            <v>Amortized CAM Exp</v>
          </cell>
          <cell r="E315">
            <v>25991.53</v>
          </cell>
          <cell r="F315">
            <v>19444.25</v>
          </cell>
          <cell r="G315">
            <v>6547.28</v>
          </cell>
          <cell r="H315">
            <v>0.3367</v>
          </cell>
          <cell r="I315">
            <v>8155.42</v>
          </cell>
          <cell r="J315">
            <v>17836.11</v>
          </cell>
        </row>
        <row r="316">
          <cell r="A316" t="str">
            <v>6220084264</v>
          </cell>
          <cell r="B316">
            <v>62200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6220085555</v>
          </cell>
          <cell r="B317">
            <v>62200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6220085584</v>
          </cell>
          <cell r="B318">
            <v>62200</v>
          </cell>
          <cell r="C318">
            <v>85584</v>
          </cell>
          <cell r="D318" t="str">
            <v>Bldg Admin-Office Costs</v>
          </cell>
          <cell r="E318">
            <v>5091.7700000000004</v>
          </cell>
          <cell r="F318">
            <v>5089</v>
          </cell>
          <cell r="G318">
            <v>2.7700000000004401</v>
          </cell>
          <cell r="H318">
            <v>5.0000000000000001E-4</v>
          </cell>
          <cell r="I318">
            <v>5270.92</v>
          </cell>
          <cell r="J318">
            <v>-179.15</v>
          </cell>
        </row>
        <row r="319">
          <cell r="A319" t="str">
            <v>6220085582</v>
          </cell>
          <cell r="B319">
            <v>62200</v>
          </cell>
          <cell r="C319">
            <v>85582</v>
          </cell>
          <cell r="D319" t="str">
            <v>Bldg Admin-Salaries</v>
          </cell>
          <cell r="E319">
            <v>34022.89</v>
          </cell>
          <cell r="F319">
            <v>34272.559999999998</v>
          </cell>
          <cell r="G319">
            <v>-249.669999999998</v>
          </cell>
          <cell r="H319">
            <v>-7.3000000000000001E-3</v>
          </cell>
          <cell r="I319">
            <v>34599.25</v>
          </cell>
          <cell r="J319">
            <v>-576.36000000000104</v>
          </cell>
        </row>
        <row r="320">
          <cell r="A320" t="str">
            <v>6220086564</v>
          </cell>
          <cell r="B320">
            <v>62200</v>
          </cell>
          <cell r="C320">
            <v>86564</v>
          </cell>
          <cell r="D320" t="str">
            <v>Insurance</v>
          </cell>
          <cell r="E320">
            <v>26603</v>
          </cell>
          <cell r="F320">
            <v>30104.69</v>
          </cell>
          <cell r="G320">
            <v>-3501.69</v>
          </cell>
          <cell r="H320">
            <v>-0.1163</v>
          </cell>
          <cell r="I320">
            <v>26078.52</v>
          </cell>
          <cell r="J320">
            <v>524.48</v>
          </cell>
        </row>
        <row r="321">
          <cell r="A321" t="str">
            <v>6220088846</v>
          </cell>
          <cell r="B321">
            <v>62200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6220088890</v>
          </cell>
          <cell r="B322">
            <v>62200</v>
          </cell>
          <cell r="C322">
            <v>88890</v>
          </cell>
          <cell r="D322" t="str">
            <v>Security/Safety</v>
          </cell>
          <cell r="E322">
            <v>19338.63</v>
          </cell>
          <cell r="F322">
            <v>16333.31</v>
          </cell>
          <cell r="G322">
            <v>3005.32</v>
          </cell>
          <cell r="H322">
            <v>0.184</v>
          </cell>
          <cell r="I322">
            <v>19303.03</v>
          </cell>
          <cell r="J322">
            <v>35.600000000002197</v>
          </cell>
        </row>
        <row r="323">
          <cell r="A323" t="str">
            <v>6220089775</v>
          </cell>
          <cell r="B323">
            <v>62200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6220089729</v>
          </cell>
          <cell r="B324">
            <v>62200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6220089786</v>
          </cell>
          <cell r="B325">
            <v>62200</v>
          </cell>
          <cell r="C325">
            <v>89786</v>
          </cell>
          <cell r="D325" t="str">
            <v>Property Tax Exp</v>
          </cell>
          <cell r="E325">
            <v>59382</v>
          </cell>
          <cell r="F325">
            <v>58769.69</v>
          </cell>
          <cell r="G325">
            <v>612.30999999999801</v>
          </cell>
          <cell r="H325">
            <v>1.04E-2</v>
          </cell>
          <cell r="I325">
            <v>59470</v>
          </cell>
          <cell r="J325">
            <v>-88</v>
          </cell>
        </row>
        <row r="326">
          <cell r="A326" t="str">
            <v>6220071040</v>
          </cell>
          <cell r="B326">
            <v>62200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6220072701</v>
          </cell>
          <cell r="B327">
            <v>62200</v>
          </cell>
          <cell r="C327">
            <v>72701</v>
          </cell>
          <cell r="D327" t="str">
            <v>Utilities</v>
          </cell>
          <cell r="E327">
            <v>66.09</v>
          </cell>
          <cell r="F327">
            <v>87.5</v>
          </cell>
          <cell r="G327">
            <v>-21.41</v>
          </cell>
          <cell r="H327">
            <v>-0.2447</v>
          </cell>
          <cell r="I327">
            <v>51.99</v>
          </cell>
          <cell r="J327">
            <v>14.1</v>
          </cell>
        </row>
        <row r="328">
          <cell r="A328" t="str">
            <v>6220072855</v>
          </cell>
          <cell r="B328">
            <v>62200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6220072870</v>
          </cell>
          <cell r="B329">
            <v>62200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6220076010</v>
          </cell>
          <cell r="B330">
            <v>62200</v>
          </cell>
          <cell r="C330">
            <v>76010</v>
          </cell>
          <cell r="D330" t="str">
            <v>Tenant Alterations</v>
          </cell>
          <cell r="E330">
            <v>439</v>
          </cell>
          <cell r="F330">
            <v>500</v>
          </cell>
          <cell r="G330">
            <v>-61</v>
          </cell>
          <cell r="H330">
            <v>-0.122</v>
          </cell>
          <cell r="I330">
            <v>439</v>
          </cell>
          <cell r="J330">
            <v>0</v>
          </cell>
        </row>
        <row r="331">
          <cell r="A331" t="str">
            <v>6220076040</v>
          </cell>
          <cell r="B331">
            <v>62200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6220076051</v>
          </cell>
          <cell r="B332">
            <v>62200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6220076054</v>
          </cell>
          <cell r="B333">
            <v>62200</v>
          </cell>
          <cell r="C333">
            <v>76054</v>
          </cell>
          <cell r="D333" t="str">
            <v>Bldg Maintenance &amp; Repair</v>
          </cell>
          <cell r="E333">
            <v>3853.92</v>
          </cell>
          <cell r="F333">
            <v>7750</v>
          </cell>
          <cell r="G333">
            <v>-3896.08</v>
          </cell>
          <cell r="H333">
            <v>-0.50270000000000004</v>
          </cell>
          <cell r="I333">
            <v>8506.92</v>
          </cell>
          <cell r="J333">
            <v>-4653</v>
          </cell>
        </row>
        <row r="334">
          <cell r="A334" t="str">
            <v>6220076060</v>
          </cell>
          <cell r="B334">
            <v>62200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6220076071</v>
          </cell>
          <cell r="B335">
            <v>62200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6220076090</v>
          </cell>
          <cell r="B336">
            <v>62200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6220077001</v>
          </cell>
          <cell r="B337">
            <v>62200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6220077022</v>
          </cell>
          <cell r="B338">
            <v>62200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6220084200</v>
          </cell>
          <cell r="B339">
            <v>62200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6220084240</v>
          </cell>
          <cell r="B340">
            <v>62200</v>
          </cell>
          <cell r="C340">
            <v>84240</v>
          </cell>
          <cell r="D340" t="str">
            <v>Marketing Leasing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</row>
        <row r="341">
          <cell r="A341" t="str">
            <v>6220084242</v>
          </cell>
          <cell r="B341">
            <v>62200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6220084243</v>
          </cell>
          <cell r="B342">
            <v>62200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6220084244</v>
          </cell>
          <cell r="B343">
            <v>62200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6220084265</v>
          </cell>
          <cell r="B344">
            <v>62200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6220088037</v>
          </cell>
          <cell r="B345">
            <v>62200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6220085016</v>
          </cell>
          <cell r="B346">
            <v>62200</v>
          </cell>
          <cell r="C346">
            <v>85016</v>
          </cell>
          <cell r="D346" t="str">
            <v>Prof Svc-Attorney Outside</v>
          </cell>
          <cell r="E346">
            <v>645.23</v>
          </cell>
          <cell r="F346">
            <v>5000</v>
          </cell>
          <cell r="G346">
            <v>-4354.7700000000004</v>
          </cell>
          <cell r="H346">
            <v>-0.871</v>
          </cell>
          <cell r="I346">
            <v>520.23</v>
          </cell>
          <cell r="J346">
            <v>125</v>
          </cell>
        </row>
        <row r="347">
          <cell r="A347" t="str">
            <v>6220085022</v>
          </cell>
          <cell r="B347">
            <v>62200</v>
          </cell>
          <cell r="C347">
            <v>85022</v>
          </cell>
          <cell r="D347" t="str">
            <v>Prof Svc-Audit/Acctng</v>
          </cell>
          <cell r="E347">
            <v>-2025</v>
          </cell>
          <cell r="F347">
            <v>0</v>
          </cell>
          <cell r="G347">
            <v>-2025</v>
          </cell>
          <cell r="H347">
            <v>0</v>
          </cell>
          <cell r="I347">
            <v>-2025</v>
          </cell>
          <cell r="J347">
            <v>0</v>
          </cell>
        </row>
        <row r="348">
          <cell r="A348" t="str">
            <v>6220085065</v>
          </cell>
          <cell r="B348">
            <v>62200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6220085500</v>
          </cell>
          <cell r="B349">
            <v>62200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500</v>
          </cell>
          <cell r="G349">
            <v>-500</v>
          </cell>
          <cell r="H349">
            <v>0</v>
          </cell>
          <cell r="I349">
            <v>500</v>
          </cell>
          <cell r="J349">
            <v>-500</v>
          </cell>
        </row>
        <row r="350">
          <cell r="A350" t="str">
            <v>6220085566</v>
          </cell>
          <cell r="B350">
            <v>62200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6220085581</v>
          </cell>
          <cell r="B351">
            <v>62200</v>
          </cell>
          <cell r="C351">
            <v>85581</v>
          </cell>
          <cell r="D351" t="str">
            <v>Bldg Admin- Salaries</v>
          </cell>
          <cell r="E351">
            <v>19012.189999999999</v>
          </cell>
          <cell r="F351">
            <v>20482</v>
          </cell>
          <cell r="G351">
            <v>-1469.81</v>
          </cell>
          <cell r="H351">
            <v>-7.1800000000000003E-2</v>
          </cell>
          <cell r="I351">
            <v>19520.21</v>
          </cell>
          <cell r="J351">
            <v>-508.02</v>
          </cell>
        </row>
        <row r="352">
          <cell r="A352" t="str">
            <v>6220085583</v>
          </cell>
          <cell r="B352">
            <v>62200</v>
          </cell>
          <cell r="C352">
            <v>85583</v>
          </cell>
          <cell r="D352" t="str">
            <v>Bldg Admin-Office Exp.</v>
          </cell>
          <cell r="E352">
            <v>3193.25</v>
          </cell>
          <cell r="F352">
            <v>2970.94</v>
          </cell>
          <cell r="G352">
            <v>222.31</v>
          </cell>
          <cell r="H352">
            <v>7.4800000000000005E-2</v>
          </cell>
          <cell r="I352">
            <v>3319.07</v>
          </cell>
          <cell r="J352">
            <v>-125.82</v>
          </cell>
        </row>
        <row r="353">
          <cell r="A353" t="str">
            <v>6220085530</v>
          </cell>
          <cell r="B353">
            <v>62200</v>
          </cell>
          <cell r="C353">
            <v>85530</v>
          </cell>
          <cell r="D353" t="str">
            <v>Bldg Admin - Office Exp</v>
          </cell>
          <cell r="E353">
            <v>3193.25</v>
          </cell>
          <cell r="F353">
            <v>2970.94</v>
          </cell>
          <cell r="G353">
            <v>222.31</v>
          </cell>
          <cell r="H353">
            <v>7.4800000000000005E-2</v>
          </cell>
          <cell r="I353">
            <v>3319.07</v>
          </cell>
          <cell r="J353">
            <v>-125.82</v>
          </cell>
        </row>
        <row r="354">
          <cell r="A354" t="str">
            <v>6220086012</v>
          </cell>
          <cell r="B354">
            <v>62200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6220086037</v>
          </cell>
          <cell r="B355">
            <v>62200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6220083050</v>
          </cell>
          <cell r="B356">
            <v>62200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6220086510</v>
          </cell>
          <cell r="B357">
            <v>62200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6220086537</v>
          </cell>
          <cell r="B358">
            <v>62200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6220086566</v>
          </cell>
          <cell r="B359">
            <v>62200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6220086955</v>
          </cell>
          <cell r="B360">
            <v>62200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6220086985</v>
          </cell>
          <cell r="B361">
            <v>62200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6220086880</v>
          </cell>
          <cell r="B362">
            <v>62200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6220088710</v>
          </cell>
          <cell r="B363">
            <v>62200</v>
          </cell>
          <cell r="C363">
            <v>88710</v>
          </cell>
          <cell r="D363" t="str">
            <v>Losses-Bad Debts</v>
          </cell>
          <cell r="E363">
            <v>10089.42</v>
          </cell>
          <cell r="F363">
            <v>20880</v>
          </cell>
          <cell r="G363">
            <v>-10790.58</v>
          </cell>
          <cell r="H363">
            <v>-0.51680000000000004</v>
          </cell>
          <cell r="I363">
            <v>10397.23</v>
          </cell>
          <cell r="J363">
            <v>-307.80999999999898</v>
          </cell>
        </row>
        <row r="364">
          <cell r="A364" t="str">
            <v>6220088711</v>
          </cell>
          <cell r="B364">
            <v>62200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6220088785</v>
          </cell>
          <cell r="B365">
            <v>62200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6220088847</v>
          </cell>
          <cell r="B366">
            <v>62200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6220088866</v>
          </cell>
          <cell r="B367">
            <v>62200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6220088870</v>
          </cell>
          <cell r="B368">
            <v>62200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6220088889</v>
          </cell>
          <cell r="B369">
            <v>62200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6220089776</v>
          </cell>
          <cell r="B370">
            <v>62200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6220089787</v>
          </cell>
          <cell r="B371">
            <v>62200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6220089510</v>
          </cell>
          <cell r="B372">
            <v>62200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6220089511</v>
          </cell>
          <cell r="B373">
            <v>62200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6220089512</v>
          </cell>
          <cell r="B374">
            <v>62200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6220089528</v>
          </cell>
          <cell r="B375">
            <v>62200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6220089529</v>
          </cell>
          <cell r="B376">
            <v>62200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6220089567</v>
          </cell>
          <cell r="B377">
            <v>62200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6220085058</v>
          </cell>
          <cell r="B378">
            <v>62200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6220086513</v>
          </cell>
          <cell r="B379">
            <v>62200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1516.05</v>
          </cell>
          <cell r="G379">
            <v>-1516.05</v>
          </cell>
          <cell r="H379">
            <v>0</v>
          </cell>
          <cell r="I379">
            <v>98.09</v>
          </cell>
          <cell r="J379">
            <v>-98.09</v>
          </cell>
        </row>
        <row r="380">
          <cell r="A380" t="str">
            <v>6220086519</v>
          </cell>
          <cell r="B380">
            <v>62200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6220088770</v>
          </cell>
          <cell r="B381">
            <v>62200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6220088862</v>
          </cell>
          <cell r="B382">
            <v>62200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6220088874</v>
          </cell>
          <cell r="B383">
            <v>62200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6220089910</v>
          </cell>
          <cell r="B384">
            <v>62200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205159.02</v>
          </cell>
          <cell r="G384">
            <v>-205159.02</v>
          </cell>
          <cell r="H384">
            <v>0</v>
          </cell>
          <cell r="I384">
            <v>199751.62</v>
          </cell>
          <cell r="J384">
            <v>-199751.62</v>
          </cell>
        </row>
        <row r="385">
          <cell r="A385" t="str">
            <v>6220089548</v>
          </cell>
          <cell r="B385">
            <v>62200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6225541010</v>
          </cell>
          <cell r="B386">
            <v>62255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6225541040</v>
          </cell>
          <cell r="B387">
            <v>62255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6225541050</v>
          </cell>
          <cell r="B388">
            <v>62255</v>
          </cell>
          <cell r="C388">
            <v>41050</v>
          </cell>
          <cell r="D388" t="str">
            <v>Rental Income - Fixed</v>
          </cell>
          <cell r="E388">
            <v>-2244851.39</v>
          </cell>
          <cell r="F388">
            <v>-2242730.9500000002</v>
          </cell>
          <cell r="G388">
            <v>-2120.43999999994</v>
          </cell>
          <cell r="H388">
            <v>8.9999999999999998E-4</v>
          </cell>
          <cell r="I388">
            <v>-2234742.5699999998</v>
          </cell>
          <cell r="J388">
            <v>-10108.8200000003</v>
          </cell>
        </row>
        <row r="389">
          <cell r="A389" t="str">
            <v>6225541074</v>
          </cell>
          <cell r="B389">
            <v>62255</v>
          </cell>
          <cell r="C389">
            <v>41074</v>
          </cell>
          <cell r="D389" t="str">
            <v>Rental Income - Percentage</v>
          </cell>
          <cell r="E389">
            <v>-869335.53</v>
          </cell>
          <cell r="F389">
            <v>-859471</v>
          </cell>
          <cell r="G389">
            <v>-9864.5300000000298</v>
          </cell>
          <cell r="H389">
            <v>1.15E-2</v>
          </cell>
          <cell r="I389">
            <v>-823029.78</v>
          </cell>
          <cell r="J389">
            <v>-46305.75</v>
          </cell>
        </row>
        <row r="390">
          <cell r="A390" t="str">
            <v>6225541082</v>
          </cell>
          <cell r="B390">
            <v>62255</v>
          </cell>
          <cell r="C390">
            <v>41082</v>
          </cell>
          <cell r="D390" t="str">
            <v>Rental Income - Operating Exp</v>
          </cell>
          <cell r="E390">
            <v>-327962.62</v>
          </cell>
          <cell r="F390">
            <v>-757129.03</v>
          </cell>
          <cell r="G390">
            <v>429166.41</v>
          </cell>
          <cell r="H390">
            <v>-0.56679999999999997</v>
          </cell>
          <cell r="I390">
            <v>-345553.41</v>
          </cell>
          <cell r="J390">
            <v>17590.79</v>
          </cell>
        </row>
        <row r="391">
          <cell r="A391" t="str">
            <v>6225544610</v>
          </cell>
          <cell r="B391">
            <v>62255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6225545071</v>
          </cell>
          <cell r="B392">
            <v>62255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6225545010</v>
          </cell>
          <cell r="B393">
            <v>62255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6225545046</v>
          </cell>
          <cell r="B394">
            <v>62255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6225545070</v>
          </cell>
          <cell r="B395">
            <v>62255</v>
          </cell>
          <cell r="C395">
            <v>45070</v>
          </cell>
          <cell r="D395" t="str">
            <v>Other Income</v>
          </cell>
          <cell r="E395">
            <v>-27500.06</v>
          </cell>
          <cell r="F395">
            <v>-28343</v>
          </cell>
          <cell r="G395">
            <v>842.93999999999903</v>
          </cell>
          <cell r="H395">
            <v>-2.9700000000000001E-2</v>
          </cell>
          <cell r="I395">
            <v>-36795.06</v>
          </cell>
          <cell r="J395">
            <v>9295</v>
          </cell>
        </row>
        <row r="396">
          <cell r="A396" t="str">
            <v>6225541060</v>
          </cell>
          <cell r="B396">
            <v>62255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12880</v>
          </cell>
          <cell r="G396">
            <v>-12880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6225544870</v>
          </cell>
          <cell r="B397">
            <v>62255</v>
          </cell>
          <cell r="C397">
            <v>44870</v>
          </cell>
          <cell r="D397" t="str">
            <v>Late Fees</v>
          </cell>
          <cell r="E397">
            <v>-17453.580000000002</v>
          </cell>
          <cell r="F397">
            <v>-583.30999999999995</v>
          </cell>
          <cell r="G397">
            <v>-16870.27</v>
          </cell>
          <cell r="H397">
            <v>28.921600000000002</v>
          </cell>
          <cell r="I397">
            <v>-16070.1</v>
          </cell>
          <cell r="J397">
            <v>-1383.48</v>
          </cell>
        </row>
        <row r="398">
          <cell r="A398" t="str">
            <v>6225552542</v>
          </cell>
          <cell r="B398">
            <v>62255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6225572710</v>
          </cell>
          <cell r="B399">
            <v>62255</v>
          </cell>
          <cell r="C399">
            <v>72710</v>
          </cell>
          <cell r="D399" t="str">
            <v>Utilities - Electricity</v>
          </cell>
          <cell r="E399">
            <v>19256.97</v>
          </cell>
          <cell r="F399">
            <v>17409</v>
          </cell>
          <cell r="G399">
            <v>1847.97</v>
          </cell>
          <cell r="H399">
            <v>0.1062</v>
          </cell>
          <cell r="I399">
            <v>17761.990000000002</v>
          </cell>
          <cell r="J399">
            <v>1494.98</v>
          </cell>
        </row>
        <row r="400">
          <cell r="A400" t="str">
            <v>6225572740</v>
          </cell>
          <cell r="B400">
            <v>62255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6225572770</v>
          </cell>
          <cell r="B401">
            <v>62255</v>
          </cell>
          <cell r="C401">
            <v>72770</v>
          </cell>
          <cell r="D401" t="str">
            <v>Utilities - Water</v>
          </cell>
          <cell r="E401">
            <v>23384.98</v>
          </cell>
          <cell r="F401">
            <v>23254</v>
          </cell>
          <cell r="G401">
            <v>130.97999999999999</v>
          </cell>
          <cell r="H401">
            <v>5.5999999999999999E-3</v>
          </cell>
          <cell r="I401">
            <v>22737.55</v>
          </cell>
          <cell r="J401">
            <v>647.42999999999995</v>
          </cell>
        </row>
        <row r="402">
          <cell r="A402" t="str">
            <v>6225576000</v>
          </cell>
          <cell r="B402">
            <v>62255</v>
          </cell>
          <cell r="C402">
            <v>76000</v>
          </cell>
          <cell r="D402" t="str">
            <v>Bldg Maintenance &amp; Repair</v>
          </cell>
          <cell r="E402">
            <v>20439.43</v>
          </cell>
          <cell r="F402">
            <v>24886.959999999999</v>
          </cell>
          <cell r="G402">
            <v>-4447.53</v>
          </cell>
          <cell r="H402">
            <v>-0.1787</v>
          </cell>
          <cell r="I402">
            <v>22107.03</v>
          </cell>
          <cell r="J402">
            <v>-1667.6</v>
          </cell>
        </row>
        <row r="403">
          <cell r="A403" t="str">
            <v>6225576020</v>
          </cell>
          <cell r="B403">
            <v>62255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6225576034</v>
          </cell>
          <cell r="B404">
            <v>62255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6225576050</v>
          </cell>
          <cell r="B405">
            <v>62255</v>
          </cell>
          <cell r="C405">
            <v>76050</v>
          </cell>
          <cell r="D405" t="str">
            <v>Cleaning Expense</v>
          </cell>
          <cell r="E405">
            <v>42940.72</v>
          </cell>
          <cell r="F405">
            <v>40810</v>
          </cell>
          <cell r="G405">
            <v>2130.7199999999998</v>
          </cell>
          <cell r="H405">
            <v>5.2200000000000003E-2</v>
          </cell>
          <cell r="I405">
            <v>41739.68</v>
          </cell>
          <cell r="J405">
            <v>1201.04</v>
          </cell>
        </row>
        <row r="406">
          <cell r="A406" t="str">
            <v>6225576056</v>
          </cell>
          <cell r="B406">
            <v>62255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6225576070</v>
          </cell>
          <cell r="B407">
            <v>62255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6225576091</v>
          </cell>
          <cell r="B408">
            <v>62255</v>
          </cell>
          <cell r="C408">
            <v>76091</v>
          </cell>
          <cell r="D408" t="str">
            <v>Parking Maintenance</v>
          </cell>
          <cell r="E408">
            <v>30160.6</v>
          </cell>
          <cell r="F408">
            <v>32232.69</v>
          </cell>
          <cell r="G408">
            <v>-2072.09</v>
          </cell>
          <cell r="H408">
            <v>-6.4299999999999996E-2</v>
          </cell>
          <cell r="I408">
            <v>31267.94</v>
          </cell>
          <cell r="J408">
            <v>-1107.3399999999999</v>
          </cell>
        </row>
        <row r="409">
          <cell r="A409" t="str">
            <v>6225577000</v>
          </cell>
          <cell r="B409">
            <v>62255</v>
          </cell>
          <cell r="C409">
            <v>77000</v>
          </cell>
          <cell r="D409" t="str">
            <v>Grounds Maintenance</v>
          </cell>
          <cell r="E409">
            <v>28930.57</v>
          </cell>
          <cell r="F409">
            <v>120355.56</v>
          </cell>
          <cell r="G409">
            <v>-91424.99</v>
          </cell>
          <cell r="H409">
            <v>-0.75960000000000005</v>
          </cell>
          <cell r="I409">
            <v>37056.639999999999</v>
          </cell>
          <cell r="J409">
            <v>-8126.07</v>
          </cell>
        </row>
        <row r="410">
          <cell r="A410" t="str">
            <v>6225577053</v>
          </cell>
          <cell r="B410">
            <v>62255</v>
          </cell>
          <cell r="C410">
            <v>77053</v>
          </cell>
          <cell r="D410" t="str">
            <v>Landscaping</v>
          </cell>
          <cell r="E410">
            <v>31503</v>
          </cell>
          <cell r="F410">
            <v>44436</v>
          </cell>
          <cell r="G410">
            <v>-12933</v>
          </cell>
          <cell r="H410">
            <v>-0.29099999999999998</v>
          </cell>
          <cell r="I410">
            <v>28771</v>
          </cell>
          <cell r="J410">
            <v>2732</v>
          </cell>
        </row>
        <row r="411">
          <cell r="A411" t="str">
            <v>6225578020</v>
          </cell>
          <cell r="B411">
            <v>62255</v>
          </cell>
          <cell r="C411">
            <v>78020</v>
          </cell>
          <cell r="D411" t="str">
            <v>Amortized CAM Exp</v>
          </cell>
          <cell r="E411">
            <v>59603.92</v>
          </cell>
          <cell r="F411">
            <v>49097.440000000002</v>
          </cell>
          <cell r="G411">
            <v>10506.48</v>
          </cell>
          <cell r="H411">
            <v>0.214</v>
          </cell>
          <cell r="I411">
            <v>56869.03</v>
          </cell>
          <cell r="J411">
            <v>2734.89</v>
          </cell>
        </row>
        <row r="412">
          <cell r="A412" t="str">
            <v>6225584264</v>
          </cell>
          <cell r="B412">
            <v>62255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6225585555</v>
          </cell>
          <cell r="B413">
            <v>62255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6225585584</v>
          </cell>
          <cell r="B414">
            <v>62255</v>
          </cell>
          <cell r="C414">
            <v>85584</v>
          </cell>
          <cell r="D414" t="str">
            <v>Bldg Admin-Office Costs</v>
          </cell>
          <cell r="E414">
            <v>4589.72</v>
          </cell>
          <cell r="F414">
            <v>4585</v>
          </cell>
          <cell r="G414">
            <v>4.7200000000002502</v>
          </cell>
          <cell r="H414">
            <v>1E-3</v>
          </cell>
          <cell r="I414">
            <v>4751.21</v>
          </cell>
          <cell r="J414">
            <v>-161.49</v>
          </cell>
        </row>
        <row r="415">
          <cell r="A415" t="str">
            <v>6225585582</v>
          </cell>
          <cell r="B415">
            <v>62255</v>
          </cell>
          <cell r="C415">
            <v>85582</v>
          </cell>
          <cell r="D415" t="str">
            <v>Bldg Admin-Salaries</v>
          </cell>
          <cell r="E415">
            <v>30668.21</v>
          </cell>
          <cell r="F415">
            <v>30893.31</v>
          </cell>
          <cell r="G415">
            <v>-225.10000000000201</v>
          </cell>
          <cell r="H415">
            <v>-7.3000000000000001E-3</v>
          </cell>
          <cell r="I415">
            <v>31187.62</v>
          </cell>
          <cell r="J415">
            <v>-519.41</v>
          </cell>
        </row>
        <row r="416">
          <cell r="A416" t="str">
            <v>6225586564</v>
          </cell>
          <cell r="B416">
            <v>62255</v>
          </cell>
          <cell r="C416">
            <v>86564</v>
          </cell>
          <cell r="D416" t="str">
            <v>Insurance</v>
          </cell>
          <cell r="E416">
            <v>29748</v>
          </cell>
          <cell r="F416">
            <v>33883.5</v>
          </cell>
          <cell r="G416">
            <v>-4135.5</v>
          </cell>
          <cell r="H416">
            <v>-0.1221</v>
          </cell>
          <cell r="I416">
            <v>29123.52</v>
          </cell>
          <cell r="J416">
            <v>624.48</v>
          </cell>
        </row>
        <row r="417">
          <cell r="A417" t="str">
            <v>6225588846</v>
          </cell>
          <cell r="B417">
            <v>62255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6225588890</v>
          </cell>
          <cell r="B418">
            <v>62255</v>
          </cell>
          <cell r="C418">
            <v>88890</v>
          </cell>
          <cell r="D418" t="str">
            <v>Security/Safety</v>
          </cell>
          <cell r="E418">
            <v>31623.35</v>
          </cell>
          <cell r="F418">
            <v>53500</v>
          </cell>
          <cell r="G418">
            <v>-21876.65</v>
          </cell>
          <cell r="H418">
            <v>-0.40889999999999999</v>
          </cell>
          <cell r="I418">
            <v>43491.75</v>
          </cell>
          <cell r="J418">
            <v>-11868.4</v>
          </cell>
        </row>
        <row r="419">
          <cell r="A419" t="str">
            <v>6225589775</v>
          </cell>
          <cell r="B419">
            <v>62255</v>
          </cell>
          <cell r="C419">
            <v>89775</v>
          </cell>
          <cell r="D419" t="str">
            <v>Assmt Dist Taxes- Reimb</v>
          </cell>
          <cell r="E419">
            <v>98130</v>
          </cell>
          <cell r="F419">
            <v>86094.75</v>
          </cell>
          <cell r="G419">
            <v>12035.25</v>
          </cell>
          <cell r="H419">
            <v>0.13980000000000001</v>
          </cell>
          <cell r="I419">
            <v>99850</v>
          </cell>
          <cell r="J419">
            <v>-1720</v>
          </cell>
        </row>
        <row r="420">
          <cell r="A420" t="str">
            <v>6225589729</v>
          </cell>
          <cell r="B420">
            <v>62255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6225589786</v>
          </cell>
          <cell r="B421">
            <v>62255</v>
          </cell>
          <cell r="C421">
            <v>89786</v>
          </cell>
          <cell r="D421" t="str">
            <v>Property Tax Exp</v>
          </cell>
          <cell r="E421">
            <v>-147733.24</v>
          </cell>
          <cell r="F421">
            <v>176196.44</v>
          </cell>
          <cell r="G421">
            <v>-323929.68</v>
          </cell>
          <cell r="H421">
            <v>-1.8385</v>
          </cell>
          <cell r="I421">
            <v>-147371.24</v>
          </cell>
          <cell r="J421">
            <v>-362</v>
          </cell>
        </row>
        <row r="422">
          <cell r="A422" t="str">
            <v>6225571040</v>
          </cell>
          <cell r="B422">
            <v>62255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6225572701</v>
          </cell>
          <cell r="B423">
            <v>62255</v>
          </cell>
          <cell r="C423">
            <v>72701</v>
          </cell>
          <cell r="D423" t="str">
            <v>Utilities</v>
          </cell>
          <cell r="E423">
            <v>0</v>
          </cell>
          <cell r="F423">
            <v>140</v>
          </cell>
          <cell r="G423">
            <v>-140</v>
          </cell>
          <cell r="H423">
            <v>0</v>
          </cell>
          <cell r="I423">
            <v>40</v>
          </cell>
          <cell r="J423">
            <v>-40</v>
          </cell>
        </row>
        <row r="424">
          <cell r="A424" t="str">
            <v>6225572855</v>
          </cell>
          <cell r="B424">
            <v>62255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6225572870</v>
          </cell>
          <cell r="B425">
            <v>62255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6225576010</v>
          </cell>
          <cell r="B426">
            <v>62255</v>
          </cell>
          <cell r="C426">
            <v>76010</v>
          </cell>
          <cell r="D426" t="str">
            <v>Tenant Alterations</v>
          </cell>
          <cell r="E426">
            <v>213.1</v>
          </cell>
          <cell r="F426">
            <v>500</v>
          </cell>
          <cell r="G426">
            <v>-286.89999999999998</v>
          </cell>
          <cell r="H426">
            <v>-0.57379999999999998</v>
          </cell>
          <cell r="I426">
            <v>213.1</v>
          </cell>
          <cell r="J426">
            <v>0</v>
          </cell>
        </row>
        <row r="427">
          <cell r="A427" t="str">
            <v>6225576040</v>
          </cell>
          <cell r="B427">
            <v>62255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6225576051</v>
          </cell>
          <cell r="B428">
            <v>62255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6225576054</v>
          </cell>
          <cell r="B429">
            <v>62255</v>
          </cell>
          <cell r="C429">
            <v>76054</v>
          </cell>
          <cell r="D429" t="str">
            <v>Bldg Maintenance &amp; Repair</v>
          </cell>
          <cell r="E429">
            <v>2252.56</v>
          </cell>
          <cell r="F429">
            <v>0</v>
          </cell>
          <cell r="G429">
            <v>2252.56</v>
          </cell>
          <cell r="H429">
            <v>0</v>
          </cell>
          <cell r="I429">
            <v>6357.56</v>
          </cell>
          <cell r="J429">
            <v>-4105</v>
          </cell>
        </row>
        <row r="430">
          <cell r="A430" t="str">
            <v>6225576060</v>
          </cell>
          <cell r="B430">
            <v>62255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6225576071</v>
          </cell>
          <cell r="B431">
            <v>62255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6225576090</v>
          </cell>
          <cell r="B432">
            <v>62255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6225577001</v>
          </cell>
          <cell r="B433">
            <v>62255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6225577022</v>
          </cell>
          <cell r="B434">
            <v>62255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6225584200</v>
          </cell>
          <cell r="B435">
            <v>62255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6225584240</v>
          </cell>
          <cell r="B436">
            <v>62255</v>
          </cell>
          <cell r="C436">
            <v>84240</v>
          </cell>
          <cell r="D436" t="str">
            <v>Marketing Leasing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</row>
        <row r="437">
          <cell r="A437" t="str">
            <v>6225584242</v>
          </cell>
          <cell r="B437">
            <v>62255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6225584243</v>
          </cell>
          <cell r="B438">
            <v>62255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6225584244</v>
          </cell>
          <cell r="B439">
            <v>62255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6225584265</v>
          </cell>
          <cell r="B440">
            <v>62255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6225588037</v>
          </cell>
          <cell r="B441">
            <v>62255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6225585016</v>
          </cell>
          <cell r="B442">
            <v>62255</v>
          </cell>
          <cell r="C442">
            <v>85016</v>
          </cell>
          <cell r="D442" t="str">
            <v>Prof Svc-Attorney Outside</v>
          </cell>
          <cell r="E442">
            <v>2521.9499999999998</v>
          </cell>
          <cell r="F442">
            <v>8750</v>
          </cell>
          <cell r="G442">
            <v>-6228.05</v>
          </cell>
          <cell r="H442">
            <v>-0.71179999999999999</v>
          </cell>
          <cell r="I442">
            <v>4252.95</v>
          </cell>
          <cell r="J442">
            <v>-1731</v>
          </cell>
        </row>
        <row r="443">
          <cell r="A443" t="str">
            <v>6225585022</v>
          </cell>
          <cell r="B443">
            <v>62255</v>
          </cell>
          <cell r="C443">
            <v>85022</v>
          </cell>
          <cell r="D443" t="str">
            <v>Prof Svc-Audit/Acctng</v>
          </cell>
          <cell r="E443">
            <v>-1225</v>
          </cell>
          <cell r="F443">
            <v>1350</v>
          </cell>
          <cell r="G443">
            <v>-2575</v>
          </cell>
          <cell r="H443">
            <v>-1.9074</v>
          </cell>
          <cell r="I443">
            <v>725</v>
          </cell>
          <cell r="J443">
            <v>-1950</v>
          </cell>
        </row>
        <row r="444">
          <cell r="A444" t="str">
            <v>6225585065</v>
          </cell>
          <cell r="B444">
            <v>62255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6225585500</v>
          </cell>
          <cell r="B445">
            <v>62255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6225585566</v>
          </cell>
          <cell r="B446">
            <v>62255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6225585581</v>
          </cell>
          <cell r="B447">
            <v>62255</v>
          </cell>
          <cell r="C447">
            <v>85581</v>
          </cell>
          <cell r="D447" t="str">
            <v>Bldg Admin- Salaries</v>
          </cell>
          <cell r="E447">
            <v>17137.599999999999</v>
          </cell>
          <cell r="F447">
            <v>18463</v>
          </cell>
          <cell r="G447">
            <v>-1325.4</v>
          </cell>
          <cell r="H447">
            <v>-7.1800000000000003E-2</v>
          </cell>
          <cell r="I447">
            <v>17595.43</v>
          </cell>
          <cell r="J447">
            <v>-457.83000000000197</v>
          </cell>
        </row>
        <row r="448">
          <cell r="A448" t="str">
            <v>6225585583</v>
          </cell>
          <cell r="B448">
            <v>62255</v>
          </cell>
          <cell r="C448">
            <v>85583</v>
          </cell>
          <cell r="D448" t="str">
            <v>Bldg Admin-Office Exp.</v>
          </cell>
          <cell r="E448">
            <v>2489.87</v>
          </cell>
          <cell r="F448">
            <v>2677.5</v>
          </cell>
          <cell r="G448">
            <v>-187.63</v>
          </cell>
          <cell r="H448">
            <v>-7.0099999999999996E-2</v>
          </cell>
          <cell r="I448">
            <v>2678.71</v>
          </cell>
          <cell r="J448">
            <v>-188.84</v>
          </cell>
        </row>
        <row r="449">
          <cell r="A449" t="str">
            <v>6225585530</v>
          </cell>
          <cell r="B449">
            <v>62255</v>
          </cell>
          <cell r="C449">
            <v>85530</v>
          </cell>
          <cell r="D449" t="str">
            <v>Bldg Admin - Office Exp</v>
          </cell>
          <cell r="E449">
            <v>2489.87</v>
          </cell>
          <cell r="F449">
            <v>2677.5</v>
          </cell>
          <cell r="G449">
            <v>-187.63</v>
          </cell>
          <cell r="H449">
            <v>-7.0099999999999996E-2</v>
          </cell>
          <cell r="I449">
            <v>2678.71</v>
          </cell>
          <cell r="J449">
            <v>-188.84</v>
          </cell>
        </row>
        <row r="450">
          <cell r="A450" t="str">
            <v>6225586012</v>
          </cell>
          <cell r="B450">
            <v>62255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6225586037</v>
          </cell>
          <cell r="B451">
            <v>62255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6225583050</v>
          </cell>
          <cell r="B452">
            <v>62255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6225586510</v>
          </cell>
          <cell r="B453">
            <v>62255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6225586537</v>
          </cell>
          <cell r="B454">
            <v>62255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6225586566</v>
          </cell>
          <cell r="B455">
            <v>62255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6225586955</v>
          </cell>
          <cell r="B456">
            <v>62255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6225586985</v>
          </cell>
          <cell r="B457">
            <v>62255</v>
          </cell>
          <cell r="C457">
            <v>86985</v>
          </cell>
          <cell r="D457" t="str">
            <v>Purchased Svcs _ Other</v>
          </cell>
          <cell r="E457">
            <v>298.77</v>
          </cell>
          <cell r="F457">
            <v>0</v>
          </cell>
          <cell r="G457">
            <v>298.77</v>
          </cell>
          <cell r="H457">
            <v>0</v>
          </cell>
          <cell r="I457">
            <v>0</v>
          </cell>
          <cell r="J457">
            <v>298.77</v>
          </cell>
        </row>
        <row r="458">
          <cell r="A458" t="str">
            <v>6225586880</v>
          </cell>
          <cell r="B458">
            <v>62255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6225588710</v>
          </cell>
          <cell r="B459">
            <v>62255</v>
          </cell>
          <cell r="C459">
            <v>88710</v>
          </cell>
          <cell r="D459" t="str">
            <v>Losses-Bad Debts</v>
          </cell>
          <cell r="E459">
            <v>-3062.26</v>
          </cell>
          <cell r="F459">
            <v>28740</v>
          </cell>
          <cell r="G459">
            <v>-31802.26</v>
          </cell>
          <cell r="H459">
            <v>-1.1066</v>
          </cell>
          <cell r="I459">
            <v>-3062.26</v>
          </cell>
          <cell r="J459">
            <v>0</v>
          </cell>
        </row>
        <row r="460">
          <cell r="A460" t="str">
            <v>6225588711</v>
          </cell>
          <cell r="B460">
            <v>62255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6225588785</v>
          </cell>
          <cell r="B461">
            <v>62255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6225588847</v>
          </cell>
          <cell r="B462">
            <v>62255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6225588866</v>
          </cell>
          <cell r="B463">
            <v>62255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6225588870</v>
          </cell>
          <cell r="B464">
            <v>62255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6225588889</v>
          </cell>
          <cell r="B465">
            <v>62255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6225589776</v>
          </cell>
          <cell r="B466">
            <v>62255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6225589787</v>
          </cell>
          <cell r="B467">
            <v>62255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6225589510</v>
          </cell>
          <cell r="B468">
            <v>62255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5064</v>
          </cell>
          <cell r="J468">
            <v>-5064</v>
          </cell>
        </row>
        <row r="469">
          <cell r="A469" t="str">
            <v>6225589511</v>
          </cell>
          <cell r="B469">
            <v>62255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6225589512</v>
          </cell>
          <cell r="B470">
            <v>62255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6225589528</v>
          </cell>
          <cell r="B471">
            <v>62255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6225589529</v>
          </cell>
          <cell r="B472">
            <v>62255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6225589567</v>
          </cell>
          <cell r="B473">
            <v>62255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6225585058</v>
          </cell>
          <cell r="B474">
            <v>62255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6225586513</v>
          </cell>
          <cell r="B475">
            <v>62255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2220.54</v>
          </cell>
          <cell r="G475">
            <v>-2220.54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6225586519</v>
          </cell>
          <cell r="B476">
            <v>62255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6225588770</v>
          </cell>
          <cell r="B477">
            <v>62255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6225588862</v>
          </cell>
          <cell r="B478">
            <v>62255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6225588874</v>
          </cell>
          <cell r="B479">
            <v>62255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6225589910</v>
          </cell>
          <cell r="B480">
            <v>62255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411263.99</v>
          </cell>
          <cell r="G480">
            <v>-411263.99</v>
          </cell>
          <cell r="H480">
            <v>0</v>
          </cell>
          <cell r="I480">
            <v>361613.62</v>
          </cell>
          <cell r="J480">
            <v>-361613.62</v>
          </cell>
        </row>
        <row r="481">
          <cell r="A481" t="str">
            <v>6225589548</v>
          </cell>
          <cell r="B481">
            <v>62255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6229541010</v>
          </cell>
          <cell r="B482">
            <v>62295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6229541040</v>
          </cell>
          <cell r="B483">
            <v>62295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6229541050</v>
          </cell>
          <cell r="B484">
            <v>62295</v>
          </cell>
          <cell r="C484">
            <v>41050</v>
          </cell>
          <cell r="D484" t="str">
            <v>Rental Income - Fixed</v>
          </cell>
          <cell r="E484">
            <v>-2001462.17</v>
          </cell>
          <cell r="F484">
            <v>-2000490.54</v>
          </cell>
          <cell r="G484">
            <v>-971.62999999988801</v>
          </cell>
          <cell r="H484">
            <v>5.0000000000000001E-4</v>
          </cell>
          <cell r="I484">
            <v>-2001462.17</v>
          </cell>
          <cell r="J484">
            <v>0</v>
          </cell>
        </row>
        <row r="485">
          <cell r="A485" t="str">
            <v>6229541074</v>
          </cell>
          <cell r="B485">
            <v>62295</v>
          </cell>
          <cell r="C485">
            <v>41074</v>
          </cell>
          <cell r="D485" t="str">
            <v>Rental Income - Percentage</v>
          </cell>
          <cell r="E485">
            <v>-2087.61</v>
          </cell>
          <cell r="F485">
            <v>-2450</v>
          </cell>
          <cell r="G485">
            <v>362.39</v>
          </cell>
          <cell r="H485">
            <v>-0.1479</v>
          </cell>
          <cell r="I485">
            <v>600.64</v>
          </cell>
          <cell r="J485">
            <v>-2688.25</v>
          </cell>
        </row>
        <row r="486">
          <cell r="A486" t="str">
            <v>6229541082</v>
          </cell>
          <cell r="B486">
            <v>62295</v>
          </cell>
          <cell r="C486">
            <v>41082</v>
          </cell>
          <cell r="D486" t="str">
            <v>Rental Income - Operating Exp</v>
          </cell>
          <cell r="E486">
            <v>-354760</v>
          </cell>
          <cell r="F486">
            <v>-509421.78</v>
          </cell>
          <cell r="G486">
            <v>154661.78</v>
          </cell>
          <cell r="H486">
            <v>-0.30359999999999998</v>
          </cell>
          <cell r="I486">
            <v>-383257.48</v>
          </cell>
          <cell r="J486">
            <v>28497.48</v>
          </cell>
        </row>
        <row r="487">
          <cell r="A487" t="str">
            <v>6229544610</v>
          </cell>
          <cell r="B487">
            <v>62295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6229545071</v>
          </cell>
          <cell r="B488">
            <v>62295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6229545010</v>
          </cell>
          <cell r="B489">
            <v>62295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6229545046</v>
          </cell>
          <cell r="B490">
            <v>62295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6229545070</v>
          </cell>
          <cell r="B491">
            <v>62295</v>
          </cell>
          <cell r="C491">
            <v>45070</v>
          </cell>
          <cell r="D491" t="str">
            <v>Other Income</v>
          </cell>
          <cell r="E491">
            <v>-0.05</v>
          </cell>
          <cell r="F491">
            <v>0</v>
          </cell>
          <cell r="G491">
            <v>-0.05</v>
          </cell>
          <cell r="H491">
            <v>0</v>
          </cell>
          <cell r="I491">
            <v>-0.04</v>
          </cell>
          <cell r="J491">
            <v>-0.01</v>
          </cell>
        </row>
        <row r="492">
          <cell r="A492" t="str">
            <v>6229541060</v>
          </cell>
          <cell r="B492">
            <v>62295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6229544870</v>
          </cell>
          <cell r="B493">
            <v>62295</v>
          </cell>
          <cell r="C493">
            <v>44870</v>
          </cell>
          <cell r="D493" t="str">
            <v>Late Fees</v>
          </cell>
          <cell r="E493">
            <v>-2428.94</v>
          </cell>
          <cell r="F493">
            <v>0</v>
          </cell>
          <cell r="G493">
            <v>-2428.94</v>
          </cell>
          <cell r="H493">
            <v>0</v>
          </cell>
          <cell r="I493">
            <v>-1500</v>
          </cell>
          <cell r="J493">
            <v>-928.94</v>
          </cell>
        </row>
        <row r="494">
          <cell r="A494" t="str">
            <v>6229552542</v>
          </cell>
          <cell r="B494">
            <v>62295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6229572710</v>
          </cell>
          <cell r="B495">
            <v>62295</v>
          </cell>
          <cell r="C495">
            <v>72710</v>
          </cell>
          <cell r="D495" t="str">
            <v>Utilities - Electricity</v>
          </cell>
          <cell r="E495">
            <v>10854.93</v>
          </cell>
          <cell r="F495">
            <v>18081</v>
          </cell>
          <cell r="G495">
            <v>-7226.07</v>
          </cell>
          <cell r="H495">
            <v>-0.39960000000000001</v>
          </cell>
          <cell r="I495">
            <v>13214.26</v>
          </cell>
          <cell r="J495">
            <v>-2359.33</v>
          </cell>
        </row>
        <row r="496">
          <cell r="A496" t="str">
            <v>6229572740</v>
          </cell>
          <cell r="B496">
            <v>62295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6229572770</v>
          </cell>
          <cell r="B497">
            <v>62295</v>
          </cell>
          <cell r="C497">
            <v>72770</v>
          </cell>
          <cell r="D497" t="str">
            <v>Utilities - Water</v>
          </cell>
          <cell r="E497">
            <v>2952.24</v>
          </cell>
          <cell r="F497">
            <v>2506</v>
          </cell>
          <cell r="G497">
            <v>446.24</v>
          </cell>
          <cell r="H497">
            <v>0.17810000000000001</v>
          </cell>
          <cell r="I497">
            <v>3217.66</v>
          </cell>
          <cell r="J497">
            <v>-265.42</v>
          </cell>
        </row>
        <row r="498">
          <cell r="A498" t="str">
            <v>6229576000</v>
          </cell>
          <cell r="B498">
            <v>62295</v>
          </cell>
          <cell r="C498">
            <v>76000</v>
          </cell>
          <cell r="D498" t="str">
            <v>Bldg Maintenance &amp; Repair</v>
          </cell>
          <cell r="E498">
            <v>33365.07</v>
          </cell>
          <cell r="F498">
            <v>42500.31</v>
          </cell>
          <cell r="G498">
            <v>-9135.24</v>
          </cell>
          <cell r="H498">
            <v>-0.21490000000000001</v>
          </cell>
          <cell r="I498">
            <v>33603.83</v>
          </cell>
          <cell r="J498">
            <v>-238.76000000000201</v>
          </cell>
        </row>
        <row r="499">
          <cell r="A499" t="str">
            <v>6229576020</v>
          </cell>
          <cell r="B499">
            <v>62295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6229576034</v>
          </cell>
          <cell r="B500">
            <v>62295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6229576050</v>
          </cell>
          <cell r="B501">
            <v>62295</v>
          </cell>
          <cell r="C501">
            <v>76050</v>
          </cell>
          <cell r="D501" t="str">
            <v>Cleaning Expense</v>
          </cell>
          <cell r="E501">
            <v>57767.4</v>
          </cell>
          <cell r="F501">
            <v>52500</v>
          </cell>
          <cell r="G501">
            <v>5267.4</v>
          </cell>
          <cell r="H501">
            <v>0.1003</v>
          </cell>
          <cell r="I501">
            <v>56156</v>
          </cell>
          <cell r="J501">
            <v>1611.4</v>
          </cell>
        </row>
        <row r="502">
          <cell r="A502" t="str">
            <v>6229576056</v>
          </cell>
          <cell r="B502">
            <v>62295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6229576070</v>
          </cell>
          <cell r="B503">
            <v>62295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6229576091</v>
          </cell>
          <cell r="B504">
            <v>62295</v>
          </cell>
          <cell r="C504">
            <v>76091</v>
          </cell>
          <cell r="D504" t="str">
            <v>Parking Maintenance</v>
          </cell>
          <cell r="E504">
            <v>34330.480000000003</v>
          </cell>
          <cell r="F504">
            <v>25501</v>
          </cell>
          <cell r="G504">
            <v>8829.48</v>
          </cell>
          <cell r="H504">
            <v>0.34620000000000001</v>
          </cell>
          <cell r="I504">
            <v>32185</v>
          </cell>
          <cell r="J504">
            <v>2145.48</v>
          </cell>
        </row>
        <row r="505">
          <cell r="A505" t="str">
            <v>6229577000</v>
          </cell>
          <cell r="B505">
            <v>62295</v>
          </cell>
          <cell r="C505">
            <v>77000</v>
          </cell>
          <cell r="D505" t="str">
            <v>Grounds Maintenance</v>
          </cell>
          <cell r="E505">
            <v>38422.17</v>
          </cell>
          <cell r="F505">
            <v>60028.56</v>
          </cell>
          <cell r="G505">
            <v>-21606.39</v>
          </cell>
          <cell r="H505">
            <v>-0.3599</v>
          </cell>
          <cell r="I505">
            <v>41960.2</v>
          </cell>
          <cell r="J505">
            <v>-3538.03</v>
          </cell>
        </row>
        <row r="506">
          <cell r="A506" t="str">
            <v>6229577053</v>
          </cell>
          <cell r="B506">
            <v>62295</v>
          </cell>
          <cell r="C506">
            <v>77053</v>
          </cell>
          <cell r="D506" t="str">
            <v>Landscaping</v>
          </cell>
          <cell r="E506">
            <v>28819</v>
          </cell>
          <cell r="F506">
            <v>52905</v>
          </cell>
          <cell r="G506">
            <v>-24086</v>
          </cell>
          <cell r="H506">
            <v>-0.45529999999999998</v>
          </cell>
          <cell r="I506">
            <v>38494</v>
          </cell>
          <cell r="J506">
            <v>-9675</v>
          </cell>
        </row>
        <row r="507">
          <cell r="A507" t="str">
            <v>6229578020</v>
          </cell>
          <cell r="B507">
            <v>62295</v>
          </cell>
          <cell r="C507">
            <v>78020</v>
          </cell>
          <cell r="D507" t="str">
            <v>Amortized CAM Exp</v>
          </cell>
          <cell r="E507">
            <v>0</v>
          </cell>
          <cell r="F507">
            <v>11764.69</v>
          </cell>
          <cell r="G507">
            <v>-11764.69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6229584264</v>
          </cell>
          <cell r="B508">
            <v>62295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6229585555</v>
          </cell>
          <cell r="B509">
            <v>62295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6229585584</v>
          </cell>
          <cell r="B510">
            <v>62295</v>
          </cell>
          <cell r="C510">
            <v>85584</v>
          </cell>
          <cell r="D510" t="str">
            <v>Bldg Admin-Office Costs</v>
          </cell>
          <cell r="E510">
            <v>6112.75</v>
          </cell>
          <cell r="F510">
            <v>6111</v>
          </cell>
          <cell r="G510">
            <v>1.75</v>
          </cell>
          <cell r="H510">
            <v>2.9999999999999997E-4</v>
          </cell>
          <cell r="I510">
            <v>6327.99</v>
          </cell>
          <cell r="J510">
            <v>-215.24</v>
          </cell>
        </row>
        <row r="511">
          <cell r="A511" t="str">
            <v>6229585582</v>
          </cell>
          <cell r="B511">
            <v>62295</v>
          </cell>
          <cell r="C511">
            <v>85582</v>
          </cell>
          <cell r="D511" t="str">
            <v>Bldg Admin-Salaries</v>
          </cell>
          <cell r="E511">
            <v>40845.040000000001</v>
          </cell>
          <cell r="F511">
            <v>41144.25</v>
          </cell>
          <cell r="G511">
            <v>-299.20999999999901</v>
          </cell>
          <cell r="H511">
            <v>-7.3000000000000001E-3</v>
          </cell>
          <cell r="I511">
            <v>41536.82</v>
          </cell>
          <cell r="J511">
            <v>-691.77999999999895</v>
          </cell>
        </row>
        <row r="512">
          <cell r="A512" t="str">
            <v>6229586564</v>
          </cell>
          <cell r="B512">
            <v>62295</v>
          </cell>
          <cell r="C512">
            <v>86564</v>
          </cell>
          <cell r="D512" t="str">
            <v>Insurance</v>
          </cell>
          <cell r="E512">
            <v>31688</v>
          </cell>
          <cell r="F512">
            <v>35760.129999999997</v>
          </cell>
          <cell r="G512">
            <v>-4072.13</v>
          </cell>
          <cell r="H512">
            <v>-0.1139</v>
          </cell>
          <cell r="I512">
            <v>30989.02</v>
          </cell>
          <cell r="J512">
            <v>698.98</v>
          </cell>
        </row>
        <row r="513">
          <cell r="A513" t="str">
            <v>6229588846</v>
          </cell>
          <cell r="B513">
            <v>62295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6229588890</v>
          </cell>
          <cell r="B514">
            <v>62295</v>
          </cell>
          <cell r="C514">
            <v>88890</v>
          </cell>
          <cell r="D514" t="str">
            <v>Security/Safety</v>
          </cell>
          <cell r="E514">
            <v>15843.7</v>
          </cell>
          <cell r="F514">
            <v>18405</v>
          </cell>
          <cell r="G514">
            <v>-2561.3000000000002</v>
          </cell>
          <cell r="H514">
            <v>-0.13919999999999999</v>
          </cell>
          <cell r="I514">
            <v>16164.09</v>
          </cell>
          <cell r="J514">
            <v>-320.38999999999902</v>
          </cell>
        </row>
        <row r="515">
          <cell r="A515" t="str">
            <v>6229589775</v>
          </cell>
          <cell r="B515">
            <v>62295</v>
          </cell>
          <cell r="C515">
            <v>89775</v>
          </cell>
          <cell r="D515" t="str">
            <v>Assmt Dist Taxes- Reimb</v>
          </cell>
          <cell r="E515">
            <v>45214</v>
          </cell>
          <cell r="F515">
            <v>30144.31</v>
          </cell>
          <cell r="G515">
            <v>15069.69</v>
          </cell>
          <cell r="H515">
            <v>0.49990000000000001</v>
          </cell>
          <cell r="I515">
            <v>47366.5</v>
          </cell>
          <cell r="J515">
            <v>-2152.5</v>
          </cell>
        </row>
        <row r="516">
          <cell r="A516" t="str">
            <v>6229589729</v>
          </cell>
          <cell r="B516">
            <v>62295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6229589786</v>
          </cell>
          <cell r="B517">
            <v>62295</v>
          </cell>
          <cell r="C517">
            <v>89786</v>
          </cell>
          <cell r="D517" t="str">
            <v>Property Tax Exp</v>
          </cell>
          <cell r="E517">
            <v>-31755.91</v>
          </cell>
          <cell r="F517">
            <v>91316.75</v>
          </cell>
          <cell r="G517">
            <v>-123072.66</v>
          </cell>
          <cell r="H517">
            <v>-1.3478000000000001</v>
          </cell>
          <cell r="I517">
            <v>-21082.74</v>
          </cell>
          <cell r="J517">
            <v>-10673.17</v>
          </cell>
        </row>
        <row r="518">
          <cell r="A518" t="str">
            <v>6229571040</v>
          </cell>
          <cell r="B518">
            <v>62295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6229572701</v>
          </cell>
          <cell r="B519">
            <v>62295</v>
          </cell>
          <cell r="C519">
            <v>72701</v>
          </cell>
          <cell r="D519" t="str">
            <v>Utilities</v>
          </cell>
          <cell r="E519">
            <v>0</v>
          </cell>
          <cell r="F519">
            <v>87.5</v>
          </cell>
          <cell r="G519">
            <v>-87.5</v>
          </cell>
          <cell r="H519">
            <v>0</v>
          </cell>
          <cell r="I519">
            <v>25</v>
          </cell>
          <cell r="J519">
            <v>-25</v>
          </cell>
        </row>
        <row r="520">
          <cell r="A520" t="str">
            <v>6229572855</v>
          </cell>
          <cell r="B520">
            <v>62295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6229572870</v>
          </cell>
          <cell r="B521">
            <v>62295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6229576010</v>
          </cell>
          <cell r="B522">
            <v>62295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6229576040</v>
          </cell>
          <cell r="B523">
            <v>62295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6229576051</v>
          </cell>
          <cell r="B524">
            <v>62295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6229576054</v>
          </cell>
          <cell r="B525">
            <v>62295</v>
          </cell>
          <cell r="C525">
            <v>76054</v>
          </cell>
          <cell r="D525" t="str">
            <v>Bldg Maintenance &amp; Repair</v>
          </cell>
          <cell r="E525">
            <v>258.18</v>
          </cell>
          <cell r="F525">
            <v>1000</v>
          </cell>
          <cell r="G525">
            <v>-741.82</v>
          </cell>
          <cell r="H525">
            <v>-0.74180000000000001</v>
          </cell>
          <cell r="I525">
            <v>6203.18</v>
          </cell>
          <cell r="J525">
            <v>-5945</v>
          </cell>
        </row>
        <row r="526">
          <cell r="A526" t="str">
            <v>6229576060</v>
          </cell>
          <cell r="B526">
            <v>62295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6229576071</v>
          </cell>
          <cell r="B527">
            <v>62295</v>
          </cell>
          <cell r="C527">
            <v>76071</v>
          </cell>
          <cell r="D527" t="str">
            <v>Reimaging Maintenance</v>
          </cell>
          <cell r="E527">
            <v>17061.79</v>
          </cell>
          <cell r="F527">
            <v>74800</v>
          </cell>
          <cell r="G527">
            <v>-57738.21</v>
          </cell>
          <cell r="H527">
            <v>-0.77190000000000003</v>
          </cell>
          <cell r="I527">
            <v>50000</v>
          </cell>
          <cell r="J527">
            <v>-32938.21</v>
          </cell>
        </row>
        <row r="528">
          <cell r="A528" t="str">
            <v>6229576090</v>
          </cell>
          <cell r="B528">
            <v>62295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6229577001</v>
          </cell>
          <cell r="B529">
            <v>62295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6229577022</v>
          </cell>
          <cell r="B530">
            <v>62295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6229584200</v>
          </cell>
          <cell r="B531">
            <v>62295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6229584240</v>
          </cell>
          <cell r="B532">
            <v>62295</v>
          </cell>
          <cell r="C532">
            <v>84240</v>
          </cell>
          <cell r="D532" t="str">
            <v>Marketing Leasing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</row>
        <row r="533">
          <cell r="A533" t="str">
            <v>6229584242</v>
          </cell>
          <cell r="B533">
            <v>62295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6229584243</v>
          </cell>
          <cell r="B534">
            <v>62295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6229584244</v>
          </cell>
          <cell r="B535">
            <v>62295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6229584265</v>
          </cell>
          <cell r="B536">
            <v>62295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6229588037</v>
          </cell>
          <cell r="B537">
            <v>62295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6229585016</v>
          </cell>
          <cell r="B538">
            <v>62295</v>
          </cell>
          <cell r="C538">
            <v>85016</v>
          </cell>
          <cell r="D538" t="str">
            <v>Prof Svc-Attorney Outside</v>
          </cell>
          <cell r="E538">
            <v>1622.18</v>
          </cell>
          <cell r="F538">
            <v>1500</v>
          </cell>
          <cell r="G538">
            <v>122.18</v>
          </cell>
          <cell r="H538">
            <v>8.1500000000000003E-2</v>
          </cell>
          <cell r="I538">
            <v>2122.1799999999998</v>
          </cell>
          <cell r="J538">
            <v>-500</v>
          </cell>
        </row>
        <row r="539">
          <cell r="A539" t="str">
            <v>6229585022</v>
          </cell>
          <cell r="B539">
            <v>62295</v>
          </cell>
          <cell r="C539">
            <v>85022</v>
          </cell>
          <cell r="D539" t="str">
            <v>Prof Svc-Audit/Acctng</v>
          </cell>
          <cell r="E539">
            <v>-1300</v>
          </cell>
          <cell r="F539">
            <v>1500</v>
          </cell>
          <cell r="G539">
            <v>-2800</v>
          </cell>
          <cell r="H539">
            <v>-1.8667</v>
          </cell>
          <cell r="I539">
            <v>-1225</v>
          </cell>
          <cell r="J539">
            <v>-75</v>
          </cell>
        </row>
        <row r="540">
          <cell r="A540" t="str">
            <v>6229585065</v>
          </cell>
          <cell r="B540">
            <v>62295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6229585500</v>
          </cell>
          <cell r="B541">
            <v>62295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500</v>
          </cell>
          <cell r="G541">
            <v>-500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6229585566</v>
          </cell>
          <cell r="B542">
            <v>62295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6229585581</v>
          </cell>
          <cell r="B543">
            <v>62295</v>
          </cell>
          <cell r="C543">
            <v>85581</v>
          </cell>
          <cell r="D543" t="str">
            <v>Bldg Admin- Salaries</v>
          </cell>
          <cell r="E543">
            <v>22824.45</v>
          </cell>
          <cell r="F543">
            <v>24591</v>
          </cell>
          <cell r="G543">
            <v>-1766.55</v>
          </cell>
          <cell r="H543">
            <v>-7.1800000000000003E-2</v>
          </cell>
          <cell r="I543">
            <v>23434.27</v>
          </cell>
          <cell r="J543">
            <v>-609.82000000000005</v>
          </cell>
        </row>
        <row r="544">
          <cell r="A544" t="str">
            <v>6229585583</v>
          </cell>
          <cell r="B544">
            <v>62295</v>
          </cell>
          <cell r="C544">
            <v>85583</v>
          </cell>
          <cell r="D544" t="str">
            <v>Bldg Admin-Office Exp.</v>
          </cell>
          <cell r="E544">
            <v>3316.1</v>
          </cell>
          <cell r="F544">
            <v>3566.5</v>
          </cell>
          <cell r="G544">
            <v>-250.4</v>
          </cell>
          <cell r="H544">
            <v>-7.0199999999999999E-2</v>
          </cell>
          <cell r="I544">
            <v>3612.03</v>
          </cell>
          <cell r="J544">
            <v>-295.93</v>
          </cell>
        </row>
        <row r="545">
          <cell r="A545" t="str">
            <v>6229585530</v>
          </cell>
          <cell r="B545">
            <v>62295</v>
          </cell>
          <cell r="C545">
            <v>85530</v>
          </cell>
          <cell r="D545" t="str">
            <v>Bldg Admin - Office Exp</v>
          </cell>
          <cell r="E545">
            <v>3316.1</v>
          </cell>
          <cell r="F545">
            <v>3566.5</v>
          </cell>
          <cell r="G545">
            <v>-250.4</v>
          </cell>
          <cell r="H545">
            <v>-7.0199999999999999E-2</v>
          </cell>
          <cell r="I545">
            <v>3612.03</v>
          </cell>
          <cell r="J545">
            <v>-295.93</v>
          </cell>
        </row>
        <row r="546">
          <cell r="A546" t="str">
            <v>6229586012</v>
          </cell>
          <cell r="B546">
            <v>62295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6229586037</v>
          </cell>
          <cell r="B547">
            <v>62295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6229583050</v>
          </cell>
          <cell r="B548">
            <v>62295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6229586510</v>
          </cell>
          <cell r="B549">
            <v>62295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6229586537</v>
          </cell>
          <cell r="B550">
            <v>62295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6229586566</v>
          </cell>
          <cell r="B551">
            <v>62295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6229586955</v>
          </cell>
          <cell r="B552">
            <v>62295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6229586985</v>
          </cell>
          <cell r="B553">
            <v>62295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6229586880</v>
          </cell>
          <cell r="B554">
            <v>62295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6229588710</v>
          </cell>
          <cell r="B555">
            <v>62295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24366</v>
          </cell>
          <cell r="G555">
            <v>-24366</v>
          </cell>
          <cell r="H555">
            <v>0</v>
          </cell>
          <cell r="I555">
            <v>0.26</v>
          </cell>
          <cell r="J555">
            <v>-0.26</v>
          </cell>
        </row>
        <row r="556">
          <cell r="A556" t="str">
            <v>6229588711</v>
          </cell>
          <cell r="B556">
            <v>62295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6229588785</v>
          </cell>
          <cell r="B557">
            <v>62295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6229588847</v>
          </cell>
          <cell r="B558">
            <v>62295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6229588866</v>
          </cell>
          <cell r="B559">
            <v>62295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6229588870</v>
          </cell>
          <cell r="B560">
            <v>62295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6229588889</v>
          </cell>
          <cell r="B561">
            <v>62295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6229589776</v>
          </cell>
          <cell r="B562">
            <v>62295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6229589787</v>
          </cell>
          <cell r="B563">
            <v>62295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6229589510</v>
          </cell>
          <cell r="B564">
            <v>62295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6229589511</v>
          </cell>
          <cell r="B565">
            <v>62295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6229589512</v>
          </cell>
          <cell r="B566">
            <v>62295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6229589528</v>
          </cell>
          <cell r="B567">
            <v>62295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6229589529</v>
          </cell>
          <cell r="B568">
            <v>62295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6229589567</v>
          </cell>
          <cell r="B569">
            <v>62295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6229585058</v>
          </cell>
          <cell r="B570">
            <v>62295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6229586513</v>
          </cell>
          <cell r="B571">
            <v>62295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6229586519</v>
          </cell>
          <cell r="B572">
            <v>62295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6229588770</v>
          </cell>
          <cell r="B573">
            <v>62295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6229588862</v>
          </cell>
          <cell r="B574">
            <v>62295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6229588874</v>
          </cell>
          <cell r="B575">
            <v>62295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6229589910</v>
          </cell>
          <cell r="B576">
            <v>62295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415971.71</v>
          </cell>
          <cell r="G576">
            <v>-415971.71</v>
          </cell>
          <cell r="H576">
            <v>0</v>
          </cell>
          <cell r="I576">
            <v>387358.52</v>
          </cell>
          <cell r="J576">
            <v>-387358.52</v>
          </cell>
        </row>
        <row r="577">
          <cell r="A577" t="str">
            <v>6229589548</v>
          </cell>
          <cell r="B577">
            <v>62295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6232041010</v>
          </cell>
          <cell r="B578">
            <v>62320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6232041040</v>
          </cell>
          <cell r="B579">
            <v>62320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6232041050</v>
          </cell>
          <cell r="B580">
            <v>62320</v>
          </cell>
          <cell r="C580">
            <v>41050</v>
          </cell>
          <cell r="D580" t="str">
            <v>Rental Income - Fixed</v>
          </cell>
          <cell r="E580">
            <v>-2122185.81</v>
          </cell>
          <cell r="F580">
            <v>-2026376.63</v>
          </cell>
          <cell r="G580">
            <v>-95809.180000000197</v>
          </cell>
          <cell r="H580">
            <v>4.7300000000000002E-2</v>
          </cell>
          <cell r="I580">
            <v>-2136042.62</v>
          </cell>
          <cell r="J580">
            <v>13856.8100000001</v>
          </cell>
        </row>
        <row r="581">
          <cell r="A581" t="str">
            <v>6232041074</v>
          </cell>
          <cell r="B581">
            <v>62320</v>
          </cell>
          <cell r="C581">
            <v>41074</v>
          </cell>
          <cell r="D581" t="str">
            <v>Rental Income - Percentage</v>
          </cell>
          <cell r="E581">
            <v>-640832.68999999994</v>
          </cell>
          <cell r="F581">
            <v>-454453</v>
          </cell>
          <cell r="G581">
            <v>-186379.69</v>
          </cell>
          <cell r="H581">
            <v>0.41010000000000002</v>
          </cell>
          <cell r="I581">
            <v>-634405.62</v>
          </cell>
          <cell r="J581">
            <v>-6427.0699999999497</v>
          </cell>
        </row>
        <row r="582">
          <cell r="A582" t="str">
            <v>6232041082</v>
          </cell>
          <cell r="B582">
            <v>62320</v>
          </cell>
          <cell r="C582">
            <v>41082</v>
          </cell>
          <cell r="D582" t="str">
            <v>Rental Income - Operating Exp</v>
          </cell>
          <cell r="E582">
            <v>-626158.62</v>
          </cell>
          <cell r="F582">
            <v>-687794.52</v>
          </cell>
          <cell r="G582">
            <v>61635.9</v>
          </cell>
          <cell r="H582">
            <v>-8.9599999999999999E-2</v>
          </cell>
          <cell r="I582">
            <v>-761536.32</v>
          </cell>
          <cell r="J582">
            <v>135377.70000000001</v>
          </cell>
        </row>
        <row r="583">
          <cell r="A583" t="str">
            <v>6232044610</v>
          </cell>
          <cell r="B583">
            <v>62320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6232045071</v>
          </cell>
          <cell r="B584">
            <v>62320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6232045010</v>
          </cell>
          <cell r="B585">
            <v>62320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6232045046</v>
          </cell>
          <cell r="B586">
            <v>62320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6232045070</v>
          </cell>
          <cell r="B587">
            <v>62320</v>
          </cell>
          <cell r="C587">
            <v>45070</v>
          </cell>
          <cell r="D587" t="str">
            <v>Other Income</v>
          </cell>
          <cell r="E587">
            <v>-0.48</v>
          </cell>
          <cell r="F587">
            <v>-1750</v>
          </cell>
          <cell r="G587">
            <v>1749.52</v>
          </cell>
          <cell r="H587">
            <v>-0.99970000000000003</v>
          </cell>
          <cell r="I587">
            <v>-500.48</v>
          </cell>
          <cell r="J587">
            <v>500</v>
          </cell>
        </row>
        <row r="588">
          <cell r="A588" t="str">
            <v>6232041060</v>
          </cell>
          <cell r="B588">
            <v>62320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31500</v>
          </cell>
          <cell r="G588">
            <v>-31500</v>
          </cell>
          <cell r="H588">
            <v>0</v>
          </cell>
          <cell r="I588">
            <v>11500</v>
          </cell>
          <cell r="J588">
            <v>-11500</v>
          </cell>
        </row>
        <row r="589">
          <cell r="A589" t="str">
            <v>6232044870</v>
          </cell>
          <cell r="B589">
            <v>62320</v>
          </cell>
          <cell r="C589">
            <v>44870</v>
          </cell>
          <cell r="D589" t="str">
            <v>Late Fees</v>
          </cell>
          <cell r="E589">
            <v>-11506.16</v>
          </cell>
          <cell r="F589">
            <v>0</v>
          </cell>
          <cell r="G589">
            <v>-11506.16</v>
          </cell>
          <cell r="H589">
            <v>0</v>
          </cell>
          <cell r="I589">
            <v>-4338.08</v>
          </cell>
          <cell r="J589">
            <v>-7168.08</v>
          </cell>
        </row>
        <row r="590">
          <cell r="A590" t="str">
            <v>6232052542</v>
          </cell>
          <cell r="B590">
            <v>62320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6232072710</v>
          </cell>
          <cell r="B591">
            <v>62320</v>
          </cell>
          <cell r="C591">
            <v>72710</v>
          </cell>
          <cell r="D591" t="str">
            <v>Utilities - Electricity</v>
          </cell>
          <cell r="E591">
            <v>25265.52</v>
          </cell>
          <cell r="F591">
            <v>24262</v>
          </cell>
          <cell r="G591">
            <v>1003.52</v>
          </cell>
          <cell r="H591">
            <v>4.1399999999999999E-2</v>
          </cell>
          <cell r="I591">
            <v>31821.599999999999</v>
          </cell>
          <cell r="J591">
            <v>-6556.08</v>
          </cell>
        </row>
        <row r="592">
          <cell r="A592" t="str">
            <v>6232072740</v>
          </cell>
          <cell r="B592">
            <v>62320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6232072770</v>
          </cell>
          <cell r="B593">
            <v>62320</v>
          </cell>
          <cell r="C593">
            <v>72770</v>
          </cell>
          <cell r="D593" t="str">
            <v>Utilities - Water</v>
          </cell>
          <cell r="E593">
            <v>13883.49</v>
          </cell>
          <cell r="F593">
            <v>8498</v>
          </cell>
          <cell r="G593">
            <v>5385.49</v>
          </cell>
          <cell r="H593">
            <v>0.63370000000000004</v>
          </cell>
          <cell r="I593">
            <v>20312.23</v>
          </cell>
          <cell r="J593">
            <v>-6428.74</v>
          </cell>
        </row>
        <row r="594">
          <cell r="A594" t="str">
            <v>6232076000</v>
          </cell>
          <cell r="B594">
            <v>62320</v>
          </cell>
          <cell r="C594">
            <v>76000</v>
          </cell>
          <cell r="D594" t="str">
            <v>Bldg Maintenance &amp; Repair</v>
          </cell>
          <cell r="E594">
            <v>40189.01</v>
          </cell>
          <cell r="F594">
            <v>30079.56</v>
          </cell>
          <cell r="G594">
            <v>10109.450000000001</v>
          </cell>
          <cell r="H594">
            <v>0.33610000000000001</v>
          </cell>
          <cell r="I594">
            <v>42062.61</v>
          </cell>
          <cell r="J594">
            <v>-1873.6</v>
          </cell>
        </row>
        <row r="595">
          <cell r="A595" t="str">
            <v>6232076020</v>
          </cell>
          <cell r="B595">
            <v>62320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6232076034</v>
          </cell>
          <cell r="B596">
            <v>62320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6232076050</v>
          </cell>
          <cell r="B597">
            <v>62320</v>
          </cell>
          <cell r="C597">
            <v>76050</v>
          </cell>
          <cell r="D597" t="str">
            <v>Cleaning Expense</v>
          </cell>
          <cell r="E597">
            <v>70453.83</v>
          </cell>
          <cell r="F597">
            <v>51044.56</v>
          </cell>
          <cell r="G597">
            <v>19409.27</v>
          </cell>
          <cell r="H597">
            <v>0.38019999999999998</v>
          </cell>
          <cell r="I597">
            <v>62322.71</v>
          </cell>
          <cell r="J597">
            <v>8131.12</v>
          </cell>
        </row>
        <row r="598">
          <cell r="A598" t="str">
            <v>6232076056</v>
          </cell>
          <cell r="B598">
            <v>62320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6232076070</v>
          </cell>
          <cell r="B599">
            <v>62320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6232076091</v>
          </cell>
          <cell r="B600">
            <v>62320</v>
          </cell>
          <cell r="C600">
            <v>76091</v>
          </cell>
          <cell r="D600" t="str">
            <v>Parking Maintenance</v>
          </cell>
          <cell r="E600">
            <v>29967.54</v>
          </cell>
          <cell r="F600">
            <v>29516.31</v>
          </cell>
          <cell r="G600">
            <v>451.23</v>
          </cell>
          <cell r="H600">
            <v>1.5299999999999999E-2</v>
          </cell>
          <cell r="I600">
            <v>27318.5</v>
          </cell>
          <cell r="J600">
            <v>2649.04</v>
          </cell>
        </row>
        <row r="601">
          <cell r="A601" t="str">
            <v>6232077000</v>
          </cell>
          <cell r="B601">
            <v>62320</v>
          </cell>
          <cell r="C601">
            <v>77000</v>
          </cell>
          <cell r="D601" t="str">
            <v>Grounds Maintenance</v>
          </cell>
          <cell r="E601">
            <v>123990.12</v>
          </cell>
          <cell r="F601">
            <v>125416.94</v>
          </cell>
          <cell r="G601">
            <v>-1426.8200000000099</v>
          </cell>
          <cell r="H601">
            <v>-1.14E-2</v>
          </cell>
          <cell r="I601">
            <v>156571.98000000001</v>
          </cell>
          <cell r="J601">
            <v>-32581.86</v>
          </cell>
        </row>
        <row r="602">
          <cell r="A602" t="str">
            <v>6232077053</v>
          </cell>
          <cell r="B602">
            <v>62320</v>
          </cell>
          <cell r="C602">
            <v>77053</v>
          </cell>
          <cell r="D602" t="str">
            <v>Landscaping</v>
          </cell>
          <cell r="E602">
            <v>55225.5</v>
          </cell>
          <cell r="F602">
            <v>68926</v>
          </cell>
          <cell r="G602">
            <v>-13700.5</v>
          </cell>
          <cell r="H602">
            <v>-0.1988</v>
          </cell>
          <cell r="I602">
            <v>46001.5</v>
          </cell>
          <cell r="J602">
            <v>9224</v>
          </cell>
        </row>
        <row r="603">
          <cell r="A603" t="str">
            <v>6232078020</v>
          </cell>
          <cell r="B603">
            <v>62320</v>
          </cell>
          <cell r="C603">
            <v>78020</v>
          </cell>
          <cell r="D603" t="str">
            <v>Amortized CAM Exp</v>
          </cell>
          <cell r="E603">
            <v>35815.22</v>
          </cell>
          <cell r="F603">
            <v>46666.69</v>
          </cell>
          <cell r="G603">
            <v>-10851.47</v>
          </cell>
          <cell r="H603">
            <v>-0.23250000000000001</v>
          </cell>
          <cell r="I603">
            <v>35015</v>
          </cell>
          <cell r="J603">
            <v>800.22000000000105</v>
          </cell>
        </row>
        <row r="604">
          <cell r="A604" t="str">
            <v>6232084264</v>
          </cell>
          <cell r="B604">
            <v>62320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6232085555</v>
          </cell>
          <cell r="B605">
            <v>62320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6232085584</v>
          </cell>
          <cell r="B606">
            <v>62320</v>
          </cell>
          <cell r="C606">
            <v>85584</v>
          </cell>
          <cell r="D606" t="str">
            <v>Bldg Admin-Office Costs</v>
          </cell>
          <cell r="E606">
            <v>5515.57</v>
          </cell>
          <cell r="F606">
            <v>4522</v>
          </cell>
          <cell r="G606">
            <v>993.57</v>
          </cell>
          <cell r="H606">
            <v>0.21970000000000001</v>
          </cell>
          <cell r="I606">
            <v>5738.37</v>
          </cell>
          <cell r="J606">
            <v>-222.8</v>
          </cell>
        </row>
        <row r="607">
          <cell r="A607" t="str">
            <v>6232085582</v>
          </cell>
          <cell r="B607">
            <v>62320</v>
          </cell>
          <cell r="C607">
            <v>85582</v>
          </cell>
          <cell r="D607" t="str">
            <v>Bldg Admin-Salaries</v>
          </cell>
          <cell r="E607">
            <v>36109.35</v>
          </cell>
          <cell r="F607">
            <v>30461.06</v>
          </cell>
          <cell r="G607">
            <v>5648.29</v>
          </cell>
          <cell r="H607">
            <v>0.18540000000000001</v>
          </cell>
          <cell r="I607">
            <v>37095.14</v>
          </cell>
          <cell r="J607">
            <v>-985.79000000000099</v>
          </cell>
        </row>
        <row r="608">
          <cell r="A608" t="str">
            <v>6232086564</v>
          </cell>
          <cell r="B608">
            <v>62320</v>
          </cell>
          <cell r="C608">
            <v>86564</v>
          </cell>
          <cell r="D608" t="str">
            <v>Insurance</v>
          </cell>
          <cell r="E608">
            <v>45273</v>
          </cell>
          <cell r="F608">
            <v>52325.56</v>
          </cell>
          <cell r="G608">
            <v>-7052.56</v>
          </cell>
          <cell r="H608">
            <v>-0.1348</v>
          </cell>
          <cell r="I608">
            <v>44212.28</v>
          </cell>
          <cell r="J608">
            <v>1060.72</v>
          </cell>
        </row>
        <row r="609">
          <cell r="A609" t="str">
            <v>6232088846</v>
          </cell>
          <cell r="B609">
            <v>62320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6232088890</v>
          </cell>
          <cell r="B610">
            <v>62320</v>
          </cell>
          <cell r="C610">
            <v>88890</v>
          </cell>
          <cell r="D610" t="str">
            <v>Security/Safety</v>
          </cell>
          <cell r="E610">
            <v>38919.769999999997</v>
          </cell>
          <cell r="F610">
            <v>52500</v>
          </cell>
          <cell r="G610">
            <v>-13580.23</v>
          </cell>
          <cell r="H610">
            <v>-0.25869999999999999</v>
          </cell>
          <cell r="I610">
            <v>55996</v>
          </cell>
          <cell r="J610">
            <v>-17076.23</v>
          </cell>
        </row>
        <row r="611">
          <cell r="A611" t="str">
            <v>6232089775</v>
          </cell>
          <cell r="B611">
            <v>62320</v>
          </cell>
          <cell r="C611">
            <v>89775</v>
          </cell>
          <cell r="D611" t="str">
            <v>Assmt Dist Taxes- Reimb</v>
          </cell>
          <cell r="E611">
            <v>39192</v>
          </cell>
          <cell r="F611">
            <v>13751.5</v>
          </cell>
          <cell r="G611">
            <v>25440.5</v>
          </cell>
          <cell r="H611">
            <v>1.85</v>
          </cell>
          <cell r="I611">
            <v>42825.760000000002</v>
          </cell>
          <cell r="J611">
            <v>-3633.76</v>
          </cell>
        </row>
        <row r="612">
          <cell r="A612" t="str">
            <v>6232089729</v>
          </cell>
          <cell r="B612">
            <v>62320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6232089786</v>
          </cell>
          <cell r="B613">
            <v>62320</v>
          </cell>
          <cell r="C613">
            <v>89786</v>
          </cell>
          <cell r="D613" t="str">
            <v>Property Tax Exp</v>
          </cell>
          <cell r="E613">
            <v>9287.8799999999992</v>
          </cell>
          <cell r="F613">
            <v>144614.75</v>
          </cell>
          <cell r="G613">
            <v>-135326.87</v>
          </cell>
          <cell r="H613">
            <v>-0.93579999999999997</v>
          </cell>
          <cell r="I613">
            <v>84838.26</v>
          </cell>
          <cell r="J613">
            <v>-75550.38</v>
          </cell>
        </row>
        <row r="614">
          <cell r="A614" t="str">
            <v>6232071040</v>
          </cell>
          <cell r="B614">
            <v>62320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6232072701</v>
          </cell>
          <cell r="B615">
            <v>62320</v>
          </cell>
          <cell r="C615">
            <v>72701</v>
          </cell>
          <cell r="D615" t="str">
            <v>Utilities</v>
          </cell>
          <cell r="E615">
            <v>0</v>
          </cell>
          <cell r="F615">
            <v>140</v>
          </cell>
          <cell r="G615">
            <v>-140</v>
          </cell>
          <cell r="H615">
            <v>0</v>
          </cell>
          <cell r="I615">
            <v>40</v>
          </cell>
          <cell r="J615">
            <v>-40</v>
          </cell>
        </row>
        <row r="616">
          <cell r="A616" t="str">
            <v>6232072855</v>
          </cell>
          <cell r="B616">
            <v>62320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6232072870</v>
          </cell>
          <cell r="B617">
            <v>62320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6232076010</v>
          </cell>
          <cell r="B618">
            <v>62320</v>
          </cell>
          <cell r="C618">
            <v>76010</v>
          </cell>
          <cell r="D618" t="str">
            <v>Tenant Alterations</v>
          </cell>
          <cell r="E618">
            <v>160</v>
          </cell>
          <cell r="F618">
            <v>250</v>
          </cell>
          <cell r="G618">
            <v>-90</v>
          </cell>
          <cell r="H618">
            <v>-0.36</v>
          </cell>
          <cell r="I618">
            <v>0</v>
          </cell>
          <cell r="J618">
            <v>160</v>
          </cell>
        </row>
        <row r="619">
          <cell r="A619" t="str">
            <v>6232076040</v>
          </cell>
          <cell r="B619">
            <v>62320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6232076051</v>
          </cell>
          <cell r="B620">
            <v>62320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6232076054</v>
          </cell>
          <cell r="B621">
            <v>62320</v>
          </cell>
          <cell r="C621">
            <v>76054</v>
          </cell>
          <cell r="D621" t="str">
            <v>Bldg Maintenance &amp; Repair</v>
          </cell>
          <cell r="E621">
            <v>1186.24</v>
          </cell>
          <cell r="F621">
            <v>350</v>
          </cell>
          <cell r="G621">
            <v>836.24</v>
          </cell>
          <cell r="H621">
            <v>2.3893</v>
          </cell>
          <cell r="I621">
            <v>6327.24</v>
          </cell>
          <cell r="J621">
            <v>-5141</v>
          </cell>
        </row>
        <row r="622">
          <cell r="A622" t="str">
            <v>6232076060</v>
          </cell>
          <cell r="B622">
            <v>62320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6232076071</v>
          </cell>
          <cell r="B623">
            <v>62320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6232076090</v>
          </cell>
          <cell r="B624">
            <v>62320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6232077001</v>
          </cell>
          <cell r="B625">
            <v>62320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6232077022</v>
          </cell>
          <cell r="B626">
            <v>62320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6232084200</v>
          </cell>
          <cell r="B627">
            <v>62320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6232084240</v>
          </cell>
          <cell r="B628">
            <v>62320</v>
          </cell>
          <cell r="C628">
            <v>84240</v>
          </cell>
          <cell r="D628" t="str">
            <v>Marketing Leasing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</row>
        <row r="629">
          <cell r="A629" t="str">
            <v>6232084242</v>
          </cell>
          <cell r="B629">
            <v>62320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6232084243</v>
          </cell>
          <cell r="B630">
            <v>62320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6232084244</v>
          </cell>
          <cell r="B631">
            <v>62320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6232084265</v>
          </cell>
          <cell r="B632">
            <v>62320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6232088037</v>
          </cell>
          <cell r="B633">
            <v>62320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6232085016</v>
          </cell>
          <cell r="B634">
            <v>62320</v>
          </cell>
          <cell r="C634">
            <v>85016</v>
          </cell>
          <cell r="D634" t="str">
            <v>Prof Svc-Attorney Outside</v>
          </cell>
          <cell r="E634">
            <v>393</v>
          </cell>
          <cell r="F634">
            <v>2919</v>
          </cell>
          <cell r="G634">
            <v>-2526</v>
          </cell>
          <cell r="H634">
            <v>-0.86539999999999995</v>
          </cell>
          <cell r="I634">
            <v>1127</v>
          </cell>
          <cell r="J634">
            <v>-734</v>
          </cell>
        </row>
        <row r="635">
          <cell r="A635" t="str">
            <v>6232085022</v>
          </cell>
          <cell r="B635">
            <v>62320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</row>
        <row r="636">
          <cell r="A636" t="str">
            <v>6232085065</v>
          </cell>
          <cell r="B636">
            <v>62320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6232085500</v>
          </cell>
          <cell r="B637">
            <v>62320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</row>
        <row r="638">
          <cell r="A638" t="str">
            <v>6232085566</v>
          </cell>
          <cell r="B638">
            <v>62320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6232085581</v>
          </cell>
          <cell r="B639">
            <v>62320</v>
          </cell>
          <cell r="C639">
            <v>85581</v>
          </cell>
          <cell r="D639" t="str">
            <v>Bldg Admin- Salaries</v>
          </cell>
          <cell r="E639">
            <v>20156.21</v>
          </cell>
          <cell r="F639">
            <v>18205.25</v>
          </cell>
          <cell r="G639">
            <v>1950.96</v>
          </cell>
          <cell r="H639">
            <v>0.1072</v>
          </cell>
          <cell r="I639">
            <v>20917.54</v>
          </cell>
          <cell r="J639">
            <v>-761.33000000000197</v>
          </cell>
        </row>
        <row r="640">
          <cell r="A640" t="str">
            <v>6232085583</v>
          </cell>
          <cell r="B640">
            <v>62320</v>
          </cell>
          <cell r="C640">
            <v>85583</v>
          </cell>
          <cell r="D640" t="str">
            <v>Bldg Admin-Office Exp.</v>
          </cell>
          <cell r="E640">
            <v>3155.14</v>
          </cell>
          <cell r="F640">
            <v>2640.19</v>
          </cell>
          <cell r="G640">
            <v>514.95000000000005</v>
          </cell>
          <cell r="H640">
            <v>0.19500000000000001</v>
          </cell>
          <cell r="I640">
            <v>3378.04</v>
          </cell>
          <cell r="J640">
            <v>-222.9</v>
          </cell>
        </row>
        <row r="641">
          <cell r="A641" t="str">
            <v>6232085530</v>
          </cell>
          <cell r="B641">
            <v>62320</v>
          </cell>
          <cell r="C641">
            <v>85530</v>
          </cell>
          <cell r="D641" t="str">
            <v>Bldg Admin - Office Exp</v>
          </cell>
          <cell r="E641">
            <v>3155.14</v>
          </cell>
          <cell r="F641">
            <v>2640.19</v>
          </cell>
          <cell r="G641">
            <v>514.95000000000005</v>
          </cell>
          <cell r="H641">
            <v>0.19500000000000001</v>
          </cell>
          <cell r="I641">
            <v>3378.04</v>
          </cell>
          <cell r="J641">
            <v>-222.9</v>
          </cell>
        </row>
        <row r="642">
          <cell r="A642" t="str">
            <v>6232086012</v>
          </cell>
          <cell r="B642">
            <v>62320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6232086037</v>
          </cell>
          <cell r="B643">
            <v>62320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6232083050</v>
          </cell>
          <cell r="B644">
            <v>62320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6232086510</v>
          </cell>
          <cell r="B645">
            <v>62320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6232086537</v>
          </cell>
          <cell r="B646">
            <v>62320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6232086566</v>
          </cell>
          <cell r="B647">
            <v>62320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6232086955</v>
          </cell>
          <cell r="B648">
            <v>62320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6232086985</v>
          </cell>
          <cell r="B649">
            <v>62320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6232086880</v>
          </cell>
          <cell r="B650">
            <v>62320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6232088710</v>
          </cell>
          <cell r="B651">
            <v>62320</v>
          </cell>
          <cell r="C651">
            <v>88710</v>
          </cell>
          <cell r="D651" t="str">
            <v>Losses-Bad Debts</v>
          </cell>
          <cell r="E651">
            <v>-834.969999999999</v>
          </cell>
          <cell r="F651">
            <v>28996</v>
          </cell>
          <cell r="G651">
            <v>-29830.97</v>
          </cell>
          <cell r="H651">
            <v>-1.0287999999999999</v>
          </cell>
          <cell r="I651">
            <v>-13393.96</v>
          </cell>
          <cell r="J651">
            <v>12558.99</v>
          </cell>
        </row>
        <row r="652">
          <cell r="A652" t="str">
            <v>6232088711</v>
          </cell>
          <cell r="B652">
            <v>62320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6232088785</v>
          </cell>
          <cell r="B653">
            <v>62320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6232088847</v>
          </cell>
          <cell r="B654">
            <v>62320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6232088866</v>
          </cell>
          <cell r="B655">
            <v>62320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6232088870</v>
          </cell>
          <cell r="B656">
            <v>62320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6232088889</v>
          </cell>
          <cell r="B657">
            <v>62320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6232089776</v>
          </cell>
          <cell r="B658">
            <v>62320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6232089787</v>
          </cell>
          <cell r="B659">
            <v>62320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6232089510</v>
          </cell>
          <cell r="B660">
            <v>62320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</row>
        <row r="661">
          <cell r="A661" t="str">
            <v>6232089511</v>
          </cell>
          <cell r="B661">
            <v>62320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6232089512</v>
          </cell>
          <cell r="B662">
            <v>62320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6232089528</v>
          </cell>
          <cell r="B663">
            <v>62320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6232089529</v>
          </cell>
          <cell r="B664">
            <v>62320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6232089567</v>
          </cell>
          <cell r="B665">
            <v>62320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6232085058</v>
          </cell>
          <cell r="B666">
            <v>62320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6232086513</v>
          </cell>
          <cell r="B667">
            <v>62320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444.44</v>
          </cell>
          <cell r="G667">
            <v>-444.44</v>
          </cell>
          <cell r="H667">
            <v>0</v>
          </cell>
          <cell r="I667">
            <v>0</v>
          </cell>
          <cell r="J667">
            <v>0</v>
          </cell>
        </row>
        <row r="668">
          <cell r="A668" t="str">
            <v>6232086519</v>
          </cell>
          <cell r="B668">
            <v>62320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6232088770</v>
          </cell>
          <cell r="B669">
            <v>62320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6232088862</v>
          </cell>
          <cell r="B670">
            <v>62320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6232088874</v>
          </cell>
          <cell r="B671">
            <v>62320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6232089910</v>
          </cell>
          <cell r="B672">
            <v>62320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712024.47</v>
          </cell>
          <cell r="G672">
            <v>-712024.47</v>
          </cell>
          <cell r="H672">
            <v>0</v>
          </cell>
          <cell r="I672">
            <v>729687.09</v>
          </cell>
          <cell r="J672">
            <v>-729687.09</v>
          </cell>
        </row>
        <row r="673">
          <cell r="A673" t="str">
            <v>6232089548</v>
          </cell>
          <cell r="B673">
            <v>62320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6252641010</v>
          </cell>
          <cell r="B674">
            <v>62526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6252641040</v>
          </cell>
          <cell r="B675">
            <v>62526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6252641050</v>
          </cell>
          <cell r="B676">
            <v>62526</v>
          </cell>
          <cell r="C676">
            <v>41050</v>
          </cell>
          <cell r="D676" t="str">
            <v>Rental Income - Fixed</v>
          </cell>
          <cell r="E676">
            <v>-1217714.93</v>
          </cell>
          <cell r="F676">
            <v>-1235180.3400000001</v>
          </cell>
          <cell r="G676">
            <v>17465.410000000102</v>
          </cell>
          <cell r="H676">
            <v>-1.41E-2</v>
          </cell>
          <cell r="I676">
            <v>-1219204.81</v>
          </cell>
          <cell r="J676">
            <v>1489.8800000001199</v>
          </cell>
        </row>
        <row r="677">
          <cell r="A677" t="str">
            <v>6252641074</v>
          </cell>
          <cell r="B677">
            <v>62526</v>
          </cell>
          <cell r="C677">
            <v>41074</v>
          </cell>
          <cell r="D677" t="str">
            <v>Rental Income - Percentage</v>
          </cell>
          <cell r="E677">
            <v>-3258.42</v>
          </cell>
          <cell r="F677">
            <v>-9788</v>
          </cell>
          <cell r="G677">
            <v>6529.58</v>
          </cell>
          <cell r="H677">
            <v>-0.66710000000000003</v>
          </cell>
          <cell r="I677">
            <v>-7454</v>
          </cell>
          <cell r="J677">
            <v>4195.58</v>
          </cell>
        </row>
        <row r="678">
          <cell r="A678" t="str">
            <v>6252641082</v>
          </cell>
          <cell r="B678">
            <v>62526</v>
          </cell>
          <cell r="C678">
            <v>41082</v>
          </cell>
          <cell r="D678" t="str">
            <v>Rental Income - Operating Exp</v>
          </cell>
          <cell r="E678">
            <v>-393098.86</v>
          </cell>
          <cell r="F678">
            <v>-402223.92</v>
          </cell>
          <cell r="G678">
            <v>9125.06</v>
          </cell>
          <cell r="H678">
            <v>-2.2700000000000001E-2</v>
          </cell>
          <cell r="I678">
            <v>-403017.86</v>
          </cell>
          <cell r="J678">
            <v>9919</v>
          </cell>
        </row>
        <row r="679">
          <cell r="A679" t="str">
            <v>6252644610</v>
          </cell>
          <cell r="B679">
            <v>62526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6252645071</v>
          </cell>
          <cell r="B680">
            <v>62526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6252645010</v>
          </cell>
          <cell r="B681">
            <v>62526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6252645046</v>
          </cell>
          <cell r="B682">
            <v>62526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6252645070</v>
          </cell>
          <cell r="B683">
            <v>62526</v>
          </cell>
          <cell r="C683">
            <v>45070</v>
          </cell>
          <cell r="D683" t="str">
            <v>Other Income</v>
          </cell>
          <cell r="E683">
            <v>-348.87</v>
          </cell>
          <cell r="F683">
            <v>-1787.31</v>
          </cell>
          <cell r="G683">
            <v>1438.44</v>
          </cell>
          <cell r="H683">
            <v>-0.80479999999999996</v>
          </cell>
          <cell r="I683">
            <v>-859.53</v>
          </cell>
          <cell r="J683">
            <v>510.66</v>
          </cell>
        </row>
        <row r="684">
          <cell r="A684" t="str">
            <v>6252641060</v>
          </cell>
          <cell r="B684">
            <v>62526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</row>
        <row r="685">
          <cell r="A685" t="str">
            <v>6252644870</v>
          </cell>
          <cell r="B685">
            <v>62526</v>
          </cell>
          <cell r="C685">
            <v>44870</v>
          </cell>
          <cell r="D685" t="str">
            <v>Late Fees</v>
          </cell>
          <cell r="E685">
            <v>-12447.68</v>
          </cell>
          <cell r="F685">
            <v>0</v>
          </cell>
          <cell r="G685">
            <v>-12447.68</v>
          </cell>
          <cell r="H685">
            <v>0</v>
          </cell>
          <cell r="I685">
            <v>-11666.92</v>
          </cell>
          <cell r="J685">
            <v>-780.76</v>
          </cell>
        </row>
        <row r="686">
          <cell r="A686" t="str">
            <v>6252652542</v>
          </cell>
          <cell r="B686">
            <v>62526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6252672710</v>
          </cell>
          <cell r="B687">
            <v>62526</v>
          </cell>
          <cell r="C687">
            <v>72710</v>
          </cell>
          <cell r="D687" t="str">
            <v>Utilities - Electricity</v>
          </cell>
          <cell r="E687">
            <v>16830.650000000001</v>
          </cell>
          <cell r="F687">
            <v>21581</v>
          </cell>
          <cell r="G687">
            <v>-4750.3500000000004</v>
          </cell>
          <cell r="H687">
            <v>-0.22009999999999999</v>
          </cell>
          <cell r="I687">
            <v>20764.88</v>
          </cell>
          <cell r="J687">
            <v>-3934.23</v>
          </cell>
        </row>
        <row r="688">
          <cell r="A688" t="str">
            <v>6252672740</v>
          </cell>
          <cell r="B688">
            <v>62526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6252672770</v>
          </cell>
          <cell r="B689">
            <v>62526</v>
          </cell>
          <cell r="C689">
            <v>72770</v>
          </cell>
          <cell r="D689" t="str">
            <v>Utilities - Water</v>
          </cell>
          <cell r="E689">
            <v>1529.48</v>
          </cell>
          <cell r="F689">
            <v>7056</v>
          </cell>
          <cell r="G689">
            <v>-5526.52</v>
          </cell>
          <cell r="H689">
            <v>-0.78320000000000001</v>
          </cell>
          <cell r="I689">
            <v>8867.1299999999992</v>
          </cell>
          <cell r="J689">
            <v>-7337.65</v>
          </cell>
        </row>
        <row r="690">
          <cell r="A690" t="str">
            <v>6252676000</v>
          </cell>
          <cell r="B690">
            <v>62526</v>
          </cell>
          <cell r="C690">
            <v>76000</v>
          </cell>
          <cell r="D690" t="str">
            <v>Bldg Maintenance &amp; Repair</v>
          </cell>
          <cell r="E690">
            <v>37262.410000000003</v>
          </cell>
          <cell r="F690">
            <v>26618.81</v>
          </cell>
          <cell r="G690">
            <v>10643.6</v>
          </cell>
          <cell r="H690">
            <v>0.39989999999999998</v>
          </cell>
          <cell r="I690">
            <v>45986.9</v>
          </cell>
          <cell r="J690">
            <v>-8724.49</v>
          </cell>
        </row>
        <row r="691">
          <cell r="A691" t="str">
            <v>6252676020</v>
          </cell>
          <cell r="B691">
            <v>62526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6252676034</v>
          </cell>
          <cell r="B692">
            <v>62526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6252676050</v>
          </cell>
          <cell r="B693">
            <v>62526</v>
          </cell>
          <cell r="C693">
            <v>76050</v>
          </cell>
          <cell r="D693" t="str">
            <v>Cleaning Expense</v>
          </cell>
          <cell r="E693">
            <v>47741.440000000002</v>
          </cell>
          <cell r="F693">
            <v>46718</v>
          </cell>
          <cell r="G693">
            <v>1023.44</v>
          </cell>
          <cell r="H693">
            <v>2.1899999999999999E-2</v>
          </cell>
          <cell r="I693">
            <v>47087.6</v>
          </cell>
          <cell r="J693">
            <v>653.84000000000401</v>
          </cell>
        </row>
        <row r="694">
          <cell r="A694" t="str">
            <v>6252676056</v>
          </cell>
          <cell r="B694">
            <v>62526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6252676070</v>
          </cell>
          <cell r="B695">
            <v>62526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6252676091</v>
          </cell>
          <cell r="B696">
            <v>62526</v>
          </cell>
          <cell r="C696">
            <v>76091</v>
          </cell>
          <cell r="D696" t="str">
            <v>Parking Maintenance</v>
          </cell>
          <cell r="E696">
            <v>17817</v>
          </cell>
          <cell r="F696">
            <v>22378.19</v>
          </cell>
          <cell r="G696">
            <v>-4561.1899999999996</v>
          </cell>
          <cell r="H696">
            <v>-0.20380000000000001</v>
          </cell>
          <cell r="I696">
            <v>22072.34</v>
          </cell>
          <cell r="J696">
            <v>-4255.34</v>
          </cell>
        </row>
        <row r="697">
          <cell r="A697" t="str">
            <v>6252677000</v>
          </cell>
          <cell r="B697">
            <v>62526</v>
          </cell>
          <cell r="C697">
            <v>77000</v>
          </cell>
          <cell r="D697" t="str">
            <v>Grounds Maintenance</v>
          </cell>
          <cell r="E697">
            <v>22941.57</v>
          </cell>
          <cell r="F697">
            <v>50409.440000000002</v>
          </cell>
          <cell r="G697">
            <v>-27467.87</v>
          </cell>
          <cell r="H697">
            <v>-0.54490000000000005</v>
          </cell>
          <cell r="I697">
            <v>29851.56</v>
          </cell>
          <cell r="J697">
            <v>-6909.99</v>
          </cell>
        </row>
        <row r="698">
          <cell r="A698" t="str">
            <v>6252677053</v>
          </cell>
          <cell r="B698">
            <v>62526</v>
          </cell>
          <cell r="C698">
            <v>77053</v>
          </cell>
          <cell r="D698" t="str">
            <v>Landscaping</v>
          </cell>
          <cell r="E698">
            <v>45203.35</v>
          </cell>
          <cell r="F698">
            <v>62170</v>
          </cell>
          <cell r="G698">
            <v>-16966.650000000001</v>
          </cell>
          <cell r="H698">
            <v>-0.27289999999999998</v>
          </cell>
          <cell r="I698">
            <v>45360.35</v>
          </cell>
          <cell r="J698">
            <v>-157</v>
          </cell>
        </row>
        <row r="699">
          <cell r="A699" t="str">
            <v>6252678020</v>
          </cell>
          <cell r="B699">
            <v>62526</v>
          </cell>
          <cell r="C699">
            <v>78020</v>
          </cell>
          <cell r="D699" t="str">
            <v>Amortized CAM Exp</v>
          </cell>
          <cell r="E699">
            <v>57290.17</v>
          </cell>
          <cell r="F699">
            <v>22555.75</v>
          </cell>
          <cell r="G699">
            <v>34734.42</v>
          </cell>
          <cell r="H699">
            <v>1.5399</v>
          </cell>
          <cell r="I699">
            <v>37441.9</v>
          </cell>
          <cell r="J699">
            <v>19848.27</v>
          </cell>
        </row>
        <row r="700">
          <cell r="A700" t="str">
            <v>6252684264</v>
          </cell>
          <cell r="B700">
            <v>62526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6252685555</v>
          </cell>
          <cell r="B701">
            <v>62526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6252685584</v>
          </cell>
          <cell r="B702">
            <v>62526</v>
          </cell>
          <cell r="C702">
            <v>85584</v>
          </cell>
          <cell r="D702" t="str">
            <v>Bldg Admin-Office Costs</v>
          </cell>
          <cell r="E702">
            <v>2185.8000000000002</v>
          </cell>
          <cell r="F702">
            <v>2184</v>
          </cell>
          <cell r="G702">
            <v>1.8000000000001799</v>
          </cell>
          <cell r="H702">
            <v>8.0000000000000004E-4</v>
          </cell>
          <cell r="I702">
            <v>2261.87</v>
          </cell>
          <cell r="J702">
            <v>-76.069999999999695</v>
          </cell>
        </row>
        <row r="703">
          <cell r="A703" t="str">
            <v>6252685582</v>
          </cell>
          <cell r="B703">
            <v>62526</v>
          </cell>
          <cell r="C703">
            <v>85582</v>
          </cell>
          <cell r="D703" t="str">
            <v>Bldg Admin-Salaries</v>
          </cell>
          <cell r="E703">
            <v>14597.19</v>
          </cell>
          <cell r="F703">
            <v>14704.06</v>
          </cell>
          <cell r="G703">
            <v>-106.869999999999</v>
          </cell>
          <cell r="H703">
            <v>-7.3000000000000001E-3</v>
          </cell>
          <cell r="I703">
            <v>14844.35</v>
          </cell>
          <cell r="J703">
            <v>-247.16</v>
          </cell>
        </row>
        <row r="704">
          <cell r="A704" t="str">
            <v>6252686564</v>
          </cell>
          <cell r="B704">
            <v>62526</v>
          </cell>
          <cell r="C704">
            <v>86564</v>
          </cell>
          <cell r="D704" t="str">
            <v>Insurance</v>
          </cell>
          <cell r="E704">
            <v>17983</v>
          </cell>
          <cell r="F704">
            <v>20070.75</v>
          </cell>
          <cell r="G704">
            <v>-2087.75</v>
          </cell>
          <cell r="H704">
            <v>-0.104</v>
          </cell>
          <cell r="I704">
            <v>17639.78</v>
          </cell>
          <cell r="J704">
            <v>343.22000000000099</v>
          </cell>
        </row>
        <row r="705">
          <cell r="A705" t="str">
            <v>6252688846</v>
          </cell>
          <cell r="B705">
            <v>62526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6252688890</v>
          </cell>
          <cell r="B706">
            <v>62526</v>
          </cell>
          <cell r="C706">
            <v>88890</v>
          </cell>
          <cell r="D706" t="str">
            <v>Security/Safety</v>
          </cell>
          <cell r="E706">
            <v>7454.45</v>
          </cell>
          <cell r="F706">
            <v>4900</v>
          </cell>
          <cell r="G706">
            <v>2554.4499999999998</v>
          </cell>
          <cell r="H706">
            <v>0.52129999999999999</v>
          </cell>
          <cell r="I706">
            <v>5024.75</v>
          </cell>
          <cell r="J706">
            <v>2429.6999999999998</v>
          </cell>
        </row>
        <row r="707">
          <cell r="A707" t="str">
            <v>6252689775</v>
          </cell>
          <cell r="B707">
            <v>62526</v>
          </cell>
          <cell r="C707">
            <v>89775</v>
          </cell>
          <cell r="D707" t="str">
            <v>Assmt Dist Taxes- Reimb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</row>
        <row r="708">
          <cell r="A708" t="str">
            <v>6252689729</v>
          </cell>
          <cell r="B708">
            <v>62526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6252689786</v>
          </cell>
          <cell r="B709">
            <v>62526</v>
          </cell>
          <cell r="C709">
            <v>89786</v>
          </cell>
          <cell r="D709" t="str">
            <v>Property Tax Exp</v>
          </cell>
          <cell r="E709">
            <v>56066.17</v>
          </cell>
          <cell r="F709">
            <v>77669.69</v>
          </cell>
          <cell r="G709">
            <v>-21603.52</v>
          </cell>
          <cell r="H709">
            <v>-0.27810000000000001</v>
          </cell>
          <cell r="I709">
            <v>56533.02</v>
          </cell>
          <cell r="J709">
            <v>-466.849999999999</v>
          </cell>
        </row>
        <row r="710">
          <cell r="A710" t="str">
            <v>6252671040</v>
          </cell>
          <cell r="B710">
            <v>62526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6252672701</v>
          </cell>
          <cell r="B711">
            <v>62526</v>
          </cell>
          <cell r="C711">
            <v>72701</v>
          </cell>
          <cell r="D711" t="str">
            <v>Utilities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</row>
        <row r="712">
          <cell r="A712" t="str">
            <v>6252672855</v>
          </cell>
          <cell r="B712">
            <v>62526</v>
          </cell>
          <cell r="C712">
            <v>72855</v>
          </cell>
          <cell r="D712" t="str">
            <v>Rent Expense-Ground</v>
          </cell>
          <cell r="E712">
            <v>204166.69</v>
          </cell>
          <cell r="F712">
            <v>204166.69</v>
          </cell>
          <cell r="G712">
            <v>0</v>
          </cell>
          <cell r="H712">
            <v>0</v>
          </cell>
          <cell r="I712">
            <v>204166.69</v>
          </cell>
          <cell r="J712">
            <v>0</v>
          </cell>
        </row>
        <row r="713">
          <cell r="A713" t="str">
            <v>6252672870</v>
          </cell>
          <cell r="B713">
            <v>62526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6252676010</v>
          </cell>
          <cell r="B714">
            <v>62526</v>
          </cell>
          <cell r="C714">
            <v>76010</v>
          </cell>
          <cell r="D714" t="str">
            <v>Tenant Alterations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6252676040</v>
          </cell>
          <cell r="B715">
            <v>62526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6252676051</v>
          </cell>
          <cell r="B716">
            <v>62526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6252676054</v>
          </cell>
          <cell r="B717">
            <v>62526</v>
          </cell>
          <cell r="C717">
            <v>76054</v>
          </cell>
          <cell r="D717" t="str">
            <v>Bldg Maintenance &amp; Repair</v>
          </cell>
          <cell r="E717">
            <v>2577.7399999999998</v>
          </cell>
          <cell r="F717">
            <v>1000</v>
          </cell>
          <cell r="G717">
            <v>1577.74</v>
          </cell>
          <cell r="H717">
            <v>1.5777000000000001</v>
          </cell>
          <cell r="I717">
            <v>5190.74</v>
          </cell>
          <cell r="J717">
            <v>-2613</v>
          </cell>
        </row>
        <row r="718">
          <cell r="A718" t="str">
            <v>6252676060</v>
          </cell>
          <cell r="B718">
            <v>62526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6252676071</v>
          </cell>
          <cell r="B719">
            <v>62526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6252676090</v>
          </cell>
          <cell r="B720">
            <v>62526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6252677001</v>
          </cell>
          <cell r="B721">
            <v>62526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6252677022</v>
          </cell>
          <cell r="B722">
            <v>62526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6252684200</v>
          </cell>
          <cell r="B723">
            <v>62526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6252684240</v>
          </cell>
          <cell r="B724">
            <v>62526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</row>
        <row r="725">
          <cell r="A725" t="str">
            <v>6252684242</v>
          </cell>
          <cell r="B725">
            <v>62526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6252684243</v>
          </cell>
          <cell r="B726">
            <v>62526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6252684244</v>
          </cell>
          <cell r="B727">
            <v>62526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6252684265</v>
          </cell>
          <cell r="B728">
            <v>62526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6252688037</v>
          </cell>
          <cell r="B729">
            <v>62526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6252685016</v>
          </cell>
          <cell r="B730">
            <v>62526</v>
          </cell>
          <cell r="C730">
            <v>85016</v>
          </cell>
          <cell r="D730" t="str">
            <v>Prof Svc-Attorney Outside</v>
          </cell>
          <cell r="E730">
            <v>600</v>
          </cell>
          <cell r="F730">
            <v>500</v>
          </cell>
          <cell r="G730">
            <v>100</v>
          </cell>
          <cell r="H730">
            <v>0.2</v>
          </cell>
          <cell r="I730">
            <v>0</v>
          </cell>
          <cell r="J730">
            <v>600</v>
          </cell>
        </row>
        <row r="731">
          <cell r="A731" t="str">
            <v>6252685022</v>
          </cell>
          <cell r="B731">
            <v>62526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</row>
        <row r="732">
          <cell r="A732" t="str">
            <v>6252685065</v>
          </cell>
          <cell r="B732">
            <v>62526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6252685500</v>
          </cell>
          <cell r="B733">
            <v>62526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</row>
        <row r="734">
          <cell r="A734" t="str">
            <v>6252685566</v>
          </cell>
          <cell r="B734">
            <v>62526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6252685581</v>
          </cell>
          <cell r="B735">
            <v>62526</v>
          </cell>
          <cell r="C735">
            <v>85581</v>
          </cell>
          <cell r="D735" t="str">
            <v>Bldg Admin- Salaries</v>
          </cell>
          <cell r="E735">
            <v>8156.99</v>
          </cell>
          <cell r="F735">
            <v>8789</v>
          </cell>
          <cell r="G735">
            <v>-632.01</v>
          </cell>
          <cell r="H735">
            <v>-7.1900000000000006E-2</v>
          </cell>
          <cell r="I735">
            <v>8375</v>
          </cell>
          <cell r="J735">
            <v>-218.01</v>
          </cell>
        </row>
        <row r="736">
          <cell r="A736" t="str">
            <v>6252685583</v>
          </cell>
          <cell r="B736">
            <v>62526</v>
          </cell>
          <cell r="C736">
            <v>85583</v>
          </cell>
          <cell r="D736" t="str">
            <v>Bldg Admin-Office Exp.</v>
          </cell>
          <cell r="E736">
            <v>1185.0999999999999</v>
          </cell>
          <cell r="F736">
            <v>1274.56</v>
          </cell>
          <cell r="G736">
            <v>-89.46</v>
          </cell>
          <cell r="H736">
            <v>-7.0199999999999999E-2</v>
          </cell>
          <cell r="I736">
            <v>1290.96</v>
          </cell>
          <cell r="J736">
            <v>-105.86</v>
          </cell>
        </row>
        <row r="737">
          <cell r="A737" t="str">
            <v>6252685530</v>
          </cell>
          <cell r="B737">
            <v>62526</v>
          </cell>
          <cell r="C737">
            <v>85530</v>
          </cell>
          <cell r="D737" t="str">
            <v>Bldg Admin - Office Exp</v>
          </cell>
          <cell r="E737">
            <v>1185.0999999999999</v>
          </cell>
          <cell r="F737">
            <v>1274.56</v>
          </cell>
          <cell r="G737">
            <v>-89.46</v>
          </cell>
          <cell r="H737">
            <v>-7.0199999999999999E-2</v>
          </cell>
          <cell r="I737">
            <v>1290.96</v>
          </cell>
          <cell r="J737">
            <v>-105.86</v>
          </cell>
        </row>
        <row r="738">
          <cell r="A738" t="str">
            <v>6252686012</v>
          </cell>
          <cell r="B738">
            <v>62526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6252686037</v>
          </cell>
          <cell r="B739">
            <v>62526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6252683050</v>
          </cell>
          <cell r="B740">
            <v>62526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6252686510</v>
          </cell>
          <cell r="B741">
            <v>62526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6252686537</v>
          </cell>
          <cell r="B742">
            <v>62526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6252686566</v>
          </cell>
          <cell r="B743">
            <v>62526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6252686955</v>
          </cell>
          <cell r="B744">
            <v>62526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6252686985</v>
          </cell>
          <cell r="B745">
            <v>62526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6252686880</v>
          </cell>
          <cell r="B746">
            <v>62526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6252688710</v>
          </cell>
          <cell r="B747">
            <v>62526</v>
          </cell>
          <cell r="C747">
            <v>88710</v>
          </cell>
          <cell r="D747" t="str">
            <v>Losses-Bad Debts</v>
          </cell>
          <cell r="E747">
            <v>-18740.36</v>
          </cell>
          <cell r="F747">
            <v>15188</v>
          </cell>
          <cell r="G747">
            <v>-33928.36</v>
          </cell>
          <cell r="H747">
            <v>-2.2339000000000002</v>
          </cell>
          <cell r="I747">
            <v>-18538.099999999999</v>
          </cell>
          <cell r="J747">
            <v>-202.26000000000201</v>
          </cell>
        </row>
        <row r="748">
          <cell r="A748" t="str">
            <v>6252688711</v>
          </cell>
          <cell r="B748">
            <v>62526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6252688785</v>
          </cell>
          <cell r="B749">
            <v>62526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6252688847</v>
          </cell>
          <cell r="B750">
            <v>62526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6252688866</v>
          </cell>
          <cell r="B751">
            <v>62526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6252688870</v>
          </cell>
          <cell r="B752">
            <v>62526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6252688889</v>
          </cell>
          <cell r="B753">
            <v>62526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6252689776</v>
          </cell>
          <cell r="B754">
            <v>62526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6252689787</v>
          </cell>
          <cell r="B755">
            <v>62526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6252689510</v>
          </cell>
          <cell r="B756">
            <v>62526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6252689511</v>
          </cell>
          <cell r="B757">
            <v>62526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6252689512</v>
          </cell>
          <cell r="B758">
            <v>62526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6252689528</v>
          </cell>
          <cell r="B759">
            <v>62526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6252689529</v>
          </cell>
          <cell r="B760">
            <v>62526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6252689567</v>
          </cell>
          <cell r="B761">
            <v>62526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6252685058</v>
          </cell>
          <cell r="B762">
            <v>62526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6252686513</v>
          </cell>
          <cell r="B763">
            <v>62526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</row>
        <row r="764">
          <cell r="A764" t="str">
            <v>6252686519</v>
          </cell>
          <cell r="B764">
            <v>62526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6252688770</v>
          </cell>
          <cell r="B765">
            <v>62526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6252688862</v>
          </cell>
          <cell r="B766">
            <v>62526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6252688874</v>
          </cell>
          <cell r="B767">
            <v>62526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6252689910</v>
          </cell>
          <cell r="B768">
            <v>62526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196649.19</v>
          </cell>
          <cell r="G768">
            <v>-196649.19</v>
          </cell>
          <cell r="H768">
            <v>0</v>
          </cell>
          <cell r="I768">
            <v>344453.85</v>
          </cell>
          <cell r="J768">
            <v>-344453.85</v>
          </cell>
        </row>
        <row r="769">
          <cell r="A769" t="str">
            <v>6252689548</v>
          </cell>
          <cell r="B769">
            <v>62526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6262041010</v>
          </cell>
          <cell r="B770">
            <v>62620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6262041040</v>
          </cell>
          <cell r="B771">
            <v>62620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6262041050</v>
          </cell>
          <cell r="B772">
            <v>62620</v>
          </cell>
          <cell r="C772">
            <v>41050</v>
          </cell>
          <cell r="D772" t="str">
            <v>Rental Income - Fixed</v>
          </cell>
          <cell r="E772">
            <v>-283909.67</v>
          </cell>
          <cell r="F772">
            <v>-314813.32</v>
          </cell>
          <cell r="G772">
            <v>30903.65</v>
          </cell>
          <cell r="H772">
            <v>-9.8199999999999996E-2</v>
          </cell>
          <cell r="I772">
            <v>-318329.56</v>
          </cell>
          <cell r="J772">
            <v>34419.89</v>
          </cell>
        </row>
        <row r="773">
          <cell r="A773" t="str">
            <v>6262041074</v>
          </cell>
          <cell r="B773">
            <v>62620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6262041082</v>
          </cell>
          <cell r="B774">
            <v>62620</v>
          </cell>
          <cell r="C774">
            <v>41082</v>
          </cell>
          <cell r="D774" t="str">
            <v>Rental Income - Operating Exp</v>
          </cell>
          <cell r="E774">
            <v>-93087.31</v>
          </cell>
          <cell r="F774">
            <v>-155101.94</v>
          </cell>
          <cell r="G774">
            <v>62014.63</v>
          </cell>
          <cell r="H774">
            <v>-0.39979999999999999</v>
          </cell>
          <cell r="I774">
            <v>-98173.59</v>
          </cell>
          <cell r="J774">
            <v>5086.28</v>
          </cell>
        </row>
        <row r="775">
          <cell r="A775" t="str">
            <v>6262044610</v>
          </cell>
          <cell r="B775">
            <v>62620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6262045071</v>
          </cell>
          <cell r="B776">
            <v>62620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6262045010</v>
          </cell>
          <cell r="B777">
            <v>62620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6262045046</v>
          </cell>
          <cell r="B778">
            <v>62620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6262045070</v>
          </cell>
          <cell r="B779">
            <v>62620</v>
          </cell>
          <cell r="C779">
            <v>45070</v>
          </cell>
          <cell r="D779" t="str">
            <v>Other Income</v>
          </cell>
          <cell r="E779">
            <v>0.16</v>
          </cell>
          <cell r="F779">
            <v>0</v>
          </cell>
          <cell r="G779">
            <v>0.16</v>
          </cell>
          <cell r="H779">
            <v>0</v>
          </cell>
          <cell r="I779">
            <v>-0.47</v>
          </cell>
          <cell r="J779">
            <v>0.63</v>
          </cell>
        </row>
        <row r="780">
          <cell r="A780" t="str">
            <v>6262041060</v>
          </cell>
          <cell r="B780">
            <v>62620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6262044870</v>
          </cell>
          <cell r="B781">
            <v>62620</v>
          </cell>
          <cell r="C781">
            <v>44870</v>
          </cell>
          <cell r="D781" t="str">
            <v>Late Fees</v>
          </cell>
          <cell r="E781">
            <v>-469.4</v>
          </cell>
          <cell r="F781">
            <v>0</v>
          </cell>
          <cell r="G781">
            <v>-469.4</v>
          </cell>
          <cell r="H781">
            <v>0</v>
          </cell>
          <cell r="I781">
            <v>-25</v>
          </cell>
          <cell r="J781">
            <v>-444.4</v>
          </cell>
        </row>
        <row r="782">
          <cell r="A782" t="str">
            <v>6262052542</v>
          </cell>
          <cell r="B782">
            <v>62620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6262072710</v>
          </cell>
          <cell r="B783">
            <v>62620</v>
          </cell>
          <cell r="C783">
            <v>72710</v>
          </cell>
          <cell r="D783" t="str">
            <v>Utilities - Electricity</v>
          </cell>
          <cell r="E783">
            <v>15328.16</v>
          </cell>
          <cell r="F783">
            <v>18914</v>
          </cell>
          <cell r="G783">
            <v>-3585.84</v>
          </cell>
          <cell r="H783">
            <v>-0.18959999999999999</v>
          </cell>
          <cell r="I783">
            <v>21818.959999999999</v>
          </cell>
          <cell r="J783">
            <v>-6490.8</v>
          </cell>
        </row>
        <row r="784">
          <cell r="A784" t="str">
            <v>6262072740</v>
          </cell>
          <cell r="B784">
            <v>62620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6262072770</v>
          </cell>
          <cell r="B785">
            <v>62620</v>
          </cell>
          <cell r="C785">
            <v>72770</v>
          </cell>
          <cell r="D785" t="str">
            <v>Utilities - Water</v>
          </cell>
          <cell r="E785">
            <v>3720.51</v>
          </cell>
          <cell r="F785">
            <v>2569</v>
          </cell>
          <cell r="G785">
            <v>1151.51</v>
          </cell>
          <cell r="H785">
            <v>0.44819999999999999</v>
          </cell>
          <cell r="I785">
            <v>3549.03</v>
          </cell>
          <cell r="J785">
            <v>171.48</v>
          </cell>
        </row>
        <row r="786">
          <cell r="A786" t="str">
            <v>6262076000</v>
          </cell>
          <cell r="B786">
            <v>62620</v>
          </cell>
          <cell r="C786">
            <v>76000</v>
          </cell>
          <cell r="D786" t="str">
            <v>Bldg Maintenance &amp; Repair</v>
          </cell>
          <cell r="E786">
            <v>20301.43</v>
          </cell>
          <cell r="F786">
            <v>31213.75</v>
          </cell>
          <cell r="G786">
            <v>-10912.32</v>
          </cell>
          <cell r="H786">
            <v>-0.34960000000000002</v>
          </cell>
          <cell r="I786">
            <v>34001.94</v>
          </cell>
          <cell r="J786">
            <v>-13700.51</v>
          </cell>
        </row>
        <row r="787">
          <cell r="A787" t="str">
            <v>6262076020</v>
          </cell>
          <cell r="B787">
            <v>62620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6262076034</v>
          </cell>
          <cell r="B788">
            <v>62620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6262076050</v>
          </cell>
          <cell r="B789">
            <v>62620</v>
          </cell>
          <cell r="C789">
            <v>76050</v>
          </cell>
          <cell r="D789" t="str">
            <v>Cleaning Expense</v>
          </cell>
          <cell r="E789">
            <v>17921.349999999999</v>
          </cell>
          <cell r="F789">
            <v>15631</v>
          </cell>
          <cell r="G789">
            <v>2290.35</v>
          </cell>
          <cell r="H789">
            <v>0.14649999999999999</v>
          </cell>
          <cell r="I789">
            <v>17701.349999999999</v>
          </cell>
          <cell r="J789">
            <v>220</v>
          </cell>
        </row>
        <row r="790">
          <cell r="A790" t="str">
            <v>6262076056</v>
          </cell>
          <cell r="B790">
            <v>62620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6262076070</v>
          </cell>
          <cell r="B791">
            <v>62620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6262076091</v>
          </cell>
          <cell r="B792">
            <v>62620</v>
          </cell>
          <cell r="C792">
            <v>76091</v>
          </cell>
          <cell r="D792" t="str">
            <v>Parking Maintenance</v>
          </cell>
          <cell r="E792">
            <v>10833</v>
          </cell>
          <cell r="F792">
            <v>16486</v>
          </cell>
          <cell r="G792">
            <v>-5653</v>
          </cell>
          <cell r="H792">
            <v>-0.34289999999999998</v>
          </cell>
          <cell r="I792">
            <v>10793</v>
          </cell>
          <cell r="J792">
            <v>40</v>
          </cell>
        </row>
        <row r="793">
          <cell r="A793" t="str">
            <v>6262077000</v>
          </cell>
          <cell r="B793">
            <v>62620</v>
          </cell>
          <cell r="C793">
            <v>77000</v>
          </cell>
          <cell r="D793" t="str">
            <v>Grounds Maintenance</v>
          </cell>
          <cell r="E793">
            <v>18758.55</v>
          </cell>
          <cell r="F793">
            <v>16325.94</v>
          </cell>
          <cell r="G793">
            <v>2432.61</v>
          </cell>
          <cell r="H793">
            <v>0.14899999999999999</v>
          </cell>
          <cell r="I793">
            <v>13151.42</v>
          </cell>
          <cell r="J793">
            <v>5607.13</v>
          </cell>
        </row>
        <row r="794">
          <cell r="A794" t="str">
            <v>6262077053</v>
          </cell>
          <cell r="B794">
            <v>62620</v>
          </cell>
          <cell r="C794">
            <v>77053</v>
          </cell>
          <cell r="D794" t="str">
            <v>Landscaping</v>
          </cell>
          <cell r="E794">
            <v>21387.5</v>
          </cell>
          <cell r="F794">
            <v>33035</v>
          </cell>
          <cell r="G794">
            <v>-11647.5</v>
          </cell>
          <cell r="H794">
            <v>-0.35260000000000002</v>
          </cell>
          <cell r="I794">
            <v>11572.5</v>
          </cell>
          <cell r="J794">
            <v>9815</v>
          </cell>
        </row>
        <row r="795">
          <cell r="A795" t="str">
            <v>6262078020</v>
          </cell>
          <cell r="B795">
            <v>62620</v>
          </cell>
          <cell r="C795">
            <v>78020</v>
          </cell>
          <cell r="D795" t="str">
            <v>Amortized CAM Exp</v>
          </cell>
          <cell r="E795">
            <v>0</v>
          </cell>
          <cell r="F795">
            <v>9722.44</v>
          </cell>
          <cell r="G795">
            <v>-9722.44</v>
          </cell>
          <cell r="H795">
            <v>0</v>
          </cell>
          <cell r="I795">
            <v>4166.76</v>
          </cell>
          <cell r="J795">
            <v>-4166.76</v>
          </cell>
        </row>
        <row r="796">
          <cell r="A796" t="str">
            <v>6262084264</v>
          </cell>
          <cell r="B796">
            <v>62620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6262085555</v>
          </cell>
          <cell r="B797">
            <v>62620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6262085584</v>
          </cell>
          <cell r="B798">
            <v>62620</v>
          </cell>
          <cell r="C798">
            <v>85584</v>
          </cell>
          <cell r="D798" t="str">
            <v>Bldg Admin-Office Costs</v>
          </cell>
          <cell r="E798">
            <v>809.78</v>
          </cell>
          <cell r="F798">
            <v>812</v>
          </cell>
          <cell r="G798">
            <v>-2.2200000000000299</v>
          </cell>
          <cell r="H798">
            <v>-2.7000000000000001E-3</v>
          </cell>
          <cell r="I798">
            <v>838.39</v>
          </cell>
          <cell r="J798">
            <v>-28.61</v>
          </cell>
        </row>
        <row r="799">
          <cell r="A799" t="str">
            <v>6262085582</v>
          </cell>
          <cell r="B799">
            <v>62620</v>
          </cell>
          <cell r="C799">
            <v>85582</v>
          </cell>
          <cell r="D799" t="str">
            <v>Bldg Admin-Salaries</v>
          </cell>
          <cell r="E799">
            <v>5410.34</v>
          </cell>
          <cell r="F799">
            <v>5450.69</v>
          </cell>
          <cell r="G799">
            <v>-40.349999999999497</v>
          </cell>
          <cell r="H799">
            <v>-7.4000000000000003E-3</v>
          </cell>
          <cell r="I799">
            <v>5502.24</v>
          </cell>
          <cell r="J799">
            <v>-91.899999999999594</v>
          </cell>
        </row>
        <row r="800">
          <cell r="A800" t="str">
            <v>6262086564</v>
          </cell>
          <cell r="B800">
            <v>62620</v>
          </cell>
          <cell r="C800">
            <v>86564</v>
          </cell>
          <cell r="D800" t="str">
            <v>Insurance</v>
          </cell>
          <cell r="E800">
            <v>4167.8599999999997</v>
          </cell>
          <cell r="F800">
            <v>5908</v>
          </cell>
          <cell r="G800">
            <v>-1740.14</v>
          </cell>
          <cell r="H800">
            <v>-0.29449999999999998</v>
          </cell>
          <cell r="I800">
            <v>3483.77</v>
          </cell>
          <cell r="J800">
            <v>684.09</v>
          </cell>
        </row>
        <row r="801">
          <cell r="A801" t="str">
            <v>6262088846</v>
          </cell>
          <cell r="B801">
            <v>62620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6262088890</v>
          </cell>
          <cell r="B802">
            <v>62620</v>
          </cell>
          <cell r="C802">
            <v>88890</v>
          </cell>
          <cell r="D802" t="str">
            <v>Security/Safety</v>
          </cell>
          <cell r="E802">
            <v>2748.74</v>
          </cell>
          <cell r="F802">
            <v>3380</v>
          </cell>
          <cell r="G802">
            <v>-631.26</v>
          </cell>
          <cell r="H802">
            <v>-0.18679999999999999</v>
          </cell>
          <cell r="I802">
            <v>2849.19</v>
          </cell>
          <cell r="J802">
            <v>-100.45</v>
          </cell>
        </row>
        <row r="803">
          <cell r="A803" t="str">
            <v>6262089775</v>
          </cell>
          <cell r="B803">
            <v>62620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6262089729</v>
          </cell>
          <cell r="B804">
            <v>62620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6262089786</v>
          </cell>
          <cell r="B805">
            <v>62620</v>
          </cell>
          <cell r="C805">
            <v>89786</v>
          </cell>
          <cell r="D805" t="str">
            <v>Property Tax Exp</v>
          </cell>
          <cell r="E805">
            <v>31439</v>
          </cell>
          <cell r="F805">
            <v>31200.75</v>
          </cell>
          <cell r="G805">
            <v>238.25</v>
          </cell>
          <cell r="H805">
            <v>7.6E-3</v>
          </cell>
          <cell r="I805">
            <v>31473.52</v>
          </cell>
          <cell r="J805">
            <v>-34.520000000000401</v>
          </cell>
        </row>
        <row r="806">
          <cell r="A806" t="str">
            <v>6262071040</v>
          </cell>
          <cell r="B806">
            <v>62620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6262072701</v>
          </cell>
          <cell r="B807">
            <v>62620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6262072855</v>
          </cell>
          <cell r="B808">
            <v>62620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</row>
        <row r="809">
          <cell r="A809" t="str">
            <v>6262072870</v>
          </cell>
          <cell r="B809">
            <v>62620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6262076010</v>
          </cell>
          <cell r="B810">
            <v>62620</v>
          </cell>
          <cell r="C810">
            <v>76010</v>
          </cell>
          <cell r="D810" t="str">
            <v>Tenant Alterations</v>
          </cell>
          <cell r="E810">
            <v>0</v>
          </cell>
          <cell r="F810">
            <v>3500</v>
          </cell>
          <cell r="G810">
            <v>-3500</v>
          </cell>
          <cell r="H810">
            <v>0</v>
          </cell>
          <cell r="I810">
            <v>1000</v>
          </cell>
          <cell r="J810">
            <v>-1000</v>
          </cell>
        </row>
        <row r="811">
          <cell r="A811" t="str">
            <v>6262076040</v>
          </cell>
          <cell r="B811">
            <v>62620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6262076051</v>
          </cell>
          <cell r="B812">
            <v>62620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6262076054</v>
          </cell>
          <cell r="B813">
            <v>62620</v>
          </cell>
          <cell r="C813">
            <v>76054</v>
          </cell>
          <cell r="D813" t="str">
            <v>Bldg Maintenance &amp; Repair</v>
          </cell>
          <cell r="E813">
            <v>2580.44</v>
          </cell>
          <cell r="F813">
            <v>5750</v>
          </cell>
          <cell r="G813">
            <v>-3169.56</v>
          </cell>
          <cell r="H813">
            <v>-0.55120000000000002</v>
          </cell>
          <cell r="I813">
            <v>1796.96</v>
          </cell>
          <cell r="J813">
            <v>783.48</v>
          </cell>
        </row>
        <row r="814">
          <cell r="A814" t="str">
            <v>6262076060</v>
          </cell>
          <cell r="B814">
            <v>62620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6262076071</v>
          </cell>
          <cell r="B815">
            <v>62620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50000</v>
          </cell>
          <cell r="G815">
            <v>-50000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6262076090</v>
          </cell>
          <cell r="B816">
            <v>62620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6262077001</v>
          </cell>
          <cell r="B817">
            <v>62620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6262077022</v>
          </cell>
          <cell r="B818">
            <v>62620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6262084200</v>
          </cell>
          <cell r="B819">
            <v>62620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6262084240</v>
          </cell>
          <cell r="B820">
            <v>62620</v>
          </cell>
          <cell r="C820">
            <v>84240</v>
          </cell>
          <cell r="D820" t="str">
            <v>Marketing Leasing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6262084242</v>
          </cell>
          <cell r="B821">
            <v>62620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6262084243</v>
          </cell>
          <cell r="B822">
            <v>62620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6262084244</v>
          </cell>
          <cell r="B823">
            <v>62620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6262084265</v>
          </cell>
          <cell r="B824">
            <v>62620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6262088037</v>
          </cell>
          <cell r="B825">
            <v>62620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6262085016</v>
          </cell>
          <cell r="B826">
            <v>62620</v>
          </cell>
          <cell r="C826">
            <v>85016</v>
          </cell>
          <cell r="D826" t="str">
            <v>Prof Svc-Attorney Outside</v>
          </cell>
          <cell r="E826">
            <v>0</v>
          </cell>
          <cell r="F826">
            <v>1500</v>
          </cell>
          <cell r="G826">
            <v>-1500</v>
          </cell>
          <cell r="H826">
            <v>0</v>
          </cell>
          <cell r="I826">
            <v>0</v>
          </cell>
          <cell r="J826">
            <v>0</v>
          </cell>
        </row>
        <row r="827">
          <cell r="A827" t="str">
            <v>6262085022</v>
          </cell>
          <cell r="B827">
            <v>62620</v>
          </cell>
          <cell r="C827">
            <v>85022</v>
          </cell>
          <cell r="D827" t="str">
            <v>Prof Svc-Audit/Acctng</v>
          </cell>
          <cell r="E827">
            <v>-675</v>
          </cell>
          <cell r="F827">
            <v>350</v>
          </cell>
          <cell r="G827">
            <v>-1025</v>
          </cell>
          <cell r="H827">
            <v>-2.9285999999999999</v>
          </cell>
          <cell r="I827">
            <v>1500</v>
          </cell>
          <cell r="J827">
            <v>-2175</v>
          </cell>
        </row>
        <row r="828">
          <cell r="A828" t="str">
            <v>6262085065</v>
          </cell>
          <cell r="B828">
            <v>62620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6262085500</v>
          </cell>
          <cell r="B829">
            <v>62620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1500</v>
          </cell>
          <cell r="G829">
            <v>-1500</v>
          </cell>
          <cell r="H829">
            <v>0</v>
          </cell>
          <cell r="I829">
            <v>1500</v>
          </cell>
          <cell r="J829">
            <v>-1500</v>
          </cell>
        </row>
        <row r="830">
          <cell r="A830" t="str">
            <v>6262085566</v>
          </cell>
          <cell r="B830">
            <v>62620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6262085581</v>
          </cell>
          <cell r="B831">
            <v>62620</v>
          </cell>
          <cell r="C831">
            <v>85581</v>
          </cell>
          <cell r="D831" t="str">
            <v>Bldg Admin- Salaries</v>
          </cell>
          <cell r="E831">
            <v>3023.33</v>
          </cell>
          <cell r="F831">
            <v>3257.94</v>
          </cell>
          <cell r="G831">
            <v>-234.61</v>
          </cell>
          <cell r="H831">
            <v>-7.1999999999999995E-2</v>
          </cell>
          <cell r="I831">
            <v>3104.3</v>
          </cell>
          <cell r="J831">
            <v>-80.970000000000297</v>
          </cell>
        </row>
        <row r="832">
          <cell r="A832" t="str">
            <v>6262085583</v>
          </cell>
          <cell r="B832">
            <v>62620</v>
          </cell>
          <cell r="C832">
            <v>85583</v>
          </cell>
          <cell r="D832" t="str">
            <v>Bldg Admin-Office Exp.</v>
          </cell>
          <cell r="E832">
            <v>692.86</v>
          </cell>
          <cell r="F832">
            <v>472.5</v>
          </cell>
          <cell r="G832">
            <v>220.36</v>
          </cell>
          <cell r="H832">
            <v>0.46639999999999998</v>
          </cell>
          <cell r="I832">
            <v>671.7</v>
          </cell>
          <cell r="J832">
            <v>21.16</v>
          </cell>
        </row>
        <row r="833">
          <cell r="A833" t="str">
            <v>6262085530</v>
          </cell>
          <cell r="B833">
            <v>62620</v>
          </cell>
          <cell r="C833">
            <v>85530</v>
          </cell>
          <cell r="D833" t="str">
            <v>Bldg Admin - Office Exp</v>
          </cell>
          <cell r="E833">
            <v>692.86</v>
          </cell>
          <cell r="F833">
            <v>472.5</v>
          </cell>
          <cell r="G833">
            <v>220.36</v>
          </cell>
          <cell r="H833">
            <v>0.46639999999999998</v>
          </cell>
          <cell r="I833">
            <v>671.7</v>
          </cell>
          <cell r="J833">
            <v>21.16</v>
          </cell>
        </row>
        <row r="834">
          <cell r="A834" t="str">
            <v>6262086012</v>
          </cell>
          <cell r="B834">
            <v>62620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6262086037</v>
          </cell>
          <cell r="B835">
            <v>62620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6262083050</v>
          </cell>
          <cell r="B836">
            <v>62620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6262086510</v>
          </cell>
          <cell r="B837">
            <v>62620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6262086537</v>
          </cell>
          <cell r="B838">
            <v>62620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6262086566</v>
          </cell>
          <cell r="B839">
            <v>62620</v>
          </cell>
          <cell r="C839">
            <v>86566</v>
          </cell>
          <cell r="D839" t="str">
            <v>Insurance</v>
          </cell>
          <cell r="E839">
            <v>548.15</v>
          </cell>
          <cell r="F839">
            <v>0</v>
          </cell>
          <cell r="G839">
            <v>548.15</v>
          </cell>
          <cell r="H839">
            <v>0</v>
          </cell>
          <cell r="I839">
            <v>548.15</v>
          </cell>
          <cell r="J839">
            <v>0</v>
          </cell>
        </row>
        <row r="840">
          <cell r="A840" t="str">
            <v>6262086955</v>
          </cell>
          <cell r="B840">
            <v>62620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6262086985</v>
          </cell>
          <cell r="B841">
            <v>62620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6262086880</v>
          </cell>
          <cell r="B842">
            <v>62620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6262088710</v>
          </cell>
          <cell r="B843">
            <v>62620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6262088711</v>
          </cell>
          <cell r="B844">
            <v>62620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6262088785</v>
          </cell>
          <cell r="B845">
            <v>62620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6262088847</v>
          </cell>
          <cell r="B846">
            <v>62620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6262088866</v>
          </cell>
          <cell r="B847">
            <v>62620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6262088870</v>
          </cell>
          <cell r="B848">
            <v>62620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6262088889</v>
          </cell>
          <cell r="B849">
            <v>62620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6262089776</v>
          </cell>
          <cell r="B850">
            <v>62620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6262089787</v>
          </cell>
          <cell r="B851">
            <v>62620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6262089510</v>
          </cell>
          <cell r="B852">
            <v>62620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6262089511</v>
          </cell>
          <cell r="B853">
            <v>62620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6262089512</v>
          </cell>
          <cell r="B854">
            <v>62620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6262089528</v>
          </cell>
          <cell r="B855">
            <v>62620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6262089529</v>
          </cell>
          <cell r="B856">
            <v>62620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6262089567</v>
          </cell>
          <cell r="B857">
            <v>62620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6262085058</v>
          </cell>
          <cell r="B858">
            <v>62620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6262086513</v>
          </cell>
          <cell r="B859">
            <v>62620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294.95999999999998</v>
          </cell>
          <cell r="G859">
            <v>-294.95999999999998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6262086519</v>
          </cell>
          <cell r="B860">
            <v>62620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6262088770</v>
          </cell>
          <cell r="B861">
            <v>62620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6262088862</v>
          </cell>
          <cell r="B862">
            <v>62620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6262088874</v>
          </cell>
          <cell r="B863">
            <v>62620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6262089910</v>
          </cell>
          <cell r="B864">
            <v>62620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8742.5300000000007</v>
          </cell>
          <cell r="G864">
            <v>-8742.5300000000007</v>
          </cell>
          <cell r="H864">
            <v>0</v>
          </cell>
          <cell r="I864">
            <v>7924.74</v>
          </cell>
          <cell r="J864">
            <v>-7924.74</v>
          </cell>
        </row>
        <row r="865">
          <cell r="A865" t="str">
            <v>6262089548</v>
          </cell>
          <cell r="B865">
            <v>62620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ain"/>
      <sheetName val="Cost Center List"/>
      <sheetName val="Chart of Accounts"/>
      <sheetName val="Data"/>
      <sheetName val="Config"/>
    </sheetNames>
    <sheetDataSet>
      <sheetData sheetId="0">
        <row r="4">
          <cell r="N4">
            <v>2007</v>
          </cell>
        </row>
        <row r="6">
          <cell r="N6">
            <v>2008</v>
          </cell>
        </row>
        <row r="13">
          <cell r="N13" t="str">
            <v>B2008</v>
          </cell>
        </row>
        <row r="15">
          <cell r="N15" t="str">
            <v>Crystal Cove</v>
          </cell>
        </row>
        <row r="20">
          <cell r="U20" t="str">
            <v>Data!$T$1:$T$91</v>
          </cell>
        </row>
        <row r="23">
          <cell r="U23" t="str">
            <v>Data!$AB$1:$AB$91</v>
          </cell>
        </row>
        <row r="30">
          <cell r="U30" t="str">
            <v>Data!$C$1:$C$91</v>
          </cell>
        </row>
        <row r="33">
          <cell r="U33" t="str">
            <v>Data!$D$1:$D$91</v>
          </cell>
        </row>
        <row r="36">
          <cell r="U36" t="str">
            <v>Data!$B$1:$B$91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ain"/>
      <sheetName val="Cost Center List"/>
      <sheetName val="Chart of Accounts"/>
      <sheetName val="Data"/>
      <sheetName val="Config"/>
    </sheetNames>
    <sheetDataSet>
      <sheetData sheetId="0" refreshError="1">
        <row r="4">
          <cell r="N4">
            <v>2007</v>
          </cell>
        </row>
        <row r="6">
          <cell r="N6">
            <v>2008</v>
          </cell>
        </row>
        <row r="13">
          <cell r="N13" t="str">
            <v>B2008</v>
          </cell>
        </row>
        <row r="15">
          <cell r="N15" t="str">
            <v>Alton Square</v>
          </cell>
        </row>
        <row r="20">
          <cell r="U20" t="str">
            <v>Data!$T$1:$T$93</v>
          </cell>
        </row>
        <row r="23">
          <cell r="U23" t="str">
            <v>Data!$AB$1:$AB$93</v>
          </cell>
        </row>
        <row r="30">
          <cell r="U30" t="str">
            <v>Data!$C$1:$C$93</v>
          </cell>
        </row>
        <row r="33">
          <cell r="U33" t="str">
            <v>Data!$D$1:$D$93</v>
          </cell>
        </row>
        <row r="36">
          <cell r="U36" t="str">
            <v>Data!$B$1:$B$93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ain"/>
      <sheetName val="Cost Center List"/>
      <sheetName val="Chart of Accounts"/>
      <sheetName val="Data"/>
      <sheetName val="Config"/>
    </sheetNames>
    <sheetDataSet>
      <sheetData sheetId="0">
        <row r="4">
          <cell r="N4">
            <v>2006</v>
          </cell>
        </row>
        <row r="6">
          <cell r="N6">
            <v>2007</v>
          </cell>
        </row>
        <row r="13">
          <cell r="N13" t="str">
            <v>B2007</v>
          </cell>
        </row>
        <row r="15">
          <cell r="N15" t="str">
            <v>Bayside Center</v>
          </cell>
        </row>
        <row r="20">
          <cell r="U20" t="str">
            <v>Data!$AB$1:$AB$133</v>
          </cell>
        </row>
        <row r="23">
          <cell r="U23" t="str">
            <v>Data!$AB$1:$AB$133</v>
          </cell>
        </row>
        <row r="30">
          <cell r="U30" t="str">
            <v>Data!$C$1:$C$133</v>
          </cell>
        </row>
        <row r="33">
          <cell r="U33" t="str">
            <v>Data!$D$1:$D$133</v>
          </cell>
        </row>
        <row r="36">
          <cell r="U36" t="str">
            <v>Data!$B$1:$B$133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XXXX"/>
      <sheetName val="Review Comments"/>
      <sheetName val="Min Rent Plan"/>
      <sheetName val="Min Rent Forecast"/>
      <sheetName val="Inline Rates"/>
      <sheetName val="Stats Page"/>
      <sheetName val="MRI Data"/>
      <sheetName val="Statistical Data"/>
      <sheetName val="MR-Stat Data Sheet Bud"/>
      <sheetName val="Min Rent Bud"/>
      <sheetName val="Stats Page Bud"/>
      <sheetName val="PCR"/>
      <sheetName val="12020"/>
      <sheetName val="12410"/>
      <sheetName val="Assets"/>
      <sheetName val="13000"/>
      <sheetName val="1800830"/>
      <sheetName val="Insurance"/>
      <sheetName val="Tax"/>
      <sheetName val="15656-9000"/>
      <sheetName val="Awning  Amort"/>
      <sheetName val="Prkg Lot Amort"/>
      <sheetName val="Building"/>
      <sheetName val="15010"/>
      <sheetName val="15100"/>
      <sheetName val="15500"/>
      <sheetName val="16500"/>
      <sheetName val="Other Assets"/>
      <sheetName val="17910"/>
      <sheetName val="WIP"/>
      <sheetName val="25300"/>
      <sheetName val="1502880 Suspense"/>
      <sheetName val="20100"/>
      <sheetName val="26400-26700"/>
      <sheetName val="Owners Dist"/>
      <sheetName val="Owners Cont"/>
      <sheetName val="Capital Act"/>
      <sheetName val="Cash Income"/>
      <sheetName val="Notes"/>
      <sheetName val="4000362"/>
      <sheetName val="Vari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2">
          <cell r="A12" t="str">
            <v>Inline Rate</v>
          </cell>
          <cell r="B12" t="str">
            <v>Plan</v>
          </cell>
          <cell r="C12">
            <v>59.00879443882063</v>
          </cell>
          <cell r="D12">
            <v>59.00879443882063</v>
          </cell>
          <cell r="E12">
            <v>59.260967345030743</v>
          </cell>
          <cell r="F12">
            <v>59.260967345030743</v>
          </cell>
          <cell r="G12">
            <v>59.260967345030743</v>
          </cell>
          <cell r="H12">
            <v>58.967146529142177</v>
          </cell>
          <cell r="I12">
            <v>58.967146529142177</v>
          </cell>
          <cell r="J12">
            <v>58.967146529142177</v>
          </cell>
          <cell r="K12">
            <v>58.967146529142177</v>
          </cell>
          <cell r="L12">
            <v>58.967146529142177</v>
          </cell>
          <cell r="M12">
            <v>58.967146529142177</v>
          </cell>
          <cell r="N12">
            <v>59.5926026598272</v>
          </cell>
          <cell r="O12">
            <v>59.00879443882063</v>
          </cell>
          <cell r="P12">
            <v>59.00879443882063</v>
          </cell>
          <cell r="Q12">
            <v>59.092852074224012</v>
          </cell>
          <cell r="R12">
            <v>59.13488089192569</v>
          </cell>
          <cell r="S12">
            <v>59.160098182546697</v>
          </cell>
          <cell r="T12">
            <v>59.12490778621391</v>
          </cell>
          <cell r="U12">
            <v>59.100573468324207</v>
          </cell>
          <cell r="V12">
            <v>59.082742977090184</v>
          </cell>
          <cell r="W12">
            <v>59.069116265026175</v>
          </cell>
          <cell r="X12">
            <v>59.058363453920144</v>
          </cell>
          <cell r="Y12">
            <v>59.049662103675651</v>
          </cell>
          <cell r="Z12">
            <v>59.096943904126562</v>
          </cell>
        </row>
        <row r="14">
          <cell r="A14" t="str">
            <v>Inline Rate</v>
          </cell>
          <cell r="B14" t="str">
            <v>Forecast</v>
          </cell>
          <cell r="C14">
            <v>52.953899999999997</v>
          </cell>
          <cell r="D14">
            <v>52.953899999999997</v>
          </cell>
          <cell r="E14">
            <v>53.171900000000001</v>
          </cell>
          <cell r="F14">
            <v>53.171900000000001</v>
          </cell>
          <cell r="G14">
            <v>49.305900000000001</v>
          </cell>
          <cell r="H14">
            <v>48.775399999999998</v>
          </cell>
          <cell r="I14">
            <v>54.219200000000001</v>
          </cell>
          <cell r="J14">
            <v>54.219200000000001</v>
          </cell>
          <cell r="K14">
            <v>54.219200000000001</v>
          </cell>
          <cell r="L14">
            <v>54.219200000000001</v>
          </cell>
          <cell r="M14">
            <v>53.384700000000002</v>
          </cell>
          <cell r="N14">
            <v>53.932299999999998</v>
          </cell>
          <cell r="O14">
            <v>52.953899999999997</v>
          </cell>
          <cell r="P14">
            <v>52.953899999999997</v>
          </cell>
          <cell r="Q14">
            <v>53.026499999999999</v>
          </cell>
          <cell r="R14">
            <v>53.062899999999999</v>
          </cell>
          <cell r="S14">
            <v>49.667400000000001</v>
          </cell>
          <cell r="T14">
            <v>51.943899999999999</v>
          </cell>
          <cell r="U14">
            <v>52.268999999999998</v>
          </cell>
          <cell r="V14">
            <v>52.512799999999999</v>
          </cell>
          <cell r="W14">
            <v>52.702399999999997</v>
          </cell>
          <cell r="X14">
            <v>52.853999999999999</v>
          </cell>
          <cell r="Y14">
            <v>52.906599999999997</v>
          </cell>
          <cell r="Z14">
            <v>52.999099999999999</v>
          </cell>
        </row>
        <row r="16">
          <cell r="A16" t="str">
            <v>Inline Rate</v>
          </cell>
          <cell r="B16" t="str">
            <v>Prior Year</v>
          </cell>
          <cell r="C16">
            <v>53.401629450814724</v>
          </cell>
          <cell r="D16">
            <v>53.401629450814724</v>
          </cell>
          <cell r="E16">
            <v>54.092335546167774</v>
          </cell>
          <cell r="F16">
            <v>54.092335546167774</v>
          </cell>
          <cell r="G16">
            <v>54.092335546167774</v>
          </cell>
          <cell r="H16">
            <v>54.216354858177432</v>
          </cell>
          <cell r="I16">
            <v>54.422030524220304</v>
          </cell>
          <cell r="J16">
            <v>52.00331785003317</v>
          </cell>
          <cell r="K16">
            <v>51.357332448573317</v>
          </cell>
          <cell r="L16">
            <v>52.835434638354343</v>
          </cell>
          <cell r="M16">
            <v>52.00331785003317</v>
          </cell>
          <cell r="N16">
            <v>50.123092236230924</v>
          </cell>
          <cell r="O16">
            <v>53.401629450814724</v>
          </cell>
          <cell r="P16">
            <v>53.401629450814724</v>
          </cell>
          <cell r="Q16">
            <v>53.63186481593241</v>
          </cell>
          <cell r="R16">
            <v>53.746982498491249</v>
          </cell>
          <cell r="S16">
            <v>53.816053108026551</v>
          </cell>
          <cell r="T16">
            <v>53.882770066385035</v>
          </cell>
          <cell r="U16">
            <v>53.953751419337934</v>
          </cell>
          <cell r="V16">
            <v>53.445546464958326</v>
          </cell>
          <cell r="W16">
            <v>52.859883841526653</v>
          </cell>
          <cell r="X16">
            <v>52.857576706324359</v>
          </cell>
          <cell r="Y16">
            <v>52.783916003890823</v>
          </cell>
          <cell r="Z16">
            <v>52.377133375474088</v>
          </cell>
        </row>
        <row r="18">
          <cell r="A18" t="str">
            <v>Inline Occupancy</v>
          </cell>
          <cell r="B18" t="str">
            <v>Plan</v>
          </cell>
          <cell r="C18">
            <v>0.78508939348219675</v>
          </cell>
          <cell r="D18">
            <v>0.78508939348219675</v>
          </cell>
          <cell r="E18">
            <v>0.78508939348219675</v>
          </cell>
          <cell r="F18">
            <v>0.78508939348219675</v>
          </cell>
          <cell r="G18">
            <v>0.78508939348219675</v>
          </cell>
          <cell r="H18">
            <v>0.87561443874471945</v>
          </cell>
          <cell r="I18">
            <v>0.87561443874471945</v>
          </cell>
          <cell r="J18">
            <v>0.87561443874471945</v>
          </cell>
          <cell r="K18">
            <v>0.87561443874471945</v>
          </cell>
          <cell r="L18">
            <v>0.87561443874471945</v>
          </cell>
          <cell r="M18">
            <v>0.87561443874471945</v>
          </cell>
          <cell r="N18">
            <v>0.87561443874471945</v>
          </cell>
          <cell r="O18">
            <v>0.78508939348219675</v>
          </cell>
          <cell r="P18">
            <v>0.78508939348219675</v>
          </cell>
          <cell r="Q18">
            <v>0.78508939348219675</v>
          </cell>
          <cell r="R18">
            <v>0.78508939348219675</v>
          </cell>
          <cell r="S18">
            <v>0.78508939348219686</v>
          </cell>
          <cell r="T18">
            <v>0.80017690102595063</v>
          </cell>
          <cell r="U18">
            <v>0.81095369212863189</v>
          </cell>
          <cell r="V18">
            <v>0.81903628545564289</v>
          </cell>
          <cell r="W18">
            <v>0.82532274693220697</v>
          </cell>
          <cell r="X18">
            <v>0.83035191611345827</v>
          </cell>
          <cell r="Y18">
            <v>0.83446669089811842</v>
          </cell>
          <cell r="Z18">
            <v>0.83789566988533504</v>
          </cell>
        </row>
        <row r="20">
          <cell r="A20" t="str">
            <v>Inline Occupancy</v>
          </cell>
          <cell r="B20" t="str">
            <v>Forecast</v>
          </cell>
          <cell r="C20">
            <v>0.90900000000000003</v>
          </cell>
          <cell r="D20">
            <v>0.90900000000000003</v>
          </cell>
          <cell r="E20">
            <v>0.90900000000000003</v>
          </cell>
          <cell r="F20">
            <v>0.90900000000000003</v>
          </cell>
          <cell r="G20">
            <v>0.90900000000000003</v>
          </cell>
          <cell r="H20">
            <v>0.90900000000000003</v>
          </cell>
          <cell r="I20">
            <v>0.90900000000000003</v>
          </cell>
          <cell r="J20">
            <v>0.90900000000000003</v>
          </cell>
          <cell r="K20">
            <v>0.90900000000000003</v>
          </cell>
          <cell r="L20">
            <v>0.90900000000000003</v>
          </cell>
          <cell r="M20">
            <v>1</v>
          </cell>
          <cell r="N20">
            <v>1</v>
          </cell>
          <cell r="O20">
            <v>0.90900000000000003</v>
          </cell>
          <cell r="P20">
            <v>0.90900000000000003</v>
          </cell>
          <cell r="Q20">
            <v>0.90900000000000003</v>
          </cell>
          <cell r="R20">
            <v>0.90900000000000003</v>
          </cell>
          <cell r="S20">
            <v>0.90900000000000003</v>
          </cell>
          <cell r="T20">
            <v>0.90900000000000003</v>
          </cell>
          <cell r="U20">
            <v>0.90900000000000003</v>
          </cell>
          <cell r="V20">
            <v>0.90900000000000003</v>
          </cell>
          <cell r="W20">
            <v>0.90900000000000003</v>
          </cell>
          <cell r="X20">
            <v>0.90900000000000003</v>
          </cell>
          <cell r="Y20">
            <v>0.91800000000000004</v>
          </cell>
          <cell r="Z20">
            <v>0.92500000000000004</v>
          </cell>
        </row>
        <row r="22">
          <cell r="A22" t="str">
            <v>Overall Occupancy</v>
          </cell>
          <cell r="B22" t="str">
            <v>Plan</v>
          </cell>
          <cell r="C22">
            <v>0.95573081286031725</v>
          </cell>
          <cell r="D22">
            <v>0.95573081286031725</v>
          </cell>
          <cell r="E22">
            <v>0.95573081286031725</v>
          </cell>
          <cell r="F22">
            <v>0.95573081286031725</v>
          </cell>
          <cell r="G22">
            <v>0.95573081286031725</v>
          </cell>
          <cell r="H22">
            <v>0.97437796217736539</v>
          </cell>
          <cell r="I22">
            <v>0.97437796217736539</v>
          </cell>
          <cell r="J22">
            <v>0.97437796217736539</v>
          </cell>
          <cell r="K22">
            <v>0.97437796217736539</v>
          </cell>
          <cell r="L22">
            <v>0.97437796217736539</v>
          </cell>
          <cell r="M22">
            <v>0.97437796217736539</v>
          </cell>
          <cell r="N22">
            <v>0.97437796217736539</v>
          </cell>
          <cell r="O22">
            <v>0.95573081286031725</v>
          </cell>
          <cell r="P22">
            <v>0.95573081286031725</v>
          </cell>
          <cell r="Q22">
            <v>0.95573081286031725</v>
          </cell>
          <cell r="R22">
            <v>0.95573081286031725</v>
          </cell>
          <cell r="S22">
            <v>0.95573081286031725</v>
          </cell>
          <cell r="T22">
            <v>0.95883867107982534</v>
          </cell>
          <cell r="U22">
            <v>0.96105856980804538</v>
          </cell>
          <cell r="V22">
            <v>0.96272349385421041</v>
          </cell>
          <cell r="W22">
            <v>0.96401843477900551</v>
          </cell>
          <cell r="X22">
            <v>0.96505438751884154</v>
          </cell>
          <cell r="Y22">
            <v>0.96590198521507098</v>
          </cell>
          <cell r="Z22">
            <v>0.96660831662859559</v>
          </cell>
        </row>
        <row r="24">
          <cell r="A24" t="str">
            <v>Overall Occupancy</v>
          </cell>
          <cell r="B24" t="str">
            <v>Forecast</v>
          </cell>
          <cell r="C24">
            <v>0.98099999999999998</v>
          </cell>
          <cell r="D24">
            <v>0.98099999999999998</v>
          </cell>
          <cell r="E24">
            <v>0.98099999999999998</v>
          </cell>
          <cell r="F24">
            <v>0.98099999999999998</v>
          </cell>
          <cell r="G24">
            <v>0.98099999999999998</v>
          </cell>
          <cell r="H24">
            <v>0.98099999999999998</v>
          </cell>
          <cell r="I24">
            <v>0.98099999999999998</v>
          </cell>
          <cell r="J24">
            <v>0.98099999999999998</v>
          </cell>
          <cell r="K24">
            <v>0.98099999999999998</v>
          </cell>
          <cell r="L24">
            <v>0.98099999999999998</v>
          </cell>
          <cell r="M24">
            <v>1</v>
          </cell>
          <cell r="N24">
            <v>1</v>
          </cell>
          <cell r="O24">
            <v>0.98099999999999998</v>
          </cell>
          <cell r="P24">
            <v>0.98099999999999998</v>
          </cell>
          <cell r="Q24">
            <v>0.98099999999999998</v>
          </cell>
          <cell r="R24">
            <v>0.98099999999999998</v>
          </cell>
          <cell r="S24">
            <v>0.98099999999999998</v>
          </cell>
          <cell r="T24">
            <v>0.98099999999999998</v>
          </cell>
          <cell r="U24">
            <v>0.98099999999999998</v>
          </cell>
          <cell r="V24">
            <v>0.98099999999999998</v>
          </cell>
          <cell r="W24">
            <v>0.98099999999999998</v>
          </cell>
          <cell r="X24">
            <v>0.98099999999999998</v>
          </cell>
          <cell r="Y24">
            <v>0.98299999999999998</v>
          </cell>
          <cell r="Z24">
            <v>0.98399999999999999</v>
          </cell>
        </row>
      </sheetData>
      <sheetData sheetId="8">
        <row r="8">
          <cell r="I8" t="str">
            <v>JULY</v>
          </cell>
          <cell r="J8" t="str">
            <v>AUGUST</v>
          </cell>
          <cell r="K8" t="str">
            <v>SEPTEMBER</v>
          </cell>
          <cell r="L8" t="str">
            <v>OCTOBER</v>
          </cell>
          <cell r="M8" t="str">
            <v>NOVEMBER</v>
          </cell>
          <cell r="N8" t="str">
            <v>DECEMBER</v>
          </cell>
          <cell r="O8" t="str">
            <v>JANUARY</v>
          </cell>
          <cell r="P8" t="str">
            <v>FEBRUARY</v>
          </cell>
          <cell r="Q8" t="str">
            <v>MARCH</v>
          </cell>
          <cell r="R8" t="str">
            <v>APRIL</v>
          </cell>
          <cell r="S8" t="str">
            <v>MAY</v>
          </cell>
          <cell r="T8" t="str">
            <v>JUNE</v>
          </cell>
        </row>
        <row r="10">
          <cell r="A10">
            <v>1</v>
          </cell>
          <cell r="B10" t="str">
            <v>Bayside Cleaners</v>
          </cell>
          <cell r="C10">
            <v>32295</v>
          </cell>
          <cell r="D10">
            <v>40694</v>
          </cell>
          <cell r="F10" t="str">
            <v>1056</v>
          </cell>
          <cell r="G10">
            <v>1500</v>
          </cell>
          <cell r="I10">
            <v>1500</v>
          </cell>
          <cell r="J10">
            <v>1500</v>
          </cell>
          <cell r="K10">
            <v>1500</v>
          </cell>
          <cell r="L10">
            <v>1500</v>
          </cell>
          <cell r="M10">
            <v>1500</v>
          </cell>
          <cell r="N10">
            <v>1500</v>
          </cell>
          <cell r="O10">
            <v>1500</v>
          </cell>
          <cell r="P10">
            <v>1500</v>
          </cell>
          <cell r="Q10">
            <v>1500</v>
          </cell>
          <cell r="R10">
            <v>1500</v>
          </cell>
          <cell r="S10">
            <v>1500</v>
          </cell>
          <cell r="T10">
            <v>1500</v>
          </cell>
        </row>
        <row r="11">
          <cell r="A11">
            <v>2</v>
          </cell>
          <cell r="B11" t="str">
            <v>Carol Klein Fine Jewelry 1028</v>
          </cell>
          <cell r="C11">
            <v>35223</v>
          </cell>
          <cell r="D11">
            <v>40724</v>
          </cell>
          <cell r="F11" t="str">
            <v>1028</v>
          </cell>
          <cell r="G11">
            <v>1055</v>
          </cell>
          <cell r="I11">
            <v>1055</v>
          </cell>
          <cell r="J11">
            <v>1055</v>
          </cell>
          <cell r="K11">
            <v>1055</v>
          </cell>
          <cell r="L11">
            <v>1055</v>
          </cell>
          <cell r="M11">
            <v>1055</v>
          </cell>
          <cell r="N11">
            <v>1055</v>
          </cell>
          <cell r="O11">
            <v>1055</v>
          </cell>
          <cell r="P11">
            <v>1055</v>
          </cell>
          <cell r="Q11">
            <v>1055</v>
          </cell>
          <cell r="R11">
            <v>1055</v>
          </cell>
          <cell r="S11">
            <v>1055</v>
          </cell>
          <cell r="T11">
            <v>1055</v>
          </cell>
        </row>
        <row r="12">
          <cell r="A12">
            <v>3</v>
          </cell>
          <cell r="B12" t="str">
            <v>Java City Bakery Café</v>
          </cell>
          <cell r="C12">
            <v>34700</v>
          </cell>
          <cell r="D12">
            <v>39994</v>
          </cell>
          <cell r="F12" t="str">
            <v>1064</v>
          </cell>
          <cell r="G12">
            <v>1320</v>
          </cell>
          <cell r="I12">
            <v>1320</v>
          </cell>
          <cell r="J12">
            <v>1320</v>
          </cell>
          <cell r="K12">
            <v>1320</v>
          </cell>
          <cell r="L12">
            <v>1320</v>
          </cell>
          <cell r="M12">
            <v>1320</v>
          </cell>
          <cell r="N12">
            <v>1320</v>
          </cell>
          <cell r="O12">
            <v>1320</v>
          </cell>
          <cell r="P12">
            <v>1320</v>
          </cell>
          <cell r="Q12">
            <v>1320</v>
          </cell>
          <cell r="R12">
            <v>1320</v>
          </cell>
          <cell r="S12">
            <v>1320</v>
          </cell>
          <cell r="T12">
            <v>1320</v>
          </cell>
        </row>
        <row r="13">
          <cell r="A13">
            <v>4</v>
          </cell>
          <cell r="B13" t="str">
            <v>Just Alterations</v>
          </cell>
          <cell r="C13">
            <v>35217</v>
          </cell>
          <cell r="D13">
            <v>41243</v>
          </cell>
          <cell r="F13" t="str">
            <v>1032A</v>
          </cell>
          <cell r="G13">
            <v>650</v>
          </cell>
          <cell r="I13">
            <v>650</v>
          </cell>
          <cell r="J13">
            <v>650</v>
          </cell>
          <cell r="K13">
            <v>650</v>
          </cell>
          <cell r="L13">
            <v>650</v>
          </cell>
          <cell r="M13">
            <v>650</v>
          </cell>
          <cell r="N13">
            <v>650</v>
          </cell>
          <cell r="O13">
            <v>650</v>
          </cell>
          <cell r="P13">
            <v>650</v>
          </cell>
          <cell r="Q13">
            <v>650</v>
          </cell>
          <cell r="R13">
            <v>650</v>
          </cell>
          <cell r="S13">
            <v>650</v>
          </cell>
          <cell r="T13">
            <v>650</v>
          </cell>
        </row>
        <row r="14">
          <cell r="A14">
            <v>5</v>
          </cell>
          <cell r="B14" t="str">
            <v>Pacific Coast Floral</v>
          </cell>
          <cell r="C14">
            <v>33574</v>
          </cell>
          <cell r="D14">
            <v>39994</v>
          </cell>
          <cell r="F14" t="str">
            <v>1072</v>
          </cell>
          <cell r="G14">
            <v>1080</v>
          </cell>
          <cell r="I14">
            <v>1080</v>
          </cell>
          <cell r="J14">
            <v>1080</v>
          </cell>
          <cell r="K14">
            <v>1080</v>
          </cell>
          <cell r="L14">
            <v>1080</v>
          </cell>
          <cell r="M14">
            <v>1080</v>
          </cell>
          <cell r="N14">
            <v>1080</v>
          </cell>
          <cell r="O14">
            <v>1080</v>
          </cell>
          <cell r="P14">
            <v>1080</v>
          </cell>
          <cell r="Q14">
            <v>1080</v>
          </cell>
          <cell r="R14">
            <v>1080</v>
          </cell>
          <cell r="S14">
            <v>1080</v>
          </cell>
          <cell r="T14">
            <v>1080</v>
          </cell>
        </row>
        <row r="15">
          <cell r="A15">
            <v>6</v>
          </cell>
          <cell r="B15" t="str">
            <v xml:space="preserve">Photo Lab - The </v>
          </cell>
          <cell r="C15">
            <v>35217</v>
          </cell>
          <cell r="D15">
            <v>41060</v>
          </cell>
          <cell r="F15" t="str">
            <v>1048</v>
          </cell>
          <cell r="G15">
            <v>900</v>
          </cell>
          <cell r="I15">
            <v>900</v>
          </cell>
          <cell r="J15">
            <v>900</v>
          </cell>
          <cell r="K15">
            <v>900</v>
          </cell>
          <cell r="L15">
            <v>900</v>
          </cell>
          <cell r="M15">
            <v>900</v>
          </cell>
          <cell r="N15">
            <v>900</v>
          </cell>
          <cell r="O15">
            <v>900</v>
          </cell>
          <cell r="P15">
            <v>900</v>
          </cell>
          <cell r="Q15">
            <v>900</v>
          </cell>
          <cell r="R15">
            <v>900</v>
          </cell>
          <cell r="S15">
            <v>900</v>
          </cell>
          <cell r="T15">
            <v>900</v>
          </cell>
        </row>
        <row r="16">
          <cell r="A16">
            <v>7</v>
          </cell>
          <cell r="B16" t="str">
            <v>Salon "L"</v>
          </cell>
          <cell r="C16">
            <v>37838</v>
          </cell>
          <cell r="D16">
            <v>40786</v>
          </cell>
          <cell r="F16" t="str">
            <v>1040</v>
          </cell>
          <cell r="G16">
            <v>1500</v>
          </cell>
          <cell r="I16">
            <v>1500</v>
          </cell>
          <cell r="J16">
            <v>1500</v>
          </cell>
          <cell r="K16">
            <v>1500</v>
          </cell>
          <cell r="L16">
            <v>1500</v>
          </cell>
          <cell r="M16">
            <v>1500</v>
          </cell>
          <cell r="N16">
            <v>1500</v>
          </cell>
          <cell r="O16">
            <v>1500</v>
          </cell>
          <cell r="P16">
            <v>1500</v>
          </cell>
          <cell r="Q16">
            <v>1500</v>
          </cell>
          <cell r="R16">
            <v>1500</v>
          </cell>
          <cell r="S16">
            <v>1500</v>
          </cell>
          <cell r="T16">
            <v>1500</v>
          </cell>
        </row>
        <row r="17">
          <cell r="A17">
            <v>8</v>
          </cell>
          <cell r="B17" t="str">
            <v>Sapori Restaurant Italiano</v>
          </cell>
          <cell r="C17">
            <v>32674</v>
          </cell>
          <cell r="D17">
            <v>40178</v>
          </cell>
          <cell r="F17" t="str">
            <v>1080</v>
          </cell>
          <cell r="G17">
            <v>2742</v>
          </cell>
          <cell r="I17">
            <v>2742</v>
          </cell>
          <cell r="J17">
            <v>2742</v>
          </cell>
          <cell r="K17">
            <v>2742</v>
          </cell>
          <cell r="L17">
            <v>2742</v>
          </cell>
          <cell r="M17">
            <v>2742</v>
          </cell>
          <cell r="N17">
            <v>2742</v>
          </cell>
          <cell r="O17">
            <v>2742</v>
          </cell>
          <cell r="P17">
            <v>2742</v>
          </cell>
          <cell r="Q17">
            <v>2742</v>
          </cell>
          <cell r="R17">
            <v>2742</v>
          </cell>
          <cell r="S17">
            <v>2742</v>
          </cell>
          <cell r="T17">
            <v>2742</v>
          </cell>
        </row>
        <row r="18">
          <cell r="A18">
            <v>9</v>
          </cell>
          <cell r="B18" t="str">
            <v>Sapori Restaurant Italiano-Patio</v>
          </cell>
          <cell r="C18">
            <v>39234</v>
          </cell>
          <cell r="D18">
            <v>40178</v>
          </cell>
          <cell r="F18" t="str">
            <v>1080A</v>
          </cell>
          <cell r="G18">
            <v>1309</v>
          </cell>
          <cell r="I18">
            <v>1309</v>
          </cell>
          <cell r="J18">
            <v>1309</v>
          </cell>
          <cell r="K18">
            <v>1309</v>
          </cell>
          <cell r="L18">
            <v>1309</v>
          </cell>
          <cell r="M18">
            <v>1309</v>
          </cell>
          <cell r="N18">
            <v>1309</v>
          </cell>
          <cell r="O18">
            <v>1309</v>
          </cell>
          <cell r="P18">
            <v>1309</v>
          </cell>
          <cell r="Q18">
            <v>1309</v>
          </cell>
          <cell r="R18">
            <v>1309</v>
          </cell>
          <cell r="S18">
            <v>1309</v>
          </cell>
          <cell r="T18">
            <v>1309</v>
          </cell>
        </row>
        <row r="19">
          <cell r="A19">
            <v>10</v>
          </cell>
          <cell r="B19" t="str">
            <v>Vacant/Shades of Red</v>
          </cell>
          <cell r="C19">
            <v>35329</v>
          </cell>
          <cell r="D19">
            <v>39813</v>
          </cell>
          <cell r="F19" t="str">
            <v>1024</v>
          </cell>
          <cell r="G19">
            <v>1200</v>
          </cell>
          <cell r="I19">
            <v>1200</v>
          </cell>
          <cell r="J19">
            <v>1200</v>
          </cell>
          <cell r="K19">
            <v>1200</v>
          </cell>
          <cell r="L19">
            <v>1200</v>
          </cell>
          <cell r="M19">
            <v>1200</v>
          </cell>
          <cell r="N19">
            <v>1200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  <cell r="I38">
            <v>0</v>
          </cell>
          <cell r="J38">
            <v>0</v>
          </cell>
          <cell r="K38">
            <v>0</v>
          </cell>
        </row>
        <row r="39">
          <cell r="A39">
            <v>30</v>
          </cell>
          <cell r="I39">
            <v>0</v>
          </cell>
          <cell r="J39">
            <v>0</v>
          </cell>
          <cell r="K39">
            <v>0</v>
          </cell>
        </row>
        <row r="40">
          <cell r="A40">
            <v>31</v>
          </cell>
          <cell r="I40">
            <v>0</v>
          </cell>
          <cell r="J40">
            <v>0</v>
          </cell>
          <cell r="K40">
            <v>0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  <cell r="I140">
            <v>0</v>
          </cell>
          <cell r="J140">
            <v>0</v>
          </cell>
          <cell r="K140">
            <v>0</v>
          </cell>
        </row>
        <row r="141">
          <cell r="A141">
            <v>132</v>
          </cell>
          <cell r="B141" t="str">
            <v>Inline Rate Adjustment</v>
          </cell>
        </row>
        <row r="142">
          <cell r="A142">
            <v>133</v>
          </cell>
          <cell r="F142" t="str">
            <v>Total In-Line</v>
          </cell>
          <cell r="G142">
            <v>13256</v>
          </cell>
          <cell r="I142">
            <v>13256</v>
          </cell>
          <cell r="J142">
            <v>13256</v>
          </cell>
          <cell r="K142">
            <v>13256</v>
          </cell>
          <cell r="L142">
            <v>13256</v>
          </cell>
          <cell r="M142">
            <v>13256</v>
          </cell>
          <cell r="N142">
            <v>13256</v>
          </cell>
          <cell r="O142">
            <v>12056</v>
          </cell>
          <cell r="P142">
            <v>12056</v>
          </cell>
          <cell r="Q142">
            <v>12056</v>
          </cell>
          <cell r="R142">
            <v>12056</v>
          </cell>
          <cell r="S142">
            <v>12056</v>
          </cell>
          <cell r="T142">
            <v>12056</v>
          </cell>
        </row>
        <row r="143">
          <cell r="A143">
            <v>134</v>
          </cell>
        </row>
        <row r="144">
          <cell r="A144">
            <v>135</v>
          </cell>
          <cell r="B144" t="str">
            <v>Anchor/Pads/Storage</v>
          </cell>
        </row>
        <row r="145">
          <cell r="A145">
            <v>136</v>
          </cell>
          <cell r="B145" t="str">
            <v>Bayside Restaurant</v>
          </cell>
          <cell r="C145">
            <v>36161</v>
          </cell>
          <cell r="D145">
            <v>41882</v>
          </cell>
          <cell r="F145" t="str">
            <v>900</v>
          </cell>
          <cell r="G145">
            <v>8000</v>
          </cell>
          <cell r="I145">
            <v>8000</v>
          </cell>
          <cell r="J145">
            <v>8000</v>
          </cell>
          <cell r="K145">
            <v>8000</v>
          </cell>
          <cell r="L145">
            <v>8000</v>
          </cell>
          <cell r="M145">
            <v>8000</v>
          </cell>
          <cell r="N145">
            <v>8000</v>
          </cell>
          <cell r="O145">
            <v>8000</v>
          </cell>
          <cell r="P145">
            <v>8000</v>
          </cell>
          <cell r="Q145">
            <v>8000</v>
          </cell>
          <cell r="R145">
            <v>8000</v>
          </cell>
          <cell r="S145">
            <v>8000</v>
          </cell>
          <cell r="T145">
            <v>8000</v>
          </cell>
        </row>
        <row r="146">
          <cell r="A146">
            <v>137</v>
          </cell>
          <cell r="B146" t="str">
            <v>Pavilions #235</v>
          </cell>
          <cell r="C146">
            <v>31564</v>
          </cell>
          <cell r="D146">
            <v>42521</v>
          </cell>
          <cell r="F146" t="str">
            <v>1000</v>
          </cell>
          <cell r="G146">
            <v>28734</v>
          </cell>
          <cell r="I146">
            <v>28734</v>
          </cell>
          <cell r="J146">
            <v>28734</v>
          </cell>
          <cell r="K146">
            <v>28734</v>
          </cell>
          <cell r="L146">
            <v>28734</v>
          </cell>
          <cell r="M146">
            <v>28734</v>
          </cell>
          <cell r="N146">
            <v>28734</v>
          </cell>
          <cell r="O146">
            <v>28734</v>
          </cell>
          <cell r="P146">
            <v>28734</v>
          </cell>
          <cell r="Q146">
            <v>28734</v>
          </cell>
          <cell r="R146">
            <v>28734</v>
          </cell>
          <cell r="S146">
            <v>28734</v>
          </cell>
          <cell r="T146">
            <v>28734</v>
          </cell>
        </row>
        <row r="147">
          <cell r="A147">
            <v>138</v>
          </cell>
          <cell r="B147" t="str">
            <v>Rite-Aid #5747</v>
          </cell>
          <cell r="C147">
            <v>35324</v>
          </cell>
          <cell r="D147">
            <v>40575</v>
          </cell>
          <cell r="F147" t="str">
            <v>1016</v>
          </cell>
          <cell r="G147">
            <v>8986</v>
          </cell>
          <cell r="I147">
            <v>8986</v>
          </cell>
          <cell r="J147">
            <v>8986</v>
          </cell>
          <cell r="K147">
            <v>8986</v>
          </cell>
          <cell r="L147">
            <v>8986</v>
          </cell>
          <cell r="M147">
            <v>8986</v>
          </cell>
          <cell r="N147">
            <v>8986</v>
          </cell>
          <cell r="O147">
            <v>8986</v>
          </cell>
          <cell r="P147">
            <v>8986</v>
          </cell>
          <cell r="Q147">
            <v>8986</v>
          </cell>
          <cell r="R147">
            <v>8986</v>
          </cell>
          <cell r="S147">
            <v>8986</v>
          </cell>
          <cell r="T147">
            <v>8986</v>
          </cell>
        </row>
        <row r="148">
          <cell r="A148">
            <v>139</v>
          </cell>
          <cell r="B148" t="str">
            <v>Union Bank #062</v>
          </cell>
          <cell r="C148">
            <v>33055</v>
          </cell>
          <cell r="D148">
            <v>40359</v>
          </cell>
          <cell r="F148" t="str">
            <v>1090</v>
          </cell>
          <cell r="G148">
            <v>5377</v>
          </cell>
          <cell r="I148">
            <v>5377</v>
          </cell>
          <cell r="J148">
            <v>5377</v>
          </cell>
          <cell r="K148">
            <v>5377</v>
          </cell>
          <cell r="L148">
            <v>5377</v>
          </cell>
          <cell r="M148">
            <v>5377</v>
          </cell>
          <cell r="N148">
            <v>5377</v>
          </cell>
          <cell r="O148">
            <v>5377</v>
          </cell>
          <cell r="P148">
            <v>5377</v>
          </cell>
          <cell r="Q148">
            <v>5377</v>
          </cell>
          <cell r="R148">
            <v>5377</v>
          </cell>
          <cell r="S148">
            <v>5377</v>
          </cell>
          <cell r="T148">
            <v>5377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  <cell r="B328" t="str">
            <v>Rounding</v>
          </cell>
          <cell r="F328" t="str">
            <v>Round</v>
          </cell>
        </row>
        <row r="329">
          <cell r="F329" t="str">
            <v>Total Anchors/Pads/Storage</v>
          </cell>
          <cell r="G329">
            <v>51097</v>
          </cell>
          <cell r="I329">
            <v>51097</v>
          </cell>
          <cell r="J329">
            <v>51097</v>
          </cell>
          <cell r="K329">
            <v>51097</v>
          </cell>
          <cell r="L329">
            <v>51097</v>
          </cell>
          <cell r="M329">
            <v>51097</v>
          </cell>
          <cell r="N329">
            <v>51097</v>
          </cell>
          <cell r="O329">
            <v>51097</v>
          </cell>
          <cell r="P329">
            <v>51097</v>
          </cell>
          <cell r="Q329">
            <v>51097</v>
          </cell>
          <cell r="R329">
            <v>51097</v>
          </cell>
          <cell r="S329">
            <v>51097</v>
          </cell>
          <cell r="T329">
            <v>51097</v>
          </cell>
        </row>
        <row r="331">
          <cell r="F331" t="str">
            <v>Total</v>
          </cell>
          <cell r="G331">
            <v>64353</v>
          </cell>
          <cell r="I331">
            <v>64353</v>
          </cell>
          <cell r="J331">
            <v>64353</v>
          </cell>
          <cell r="K331">
            <v>64353</v>
          </cell>
          <cell r="L331">
            <v>64353</v>
          </cell>
          <cell r="M331">
            <v>64353</v>
          </cell>
          <cell r="N331">
            <v>64353</v>
          </cell>
          <cell r="O331">
            <v>63153</v>
          </cell>
          <cell r="P331">
            <v>63153</v>
          </cell>
          <cell r="Q331">
            <v>63153</v>
          </cell>
          <cell r="R331">
            <v>63153</v>
          </cell>
          <cell r="S331">
            <v>63153</v>
          </cell>
          <cell r="T331">
            <v>63153</v>
          </cell>
        </row>
        <row r="334">
          <cell r="G334" t="str">
            <v>Total Inline Occupiable Square Ft</v>
          </cell>
          <cell r="I334">
            <v>13256</v>
          </cell>
          <cell r="J334">
            <v>13256</v>
          </cell>
          <cell r="K334">
            <v>13256</v>
          </cell>
          <cell r="L334">
            <v>13256</v>
          </cell>
          <cell r="M334">
            <v>13256</v>
          </cell>
          <cell r="N334">
            <v>13256</v>
          </cell>
          <cell r="O334">
            <v>13256</v>
          </cell>
          <cell r="P334">
            <v>13256</v>
          </cell>
          <cell r="Q334">
            <v>13256</v>
          </cell>
          <cell r="R334">
            <v>13256</v>
          </cell>
          <cell r="S334">
            <v>13256</v>
          </cell>
          <cell r="T334">
            <v>13256</v>
          </cell>
        </row>
        <row r="335">
          <cell r="G335" t="str">
            <v>Total Occupiable Square Ft</v>
          </cell>
          <cell r="I335">
            <v>64353</v>
          </cell>
          <cell r="J335">
            <v>64353</v>
          </cell>
          <cell r="K335">
            <v>64353</v>
          </cell>
          <cell r="L335">
            <v>64353</v>
          </cell>
          <cell r="M335">
            <v>64353</v>
          </cell>
          <cell r="N335">
            <v>64353</v>
          </cell>
          <cell r="O335">
            <v>64353</v>
          </cell>
          <cell r="P335">
            <v>64353</v>
          </cell>
          <cell r="Q335">
            <v>64353</v>
          </cell>
          <cell r="R335">
            <v>64353</v>
          </cell>
          <cell r="S335">
            <v>64353</v>
          </cell>
          <cell r="T335">
            <v>64353</v>
          </cell>
        </row>
        <row r="336">
          <cell r="G336" t="str">
            <v>MTD</v>
          </cell>
        </row>
        <row r="337">
          <cell r="G337" t="str">
            <v>Inline %</v>
          </cell>
          <cell r="I337">
            <v>1</v>
          </cell>
          <cell r="J337">
            <v>1</v>
          </cell>
          <cell r="K337">
            <v>1</v>
          </cell>
          <cell r="L337">
            <v>1</v>
          </cell>
          <cell r="M337">
            <v>1</v>
          </cell>
          <cell r="N337">
            <v>1</v>
          </cell>
          <cell r="O337">
            <v>0.90947495473747741</v>
          </cell>
          <cell r="P337">
            <v>0.90947495473747741</v>
          </cell>
          <cell r="Q337">
            <v>0.90947495473747741</v>
          </cell>
          <cell r="R337">
            <v>0.90947495473747741</v>
          </cell>
          <cell r="S337">
            <v>0.90947495473747741</v>
          </cell>
          <cell r="T337">
            <v>0.90947495473747741</v>
          </cell>
        </row>
        <row r="338">
          <cell r="G338" t="str">
            <v>Overall %</v>
          </cell>
          <cell r="I338">
            <v>1</v>
          </cell>
          <cell r="J338">
            <v>1</v>
          </cell>
          <cell r="K338">
            <v>1</v>
          </cell>
          <cell r="L338">
            <v>1</v>
          </cell>
          <cell r="M338">
            <v>1</v>
          </cell>
          <cell r="N338">
            <v>1</v>
          </cell>
          <cell r="O338">
            <v>0.98135285068295186</v>
          </cell>
          <cell r="P338">
            <v>0.98135285068295186</v>
          </cell>
          <cell r="Q338">
            <v>0.98135285068295186</v>
          </cell>
          <cell r="R338">
            <v>0.98135285068295186</v>
          </cell>
          <cell r="S338">
            <v>0.98135285068295186</v>
          </cell>
          <cell r="T338">
            <v>0.98135285068295186</v>
          </cell>
        </row>
        <row r="340">
          <cell r="G340" t="str">
            <v>ytd</v>
          </cell>
        </row>
        <row r="341">
          <cell r="I341">
            <v>1</v>
          </cell>
          <cell r="J341">
            <v>1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0.98706785067678249</v>
          </cell>
          <cell r="P341">
            <v>0.97736873868436935</v>
          </cell>
          <cell r="Q341">
            <v>0.96982498491249247</v>
          </cell>
          <cell r="R341">
            <v>0.96378998189499099</v>
          </cell>
          <cell r="S341">
            <v>0.95885225215339875</v>
          </cell>
          <cell r="T341">
            <v>0.95473747736873871</v>
          </cell>
        </row>
        <row r="342">
          <cell r="I342">
            <v>1</v>
          </cell>
          <cell r="J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0.99733612152613593</v>
          </cell>
          <cell r="P342">
            <v>0.99533821267073797</v>
          </cell>
          <cell r="Q342">
            <v>0.99378428356098392</v>
          </cell>
          <cell r="R342">
            <v>0.99254114027318074</v>
          </cell>
          <cell r="S342">
            <v>0.99152402303770537</v>
          </cell>
          <cell r="T342">
            <v>0.99067642534147593</v>
          </cell>
        </row>
      </sheetData>
      <sheetData sheetId="9">
        <row r="10">
          <cell r="AH10" t="str">
            <v>JULY</v>
          </cell>
        </row>
        <row r="11">
          <cell r="AA11">
            <v>3</v>
          </cell>
          <cell r="AH11" t="str">
            <v>AUGUST</v>
          </cell>
          <cell r="BQ11" t="str">
            <v>Occupied</v>
          </cell>
          <cell r="BR11" t="str">
            <v>Inline</v>
          </cell>
        </row>
        <row r="12">
          <cell r="AA12">
            <v>4</v>
          </cell>
          <cell r="AH12" t="str">
            <v>SEPTEMBER</v>
          </cell>
          <cell r="BQ12" t="str">
            <v>Vacant</v>
          </cell>
          <cell r="BR12" t="str">
            <v>Anchor</v>
          </cell>
        </row>
        <row r="13">
          <cell r="AA13">
            <v>5</v>
          </cell>
          <cell r="AH13" t="str">
            <v>OCTOBER</v>
          </cell>
          <cell r="BR13" t="str">
            <v>Pad</v>
          </cell>
        </row>
        <row r="14">
          <cell r="AA14">
            <v>6</v>
          </cell>
          <cell r="AH14" t="str">
            <v>NOVEMBER</v>
          </cell>
          <cell r="BR14" t="str">
            <v>Ground</v>
          </cell>
        </row>
        <row r="15">
          <cell r="AA15">
            <v>7</v>
          </cell>
          <cell r="AH15" t="str">
            <v>DECEMBER</v>
          </cell>
        </row>
        <row r="16">
          <cell r="AA16">
            <v>8</v>
          </cell>
          <cell r="AH16" t="str">
            <v>JANUARY</v>
          </cell>
        </row>
        <row r="17">
          <cell r="AA17">
            <v>9</v>
          </cell>
          <cell r="AH17" t="str">
            <v>FEBRUARY</v>
          </cell>
        </row>
        <row r="18">
          <cell r="AA18">
            <v>10</v>
          </cell>
          <cell r="AH18" t="str">
            <v>MARCH</v>
          </cell>
        </row>
        <row r="19">
          <cell r="AA19">
            <v>11</v>
          </cell>
          <cell r="AH19" t="str">
            <v>APRIL</v>
          </cell>
        </row>
        <row r="20">
          <cell r="AA20">
            <v>12</v>
          </cell>
          <cell r="AH20" t="str">
            <v>MAY</v>
          </cell>
        </row>
        <row r="21">
          <cell r="AA21">
            <v>13</v>
          </cell>
          <cell r="AH21" t="str">
            <v>JUNE</v>
          </cell>
        </row>
        <row r="22">
          <cell r="AA22">
            <v>14</v>
          </cell>
        </row>
        <row r="23">
          <cell r="AA23">
            <v>15</v>
          </cell>
        </row>
        <row r="24">
          <cell r="AA24">
            <v>16</v>
          </cell>
        </row>
        <row r="25">
          <cell r="AA25">
            <v>17</v>
          </cell>
        </row>
        <row r="26">
          <cell r="AA26">
            <v>18</v>
          </cell>
        </row>
        <row r="27">
          <cell r="AA27">
            <v>19</v>
          </cell>
        </row>
        <row r="28">
          <cell r="AA28">
            <v>20</v>
          </cell>
        </row>
        <row r="29">
          <cell r="AA29">
            <v>21</v>
          </cell>
        </row>
        <row r="30">
          <cell r="AA30">
            <v>22</v>
          </cell>
        </row>
        <row r="31">
          <cell r="AA31">
            <v>23</v>
          </cell>
        </row>
        <row r="32">
          <cell r="AA32">
            <v>24</v>
          </cell>
        </row>
        <row r="33">
          <cell r="AA33">
            <v>25</v>
          </cell>
        </row>
        <row r="34">
          <cell r="AA34">
            <v>26</v>
          </cell>
        </row>
        <row r="35">
          <cell r="AA35">
            <v>27</v>
          </cell>
        </row>
        <row r="36">
          <cell r="AA36">
            <v>28</v>
          </cell>
        </row>
        <row r="37">
          <cell r="AA37">
            <v>29</v>
          </cell>
        </row>
        <row r="38">
          <cell r="AA38">
            <v>30</v>
          </cell>
        </row>
        <row r="39">
          <cell r="AA39">
            <v>31</v>
          </cell>
        </row>
        <row r="40">
          <cell r="AA40">
            <v>32</v>
          </cell>
        </row>
        <row r="41">
          <cell r="AA41">
            <v>33</v>
          </cell>
        </row>
        <row r="42">
          <cell r="AA42">
            <v>34</v>
          </cell>
        </row>
        <row r="43">
          <cell r="AA43">
            <v>35</v>
          </cell>
        </row>
        <row r="44">
          <cell r="AA44">
            <v>36</v>
          </cell>
        </row>
        <row r="45">
          <cell r="AA45">
            <v>37</v>
          </cell>
        </row>
        <row r="46">
          <cell r="AA46">
            <v>38</v>
          </cell>
        </row>
        <row r="47">
          <cell r="AA47">
            <v>39</v>
          </cell>
        </row>
        <row r="48">
          <cell r="AA48">
            <v>40</v>
          </cell>
        </row>
        <row r="49">
          <cell r="AA49">
            <v>41</v>
          </cell>
        </row>
        <row r="50">
          <cell r="AA50">
            <v>42</v>
          </cell>
        </row>
        <row r="51">
          <cell r="AA51">
            <v>43</v>
          </cell>
        </row>
        <row r="52">
          <cell r="AA52">
            <v>44</v>
          </cell>
        </row>
        <row r="53">
          <cell r="AA53">
            <v>45</v>
          </cell>
        </row>
        <row r="54">
          <cell r="AA54">
            <v>46</v>
          </cell>
        </row>
        <row r="55">
          <cell r="AA55">
            <v>47</v>
          </cell>
        </row>
        <row r="56">
          <cell r="AA56">
            <v>48</v>
          </cell>
        </row>
        <row r="57">
          <cell r="AA57">
            <v>49</v>
          </cell>
        </row>
        <row r="58">
          <cell r="AA58">
            <v>50</v>
          </cell>
        </row>
        <row r="59">
          <cell r="AA59">
            <v>51</v>
          </cell>
        </row>
        <row r="60">
          <cell r="AA60">
            <v>52</v>
          </cell>
        </row>
        <row r="61">
          <cell r="AA61">
            <v>53</v>
          </cell>
        </row>
        <row r="62">
          <cell r="AA62">
            <v>54</v>
          </cell>
        </row>
        <row r="63">
          <cell r="AA63">
            <v>55</v>
          </cell>
        </row>
        <row r="64">
          <cell r="AA64">
            <v>56</v>
          </cell>
        </row>
        <row r="65">
          <cell r="AA65">
            <v>57</v>
          </cell>
        </row>
        <row r="66">
          <cell r="AA66">
            <v>58</v>
          </cell>
        </row>
        <row r="67">
          <cell r="AA67">
            <v>59</v>
          </cell>
        </row>
        <row r="68">
          <cell r="AA68">
            <v>60</v>
          </cell>
        </row>
        <row r="69">
          <cell r="AA69">
            <v>61</v>
          </cell>
        </row>
        <row r="70">
          <cell r="AA70">
            <v>62</v>
          </cell>
        </row>
        <row r="71">
          <cell r="AA71">
            <v>63</v>
          </cell>
        </row>
        <row r="72">
          <cell r="AA72">
            <v>64</v>
          </cell>
        </row>
        <row r="73">
          <cell r="AA73">
            <v>65</v>
          </cell>
        </row>
        <row r="74">
          <cell r="AA74">
            <v>66</v>
          </cell>
        </row>
        <row r="75">
          <cell r="AA75">
            <v>67</v>
          </cell>
        </row>
        <row r="76">
          <cell r="AA76">
            <v>68</v>
          </cell>
        </row>
        <row r="77">
          <cell r="AA77">
            <v>69</v>
          </cell>
        </row>
        <row r="78">
          <cell r="AA78">
            <v>70</v>
          </cell>
        </row>
        <row r="79">
          <cell r="AA79">
            <v>71</v>
          </cell>
        </row>
        <row r="80">
          <cell r="AA80">
            <v>72</v>
          </cell>
        </row>
        <row r="81">
          <cell r="AA81">
            <v>73</v>
          </cell>
        </row>
        <row r="82">
          <cell r="AA82">
            <v>74</v>
          </cell>
        </row>
        <row r="83">
          <cell r="AA83">
            <v>75</v>
          </cell>
        </row>
        <row r="84">
          <cell r="AA84">
            <v>76</v>
          </cell>
        </row>
        <row r="85">
          <cell r="AA85">
            <v>77</v>
          </cell>
        </row>
        <row r="86">
          <cell r="AA86">
            <v>78</v>
          </cell>
        </row>
        <row r="87">
          <cell r="AA87">
            <v>79</v>
          </cell>
        </row>
        <row r="88">
          <cell r="AA88">
            <v>80</v>
          </cell>
        </row>
        <row r="89">
          <cell r="AA89">
            <v>81</v>
          </cell>
        </row>
        <row r="90">
          <cell r="AA90">
            <v>82</v>
          </cell>
        </row>
        <row r="91">
          <cell r="AA91">
            <v>83</v>
          </cell>
        </row>
        <row r="92">
          <cell r="AA92">
            <v>84</v>
          </cell>
        </row>
        <row r="93">
          <cell r="AA93">
            <v>85</v>
          </cell>
        </row>
        <row r="94">
          <cell r="AA94">
            <v>86</v>
          </cell>
        </row>
        <row r="95">
          <cell r="AA95">
            <v>87</v>
          </cell>
        </row>
        <row r="96">
          <cell r="AA96">
            <v>88</v>
          </cell>
        </row>
        <row r="97">
          <cell r="AA97">
            <v>89</v>
          </cell>
        </row>
        <row r="98">
          <cell r="AA98">
            <v>90</v>
          </cell>
        </row>
        <row r="99">
          <cell r="AA99">
            <v>91</v>
          </cell>
        </row>
        <row r="100">
          <cell r="AA100">
            <v>92</v>
          </cell>
        </row>
        <row r="101">
          <cell r="AA101">
            <v>93</v>
          </cell>
        </row>
        <row r="102">
          <cell r="AA102">
            <v>94</v>
          </cell>
        </row>
        <row r="103">
          <cell r="AA103">
            <v>95</v>
          </cell>
        </row>
        <row r="104">
          <cell r="AA104">
            <v>96</v>
          </cell>
        </row>
        <row r="105">
          <cell r="AA105">
            <v>97</v>
          </cell>
        </row>
        <row r="106">
          <cell r="AA106">
            <v>98</v>
          </cell>
        </row>
        <row r="107">
          <cell r="AA107">
            <v>99</v>
          </cell>
        </row>
        <row r="108">
          <cell r="AA108">
            <v>100</v>
          </cell>
        </row>
        <row r="109">
          <cell r="AA109">
            <v>101</v>
          </cell>
        </row>
        <row r="110">
          <cell r="AA110">
            <v>102</v>
          </cell>
        </row>
        <row r="111">
          <cell r="AA111">
            <v>103</v>
          </cell>
        </row>
        <row r="112">
          <cell r="AA112">
            <v>104</v>
          </cell>
        </row>
        <row r="113">
          <cell r="AA113">
            <v>105</v>
          </cell>
        </row>
        <row r="114">
          <cell r="AA114">
            <v>106</v>
          </cell>
        </row>
        <row r="115">
          <cell r="AA115">
            <v>107</v>
          </cell>
        </row>
        <row r="116">
          <cell r="AA116">
            <v>108</v>
          </cell>
        </row>
        <row r="117">
          <cell r="AA117">
            <v>109</v>
          </cell>
        </row>
        <row r="118">
          <cell r="AA118">
            <v>110</v>
          </cell>
        </row>
        <row r="119">
          <cell r="AA119">
            <v>111</v>
          </cell>
        </row>
        <row r="120">
          <cell r="AA120">
            <v>112</v>
          </cell>
        </row>
        <row r="121">
          <cell r="AA121">
            <v>113</v>
          </cell>
        </row>
        <row r="122">
          <cell r="AA122">
            <v>114</v>
          </cell>
        </row>
        <row r="123">
          <cell r="AA123">
            <v>115</v>
          </cell>
        </row>
        <row r="124">
          <cell r="AA124">
            <v>116</v>
          </cell>
        </row>
        <row r="125">
          <cell r="AA125">
            <v>117</v>
          </cell>
        </row>
        <row r="126">
          <cell r="AA126">
            <v>118</v>
          </cell>
        </row>
        <row r="127">
          <cell r="AA127">
            <v>119</v>
          </cell>
        </row>
        <row r="128">
          <cell r="AA128">
            <v>120</v>
          </cell>
        </row>
        <row r="129">
          <cell r="AA129">
            <v>121</v>
          </cell>
        </row>
        <row r="130">
          <cell r="AA130">
            <v>122</v>
          </cell>
        </row>
        <row r="131">
          <cell r="AA131">
            <v>123</v>
          </cell>
        </row>
        <row r="132">
          <cell r="AA132">
            <v>124</v>
          </cell>
        </row>
        <row r="133">
          <cell r="AA133">
            <v>125</v>
          </cell>
        </row>
        <row r="134">
          <cell r="AA134">
            <v>126</v>
          </cell>
        </row>
        <row r="135">
          <cell r="AA135">
            <v>127</v>
          </cell>
        </row>
        <row r="136">
          <cell r="AA136">
            <v>128</v>
          </cell>
        </row>
        <row r="137">
          <cell r="AA137">
            <v>129</v>
          </cell>
        </row>
        <row r="138">
          <cell r="AA138">
            <v>130</v>
          </cell>
        </row>
        <row r="139">
          <cell r="AA139">
            <v>131</v>
          </cell>
        </row>
        <row r="140">
          <cell r="AA140">
            <v>132</v>
          </cell>
        </row>
        <row r="141">
          <cell r="AA141">
            <v>133</v>
          </cell>
        </row>
        <row r="142">
          <cell r="AA142">
            <v>134</v>
          </cell>
        </row>
        <row r="143">
          <cell r="AA143">
            <v>135</v>
          </cell>
        </row>
        <row r="144">
          <cell r="AA144">
            <v>136</v>
          </cell>
        </row>
        <row r="145">
          <cell r="AA145">
            <v>137</v>
          </cell>
        </row>
        <row r="146">
          <cell r="AA146">
            <v>138</v>
          </cell>
        </row>
        <row r="147">
          <cell r="AA147">
            <v>139</v>
          </cell>
        </row>
        <row r="148">
          <cell r="AA148">
            <v>140</v>
          </cell>
        </row>
        <row r="149">
          <cell r="AA149">
            <v>141</v>
          </cell>
        </row>
        <row r="150">
          <cell r="AA150">
            <v>142</v>
          </cell>
        </row>
        <row r="151">
          <cell r="AA151">
            <v>143</v>
          </cell>
        </row>
        <row r="152">
          <cell r="AA152">
            <v>144</v>
          </cell>
        </row>
        <row r="153">
          <cell r="AA153">
            <v>145</v>
          </cell>
        </row>
        <row r="154">
          <cell r="AA154">
            <v>146</v>
          </cell>
        </row>
        <row r="155">
          <cell r="AA155">
            <v>147</v>
          </cell>
        </row>
        <row r="156">
          <cell r="AA156">
            <v>148</v>
          </cell>
        </row>
        <row r="157">
          <cell r="AA157">
            <v>149</v>
          </cell>
        </row>
        <row r="158">
          <cell r="AA158">
            <v>150</v>
          </cell>
        </row>
        <row r="159">
          <cell r="AA159">
            <v>151</v>
          </cell>
        </row>
        <row r="160">
          <cell r="AA160">
            <v>152</v>
          </cell>
        </row>
        <row r="161">
          <cell r="AA161">
            <v>153</v>
          </cell>
        </row>
        <row r="162">
          <cell r="AA162">
            <v>154</v>
          </cell>
        </row>
        <row r="163">
          <cell r="AA163">
            <v>155</v>
          </cell>
        </row>
        <row r="164">
          <cell r="AA164">
            <v>156</v>
          </cell>
        </row>
        <row r="165">
          <cell r="AA165">
            <v>157</v>
          </cell>
        </row>
        <row r="166">
          <cell r="AA166">
            <v>158</v>
          </cell>
        </row>
        <row r="167">
          <cell r="AA167">
            <v>159</v>
          </cell>
        </row>
        <row r="168">
          <cell r="AA168">
            <v>160</v>
          </cell>
        </row>
        <row r="169">
          <cell r="AA169">
            <v>161</v>
          </cell>
        </row>
        <row r="170">
          <cell r="AA170">
            <v>162</v>
          </cell>
        </row>
        <row r="171">
          <cell r="AA171">
            <v>163</v>
          </cell>
        </row>
        <row r="172">
          <cell r="AA172">
            <v>164</v>
          </cell>
        </row>
        <row r="173">
          <cell r="AA173">
            <v>165</v>
          </cell>
        </row>
        <row r="174">
          <cell r="AA174">
            <v>166</v>
          </cell>
        </row>
        <row r="175">
          <cell r="AA175">
            <v>167</v>
          </cell>
        </row>
        <row r="176">
          <cell r="AA176">
            <v>168</v>
          </cell>
        </row>
        <row r="177">
          <cell r="AA177">
            <v>169</v>
          </cell>
        </row>
        <row r="178">
          <cell r="AA178">
            <v>170</v>
          </cell>
        </row>
        <row r="179">
          <cell r="AA179">
            <v>171</v>
          </cell>
        </row>
        <row r="180">
          <cell r="AA180">
            <v>172</v>
          </cell>
        </row>
        <row r="181">
          <cell r="AA181">
            <v>173</v>
          </cell>
        </row>
        <row r="182">
          <cell r="AA182">
            <v>174</v>
          </cell>
        </row>
        <row r="183">
          <cell r="AA183">
            <v>175</v>
          </cell>
        </row>
        <row r="184">
          <cell r="AA184">
            <v>176</v>
          </cell>
        </row>
        <row r="185">
          <cell r="AA185">
            <v>177</v>
          </cell>
        </row>
        <row r="186">
          <cell r="AA186">
            <v>178</v>
          </cell>
        </row>
        <row r="187">
          <cell r="AA187">
            <v>179</v>
          </cell>
        </row>
        <row r="188">
          <cell r="AA188">
            <v>180</v>
          </cell>
        </row>
        <row r="189">
          <cell r="AA189">
            <v>181</v>
          </cell>
        </row>
        <row r="190">
          <cell r="AA190">
            <v>182</v>
          </cell>
        </row>
        <row r="191">
          <cell r="AA191">
            <v>183</v>
          </cell>
        </row>
        <row r="192">
          <cell r="AA192">
            <v>184</v>
          </cell>
        </row>
        <row r="193">
          <cell r="AA193">
            <v>185</v>
          </cell>
        </row>
        <row r="194">
          <cell r="AA194">
            <v>186</v>
          </cell>
        </row>
        <row r="195">
          <cell r="AA195">
            <v>187</v>
          </cell>
        </row>
        <row r="196">
          <cell r="AA196">
            <v>188</v>
          </cell>
        </row>
        <row r="197">
          <cell r="AA197">
            <v>189</v>
          </cell>
        </row>
        <row r="198">
          <cell r="AA198">
            <v>190</v>
          </cell>
        </row>
        <row r="199">
          <cell r="AA199">
            <v>191</v>
          </cell>
        </row>
        <row r="200">
          <cell r="AA200">
            <v>192</v>
          </cell>
        </row>
        <row r="201">
          <cell r="AA201">
            <v>193</v>
          </cell>
        </row>
        <row r="202">
          <cell r="AA202">
            <v>194</v>
          </cell>
        </row>
        <row r="203">
          <cell r="AA203">
            <v>195</v>
          </cell>
        </row>
        <row r="204">
          <cell r="AA204">
            <v>196</v>
          </cell>
        </row>
        <row r="205">
          <cell r="AA205">
            <v>197</v>
          </cell>
        </row>
        <row r="206">
          <cell r="AA206">
            <v>198</v>
          </cell>
        </row>
        <row r="207">
          <cell r="AA207">
            <v>199</v>
          </cell>
        </row>
        <row r="208">
          <cell r="AA208">
            <v>200</v>
          </cell>
        </row>
        <row r="209">
          <cell r="AA209">
            <v>201</v>
          </cell>
        </row>
        <row r="210">
          <cell r="AA210">
            <v>202</v>
          </cell>
        </row>
        <row r="211">
          <cell r="AA211">
            <v>203</v>
          </cell>
        </row>
        <row r="212">
          <cell r="AA212">
            <v>204</v>
          </cell>
        </row>
        <row r="213">
          <cell r="AA213">
            <v>205</v>
          </cell>
        </row>
        <row r="214">
          <cell r="AA214">
            <v>206</v>
          </cell>
        </row>
        <row r="215">
          <cell r="AA215">
            <v>207</v>
          </cell>
        </row>
        <row r="216">
          <cell r="AA216">
            <v>208</v>
          </cell>
        </row>
        <row r="217">
          <cell r="AA217">
            <v>209</v>
          </cell>
        </row>
        <row r="218">
          <cell r="AA218">
            <v>210</v>
          </cell>
        </row>
        <row r="219">
          <cell r="AA219">
            <v>211</v>
          </cell>
        </row>
        <row r="220">
          <cell r="AA220">
            <v>212</v>
          </cell>
        </row>
        <row r="221">
          <cell r="AA221">
            <v>213</v>
          </cell>
        </row>
        <row r="222">
          <cell r="AA222">
            <v>214</v>
          </cell>
        </row>
        <row r="223">
          <cell r="AA223">
            <v>215</v>
          </cell>
        </row>
        <row r="224">
          <cell r="AA224">
            <v>216</v>
          </cell>
        </row>
        <row r="225">
          <cell r="AA225">
            <v>217</v>
          </cell>
        </row>
        <row r="226">
          <cell r="AA226">
            <v>218</v>
          </cell>
        </row>
        <row r="227">
          <cell r="AA227">
            <v>219</v>
          </cell>
        </row>
        <row r="228">
          <cell r="AA228">
            <v>220</v>
          </cell>
        </row>
        <row r="229">
          <cell r="AA229">
            <v>221</v>
          </cell>
        </row>
        <row r="230">
          <cell r="AA230">
            <v>222</v>
          </cell>
        </row>
        <row r="231">
          <cell r="AA231">
            <v>223</v>
          </cell>
        </row>
        <row r="232">
          <cell r="AA232">
            <v>224</v>
          </cell>
        </row>
        <row r="233">
          <cell r="AA233">
            <v>225</v>
          </cell>
        </row>
        <row r="234">
          <cell r="AA234">
            <v>226</v>
          </cell>
        </row>
        <row r="235">
          <cell r="AA235">
            <v>227</v>
          </cell>
        </row>
        <row r="236">
          <cell r="AA236">
            <v>228</v>
          </cell>
        </row>
        <row r="237">
          <cell r="AA237">
            <v>229</v>
          </cell>
        </row>
        <row r="238">
          <cell r="AA238">
            <v>230</v>
          </cell>
        </row>
        <row r="239">
          <cell r="AA239">
            <v>231</v>
          </cell>
        </row>
        <row r="240">
          <cell r="AA240">
            <v>232</v>
          </cell>
        </row>
        <row r="241">
          <cell r="AA241">
            <v>233</v>
          </cell>
        </row>
        <row r="242">
          <cell r="AA242">
            <v>234</v>
          </cell>
        </row>
        <row r="243">
          <cell r="AA243">
            <v>235</v>
          </cell>
        </row>
        <row r="244">
          <cell r="AA244">
            <v>236</v>
          </cell>
        </row>
        <row r="245">
          <cell r="AA245">
            <v>237</v>
          </cell>
        </row>
        <row r="246">
          <cell r="AA246">
            <v>238</v>
          </cell>
        </row>
        <row r="247">
          <cell r="AA247">
            <v>239</v>
          </cell>
        </row>
        <row r="248">
          <cell r="AA248">
            <v>240</v>
          </cell>
        </row>
        <row r="249">
          <cell r="AA249">
            <v>241</v>
          </cell>
        </row>
        <row r="250">
          <cell r="AA250">
            <v>242</v>
          </cell>
        </row>
        <row r="251">
          <cell r="AA251">
            <v>243</v>
          </cell>
        </row>
        <row r="252">
          <cell r="AA252">
            <v>244</v>
          </cell>
        </row>
        <row r="253">
          <cell r="AA253">
            <v>245</v>
          </cell>
        </row>
        <row r="254">
          <cell r="AA254">
            <v>246</v>
          </cell>
        </row>
        <row r="255">
          <cell r="AA255">
            <v>247</v>
          </cell>
        </row>
        <row r="256">
          <cell r="AA256">
            <v>248</v>
          </cell>
        </row>
        <row r="257">
          <cell r="AA257">
            <v>249</v>
          </cell>
        </row>
        <row r="258">
          <cell r="AA258">
            <v>250</v>
          </cell>
        </row>
        <row r="259">
          <cell r="AA259">
            <v>251</v>
          </cell>
        </row>
        <row r="260">
          <cell r="AA260">
            <v>252</v>
          </cell>
        </row>
        <row r="261">
          <cell r="AA261">
            <v>253</v>
          </cell>
        </row>
        <row r="262">
          <cell r="AA262">
            <v>254</v>
          </cell>
        </row>
        <row r="263">
          <cell r="AA263">
            <v>255</v>
          </cell>
        </row>
        <row r="264">
          <cell r="AA264">
            <v>256</v>
          </cell>
        </row>
        <row r="265">
          <cell r="AA265">
            <v>257</v>
          </cell>
        </row>
        <row r="266">
          <cell r="AA266">
            <v>258</v>
          </cell>
        </row>
        <row r="267">
          <cell r="AA267">
            <v>259</v>
          </cell>
        </row>
        <row r="268">
          <cell r="AA268">
            <v>260</v>
          </cell>
        </row>
        <row r="269">
          <cell r="AA269">
            <v>261</v>
          </cell>
        </row>
        <row r="270">
          <cell r="AA270">
            <v>262</v>
          </cell>
        </row>
        <row r="271">
          <cell r="AA271">
            <v>263</v>
          </cell>
        </row>
        <row r="272">
          <cell r="AA272">
            <v>264</v>
          </cell>
        </row>
        <row r="273">
          <cell r="AA273">
            <v>265</v>
          </cell>
        </row>
        <row r="274">
          <cell r="AA274">
            <v>266</v>
          </cell>
        </row>
        <row r="275">
          <cell r="AA275">
            <v>267</v>
          </cell>
        </row>
        <row r="276">
          <cell r="AA276">
            <v>268</v>
          </cell>
        </row>
        <row r="277">
          <cell r="AA277">
            <v>269</v>
          </cell>
        </row>
        <row r="278">
          <cell r="AA278">
            <v>270</v>
          </cell>
        </row>
        <row r="279">
          <cell r="AA279">
            <v>271</v>
          </cell>
        </row>
        <row r="280">
          <cell r="AA280">
            <v>272</v>
          </cell>
        </row>
        <row r="281">
          <cell r="AA281">
            <v>273</v>
          </cell>
        </row>
        <row r="282">
          <cell r="AA282">
            <v>274</v>
          </cell>
        </row>
        <row r="283">
          <cell r="AA283">
            <v>275</v>
          </cell>
        </row>
        <row r="284">
          <cell r="AA284">
            <v>276</v>
          </cell>
        </row>
        <row r="285">
          <cell r="AA285">
            <v>277</v>
          </cell>
        </row>
        <row r="286">
          <cell r="AA286">
            <v>278</v>
          </cell>
        </row>
        <row r="287">
          <cell r="AA287">
            <v>279</v>
          </cell>
        </row>
        <row r="288">
          <cell r="AA288">
            <v>280</v>
          </cell>
        </row>
        <row r="289">
          <cell r="AA289">
            <v>281</v>
          </cell>
        </row>
        <row r="290">
          <cell r="AA290">
            <v>282</v>
          </cell>
        </row>
        <row r="291">
          <cell r="AA291">
            <v>283</v>
          </cell>
        </row>
        <row r="292">
          <cell r="AA292">
            <v>284</v>
          </cell>
        </row>
        <row r="293">
          <cell r="AA293">
            <v>285</v>
          </cell>
        </row>
        <row r="294">
          <cell r="AA294">
            <v>286</v>
          </cell>
        </row>
        <row r="295">
          <cell r="AA295">
            <v>287</v>
          </cell>
        </row>
        <row r="296">
          <cell r="AA296">
            <v>288</v>
          </cell>
        </row>
        <row r="297">
          <cell r="AA297">
            <v>289</v>
          </cell>
        </row>
        <row r="298">
          <cell r="AA298">
            <v>290</v>
          </cell>
        </row>
        <row r="299">
          <cell r="AA299">
            <v>291</v>
          </cell>
        </row>
        <row r="300">
          <cell r="AA300">
            <v>292</v>
          </cell>
        </row>
        <row r="301">
          <cell r="AA301">
            <v>293</v>
          </cell>
        </row>
        <row r="302">
          <cell r="AA302">
            <v>294</v>
          </cell>
        </row>
        <row r="303">
          <cell r="AA303">
            <v>295</v>
          </cell>
        </row>
        <row r="304">
          <cell r="AA304">
            <v>296</v>
          </cell>
        </row>
        <row r="305">
          <cell r="AA305">
            <v>297</v>
          </cell>
        </row>
        <row r="306">
          <cell r="AA306">
            <v>298</v>
          </cell>
        </row>
        <row r="307">
          <cell r="AA307">
            <v>299</v>
          </cell>
        </row>
        <row r="308">
          <cell r="AA308">
            <v>300</v>
          </cell>
        </row>
        <row r="309">
          <cell r="AA309">
            <v>301</v>
          </cell>
        </row>
        <row r="310">
          <cell r="AA310">
            <v>302</v>
          </cell>
        </row>
        <row r="311">
          <cell r="AA311">
            <v>303</v>
          </cell>
        </row>
        <row r="312">
          <cell r="AA312">
            <v>304</v>
          </cell>
        </row>
        <row r="313">
          <cell r="AA313">
            <v>305</v>
          </cell>
        </row>
        <row r="314">
          <cell r="AA314">
            <v>306</v>
          </cell>
        </row>
        <row r="315">
          <cell r="AA315">
            <v>307</v>
          </cell>
        </row>
        <row r="316">
          <cell r="AA316">
            <v>308</v>
          </cell>
        </row>
        <row r="317">
          <cell r="AA317">
            <v>309</v>
          </cell>
        </row>
        <row r="318">
          <cell r="AA318">
            <v>310</v>
          </cell>
        </row>
        <row r="319">
          <cell r="AA319">
            <v>311</v>
          </cell>
        </row>
        <row r="320">
          <cell r="AA320">
            <v>312</v>
          </cell>
        </row>
        <row r="321">
          <cell r="AA321">
            <v>313</v>
          </cell>
        </row>
        <row r="322">
          <cell r="AA322">
            <v>314</v>
          </cell>
        </row>
        <row r="323">
          <cell r="AA323">
            <v>315</v>
          </cell>
        </row>
        <row r="324">
          <cell r="AA324">
            <v>316</v>
          </cell>
        </row>
        <row r="325">
          <cell r="AA325">
            <v>317</v>
          </cell>
        </row>
        <row r="326">
          <cell r="AA326">
            <v>318</v>
          </cell>
        </row>
        <row r="327">
          <cell r="AA327">
            <v>319</v>
          </cell>
        </row>
        <row r="328">
          <cell r="AA328">
            <v>320</v>
          </cell>
        </row>
        <row r="329">
          <cell r="AA329">
            <v>321</v>
          </cell>
        </row>
        <row r="330">
          <cell r="AA330">
            <v>322</v>
          </cell>
        </row>
        <row r="331">
          <cell r="AA331">
            <v>323</v>
          </cell>
        </row>
        <row r="332">
          <cell r="AA332">
            <v>324</v>
          </cell>
        </row>
        <row r="333">
          <cell r="AA333">
            <v>325</v>
          </cell>
        </row>
        <row r="334">
          <cell r="AA334">
            <v>326</v>
          </cell>
        </row>
        <row r="335">
          <cell r="AA335">
            <v>327</v>
          </cell>
        </row>
        <row r="336">
          <cell r="AA336">
            <v>328</v>
          </cell>
        </row>
        <row r="337">
          <cell r="AA337">
            <v>329</v>
          </cell>
        </row>
        <row r="338">
          <cell r="AA338">
            <v>330</v>
          </cell>
        </row>
        <row r="339">
          <cell r="AA339">
            <v>331</v>
          </cell>
        </row>
        <row r="340">
          <cell r="AA340">
            <v>332</v>
          </cell>
        </row>
        <row r="341">
          <cell r="AA341">
            <v>333</v>
          </cell>
        </row>
        <row r="342">
          <cell r="AA342">
            <v>334</v>
          </cell>
        </row>
        <row r="343">
          <cell r="AA343">
            <v>335</v>
          </cell>
        </row>
        <row r="344">
          <cell r="AA344">
            <v>336</v>
          </cell>
        </row>
        <row r="345">
          <cell r="AA345">
            <v>337</v>
          </cell>
        </row>
        <row r="346">
          <cell r="AA346">
            <v>338</v>
          </cell>
        </row>
        <row r="347">
          <cell r="AA347">
            <v>339</v>
          </cell>
        </row>
        <row r="348">
          <cell r="AA348">
            <v>340</v>
          </cell>
        </row>
        <row r="349">
          <cell r="AA349">
            <v>341</v>
          </cell>
        </row>
        <row r="350">
          <cell r="AA350">
            <v>342</v>
          </cell>
        </row>
        <row r="351">
          <cell r="AA351">
            <v>343</v>
          </cell>
        </row>
        <row r="352">
          <cell r="AA352">
            <v>344</v>
          </cell>
        </row>
        <row r="353">
          <cell r="AA353">
            <v>345</v>
          </cell>
        </row>
        <row r="354">
          <cell r="AA354">
            <v>346</v>
          </cell>
        </row>
        <row r="355">
          <cell r="AA355">
            <v>347</v>
          </cell>
        </row>
        <row r="356">
          <cell r="AA356">
            <v>348</v>
          </cell>
        </row>
        <row r="357">
          <cell r="AA357">
            <v>349</v>
          </cell>
        </row>
        <row r="358">
          <cell r="AA358">
            <v>350</v>
          </cell>
        </row>
        <row r="359">
          <cell r="AA359">
            <v>351</v>
          </cell>
        </row>
        <row r="360">
          <cell r="AA360">
            <v>352</v>
          </cell>
        </row>
        <row r="361">
          <cell r="AA361">
            <v>353</v>
          </cell>
        </row>
        <row r="362">
          <cell r="AA362">
            <v>354</v>
          </cell>
        </row>
        <row r="363">
          <cell r="AA363">
            <v>355</v>
          </cell>
        </row>
        <row r="364">
          <cell r="AA364">
            <v>356</v>
          </cell>
        </row>
        <row r="365">
          <cell r="AA365">
            <v>357</v>
          </cell>
        </row>
        <row r="366">
          <cell r="AA366">
            <v>358</v>
          </cell>
        </row>
        <row r="367">
          <cell r="AA367">
            <v>359</v>
          </cell>
        </row>
        <row r="368">
          <cell r="AA368">
            <v>360</v>
          </cell>
        </row>
        <row r="369">
          <cell r="AA369">
            <v>361</v>
          </cell>
        </row>
        <row r="370">
          <cell r="AA370">
            <v>362</v>
          </cell>
        </row>
        <row r="371">
          <cell r="AA371">
            <v>363</v>
          </cell>
        </row>
        <row r="372">
          <cell r="AA372">
            <v>364</v>
          </cell>
        </row>
        <row r="373">
          <cell r="AA373">
            <v>365</v>
          </cell>
        </row>
        <row r="374">
          <cell r="AA374">
            <v>366</v>
          </cell>
        </row>
        <row r="375">
          <cell r="AA375">
            <v>367</v>
          </cell>
        </row>
        <row r="376">
          <cell r="AA376">
            <v>368</v>
          </cell>
        </row>
        <row r="377">
          <cell r="AA377">
            <v>369</v>
          </cell>
        </row>
        <row r="378">
          <cell r="AA378">
            <v>370</v>
          </cell>
        </row>
        <row r="379">
          <cell r="AA379">
            <v>371</v>
          </cell>
        </row>
        <row r="380">
          <cell r="AA380">
            <v>372</v>
          </cell>
        </row>
        <row r="381">
          <cell r="AA381">
            <v>373</v>
          </cell>
        </row>
        <row r="382">
          <cell r="AA382">
            <v>374</v>
          </cell>
        </row>
        <row r="383">
          <cell r="AA383">
            <v>375</v>
          </cell>
        </row>
        <row r="384">
          <cell r="AA384">
            <v>376</v>
          </cell>
        </row>
        <row r="385">
          <cell r="AA385">
            <v>377</v>
          </cell>
        </row>
        <row r="386">
          <cell r="AA386">
            <v>378</v>
          </cell>
        </row>
        <row r="387">
          <cell r="AA387">
            <v>379</v>
          </cell>
        </row>
        <row r="388">
          <cell r="AA388">
            <v>380</v>
          </cell>
        </row>
        <row r="389">
          <cell r="AA389">
            <v>381</v>
          </cell>
        </row>
        <row r="390">
          <cell r="AA390">
            <v>382</v>
          </cell>
        </row>
        <row r="391">
          <cell r="AA391">
            <v>383</v>
          </cell>
        </row>
        <row r="392">
          <cell r="AA392">
            <v>384</v>
          </cell>
        </row>
        <row r="393">
          <cell r="AA393">
            <v>385</v>
          </cell>
        </row>
        <row r="394">
          <cell r="AA394">
            <v>386</v>
          </cell>
        </row>
        <row r="395">
          <cell r="AA395">
            <v>387</v>
          </cell>
        </row>
        <row r="396">
          <cell r="AA396">
            <v>388</v>
          </cell>
        </row>
        <row r="397">
          <cell r="AA397">
            <v>389</v>
          </cell>
        </row>
        <row r="398">
          <cell r="AA398">
            <v>390</v>
          </cell>
        </row>
        <row r="399">
          <cell r="AA399">
            <v>391</v>
          </cell>
        </row>
        <row r="400">
          <cell r="AA400">
            <v>392</v>
          </cell>
        </row>
        <row r="401">
          <cell r="AA401">
            <v>393</v>
          </cell>
        </row>
        <row r="402">
          <cell r="AA402">
            <v>394</v>
          </cell>
        </row>
        <row r="403">
          <cell r="AA403">
            <v>395</v>
          </cell>
        </row>
        <row r="404">
          <cell r="AA404">
            <v>396</v>
          </cell>
        </row>
        <row r="405">
          <cell r="AA405">
            <v>397</v>
          </cell>
        </row>
        <row r="406">
          <cell r="AA406">
            <v>398</v>
          </cell>
        </row>
        <row r="407">
          <cell r="AA407">
            <v>399</v>
          </cell>
        </row>
        <row r="408">
          <cell r="AA408">
            <v>400</v>
          </cell>
        </row>
        <row r="409">
          <cell r="AA409">
            <v>401</v>
          </cell>
        </row>
        <row r="410">
          <cell r="AA410">
            <v>402</v>
          </cell>
        </row>
        <row r="411">
          <cell r="AA411">
            <v>403</v>
          </cell>
        </row>
        <row r="412">
          <cell r="AA412">
            <v>404</v>
          </cell>
        </row>
        <row r="413">
          <cell r="AA413">
            <v>405</v>
          </cell>
        </row>
        <row r="414">
          <cell r="AA414">
            <v>406</v>
          </cell>
        </row>
        <row r="415">
          <cell r="AA415">
            <v>407</v>
          </cell>
        </row>
        <row r="416">
          <cell r="AA416">
            <v>408</v>
          </cell>
        </row>
        <row r="417">
          <cell r="AA417">
            <v>409</v>
          </cell>
        </row>
        <row r="418">
          <cell r="AA418">
            <v>410</v>
          </cell>
        </row>
        <row r="419">
          <cell r="AA419">
            <v>411</v>
          </cell>
        </row>
        <row r="420">
          <cell r="AA420">
            <v>412</v>
          </cell>
        </row>
        <row r="421">
          <cell r="AA421">
            <v>413</v>
          </cell>
        </row>
        <row r="422">
          <cell r="AA422">
            <v>414</v>
          </cell>
        </row>
        <row r="423">
          <cell r="AA423">
            <v>415</v>
          </cell>
        </row>
        <row r="424">
          <cell r="AA424">
            <v>416</v>
          </cell>
        </row>
        <row r="425">
          <cell r="AA425">
            <v>417</v>
          </cell>
        </row>
        <row r="426">
          <cell r="AA426">
            <v>418</v>
          </cell>
        </row>
        <row r="427">
          <cell r="AA427">
            <v>419</v>
          </cell>
        </row>
        <row r="428">
          <cell r="AA428">
            <v>420</v>
          </cell>
        </row>
        <row r="429">
          <cell r="AA429">
            <v>421</v>
          </cell>
        </row>
        <row r="430">
          <cell r="AA430">
            <v>422</v>
          </cell>
        </row>
        <row r="431">
          <cell r="AA431">
            <v>423</v>
          </cell>
        </row>
        <row r="432">
          <cell r="AA432">
            <v>424</v>
          </cell>
        </row>
        <row r="433">
          <cell r="AA433">
            <v>425</v>
          </cell>
        </row>
        <row r="434">
          <cell r="AA434">
            <v>426</v>
          </cell>
        </row>
        <row r="435">
          <cell r="AA435">
            <v>427</v>
          </cell>
        </row>
        <row r="436">
          <cell r="AA436">
            <v>428</v>
          </cell>
        </row>
        <row r="437">
          <cell r="AA437">
            <v>429</v>
          </cell>
        </row>
        <row r="438">
          <cell r="AA438">
            <v>430</v>
          </cell>
        </row>
        <row r="439">
          <cell r="AA439">
            <v>431</v>
          </cell>
        </row>
        <row r="440">
          <cell r="AA440">
            <v>432</v>
          </cell>
        </row>
        <row r="441">
          <cell r="AA441">
            <v>433</v>
          </cell>
        </row>
        <row r="442">
          <cell r="AA442">
            <v>434</v>
          </cell>
        </row>
        <row r="443">
          <cell r="AA443">
            <v>435</v>
          </cell>
        </row>
        <row r="444">
          <cell r="AA444">
            <v>436</v>
          </cell>
        </row>
        <row r="445">
          <cell r="AA445">
            <v>437</v>
          </cell>
        </row>
        <row r="446">
          <cell r="AA446">
            <v>438</v>
          </cell>
        </row>
        <row r="447">
          <cell r="AA447">
            <v>439</v>
          </cell>
        </row>
        <row r="448">
          <cell r="AA448">
            <v>440</v>
          </cell>
        </row>
        <row r="449">
          <cell r="AA449">
            <v>441</v>
          </cell>
        </row>
        <row r="450">
          <cell r="AA450">
            <v>442</v>
          </cell>
        </row>
        <row r="451">
          <cell r="AA451">
            <v>443</v>
          </cell>
        </row>
        <row r="452">
          <cell r="AA452">
            <v>444</v>
          </cell>
        </row>
        <row r="453">
          <cell r="AA453">
            <v>445</v>
          </cell>
        </row>
        <row r="454">
          <cell r="AA454">
            <v>446</v>
          </cell>
        </row>
        <row r="455">
          <cell r="AA455">
            <v>447</v>
          </cell>
        </row>
        <row r="456">
          <cell r="AA456">
            <v>448</v>
          </cell>
        </row>
        <row r="457">
          <cell r="AA457">
            <v>449</v>
          </cell>
        </row>
        <row r="458">
          <cell r="AA458">
            <v>450</v>
          </cell>
        </row>
        <row r="459">
          <cell r="AA459">
            <v>451</v>
          </cell>
        </row>
        <row r="460">
          <cell r="AA460">
            <v>452</v>
          </cell>
        </row>
        <row r="461">
          <cell r="AA461">
            <v>453</v>
          </cell>
        </row>
        <row r="462">
          <cell r="AA462">
            <v>454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 Rent Bud "/>
      <sheetName val="Stats Page "/>
      <sheetName val="MRG - At Ease Men's "/>
      <sheetName val="PCR"/>
      <sheetName val="Pialago"/>
      <sheetName val="#REF"/>
    </sheetNames>
    <sheetDataSet>
      <sheetData sheetId="0">
        <row r="11">
          <cell r="G11" t="str">
            <v>7988</v>
          </cell>
          <cell r="H11">
            <v>1932</v>
          </cell>
          <cell r="J11">
            <v>6762</v>
          </cell>
          <cell r="K11">
            <v>6762</v>
          </cell>
          <cell r="L11">
            <v>0</v>
          </cell>
          <cell r="N11">
            <v>40572</v>
          </cell>
          <cell r="O11">
            <v>40572</v>
          </cell>
          <cell r="P11">
            <v>0</v>
          </cell>
          <cell r="S11">
            <v>81144</v>
          </cell>
          <cell r="T11">
            <v>0</v>
          </cell>
          <cell r="AA11">
            <v>3</v>
          </cell>
          <cell r="BQ11" t="str">
            <v>Occupied</v>
          </cell>
          <cell r="BR11" t="str">
            <v>Inline</v>
          </cell>
        </row>
        <row r="12">
          <cell r="G12" t="str">
            <v>7864</v>
          </cell>
          <cell r="H12">
            <v>5525</v>
          </cell>
          <cell r="J12">
            <v>12431.25</v>
          </cell>
          <cell r="K12">
            <v>12431</v>
          </cell>
          <cell r="L12">
            <v>0.25</v>
          </cell>
          <cell r="N12">
            <v>69062.489999999991</v>
          </cell>
          <cell r="O12">
            <v>69061.739999999991</v>
          </cell>
          <cell r="P12">
            <v>0.75</v>
          </cell>
          <cell r="S12">
            <v>143647.74</v>
          </cell>
          <cell r="T12">
            <v>0</v>
          </cell>
          <cell r="AA12">
            <v>4</v>
          </cell>
          <cell r="BQ12" t="str">
            <v>Vacant</v>
          </cell>
          <cell r="BR12" t="str">
            <v>Anchor</v>
          </cell>
        </row>
        <row r="13">
          <cell r="G13" t="str">
            <v>8056</v>
          </cell>
          <cell r="H13">
            <v>6548</v>
          </cell>
          <cell r="J13">
            <v>12759.84</v>
          </cell>
          <cell r="K13">
            <v>17680</v>
          </cell>
          <cell r="L13">
            <v>-4920.16</v>
          </cell>
          <cell r="N13">
            <v>66182.75</v>
          </cell>
          <cell r="O13">
            <v>106080</v>
          </cell>
          <cell r="P13">
            <v>-39897.25</v>
          </cell>
          <cell r="Q13" t="str">
            <v>At Ease Men's occupied 4/24/08 at 10% MRG.</v>
          </cell>
          <cell r="S13">
            <v>212160</v>
          </cell>
          <cell r="T13">
            <v>-39897</v>
          </cell>
          <cell r="U13" t="str">
            <v>At Ease Men's occupied 4/24/08 at 10% MRG.</v>
          </cell>
          <cell r="AA13">
            <v>5</v>
          </cell>
          <cell r="BR13" t="str">
            <v>Pad</v>
          </cell>
        </row>
        <row r="14">
          <cell r="G14" t="str">
            <v>7912</v>
          </cell>
          <cell r="H14">
            <v>8005</v>
          </cell>
          <cell r="J14">
            <v>20179.27</v>
          </cell>
          <cell r="K14">
            <v>20179.22</v>
          </cell>
          <cell r="L14">
            <v>4.9999999999272404E-2</v>
          </cell>
          <cell r="N14">
            <v>121075.62000000001</v>
          </cell>
          <cell r="O14">
            <v>121075.42000000001</v>
          </cell>
          <cell r="P14">
            <v>0.19999999999708962</v>
          </cell>
          <cell r="S14">
            <v>242150.68000000005</v>
          </cell>
          <cell r="T14">
            <v>0</v>
          </cell>
          <cell r="AA14">
            <v>6</v>
          </cell>
          <cell r="BR14" t="str">
            <v>Ground</v>
          </cell>
        </row>
        <row r="15">
          <cell r="G15" t="str">
            <v>7952</v>
          </cell>
          <cell r="H15">
            <v>1702</v>
          </cell>
          <cell r="J15">
            <v>7333.33</v>
          </cell>
          <cell r="K15">
            <v>7333.33</v>
          </cell>
          <cell r="L15">
            <v>0</v>
          </cell>
          <cell r="N15">
            <v>43999.98</v>
          </cell>
          <cell r="O15">
            <v>43999.98</v>
          </cell>
          <cell r="P15">
            <v>0</v>
          </cell>
          <cell r="S15">
            <v>87999.96</v>
          </cell>
          <cell r="T15">
            <v>0</v>
          </cell>
          <cell r="AA15">
            <v>7</v>
          </cell>
        </row>
        <row r="16">
          <cell r="G16" t="str">
            <v>7916</v>
          </cell>
          <cell r="H16">
            <v>1226</v>
          </cell>
          <cell r="J16">
            <v>5108.33</v>
          </cell>
          <cell r="K16">
            <v>5108.33</v>
          </cell>
          <cell r="L16">
            <v>0</v>
          </cell>
          <cell r="N16">
            <v>30649.980000000003</v>
          </cell>
          <cell r="O16">
            <v>30649.980000000003</v>
          </cell>
          <cell r="P16">
            <v>0</v>
          </cell>
          <cell r="S16">
            <v>61299.960000000014</v>
          </cell>
          <cell r="T16">
            <v>0</v>
          </cell>
          <cell r="AA16">
            <v>8</v>
          </cell>
        </row>
        <row r="17">
          <cell r="G17" t="str">
            <v>8012</v>
          </cell>
          <cell r="H17">
            <v>13285</v>
          </cell>
          <cell r="J17">
            <v>33489.269999999997</v>
          </cell>
          <cell r="K17">
            <v>33489.269999999997</v>
          </cell>
          <cell r="L17">
            <v>0</v>
          </cell>
          <cell r="N17">
            <v>200935.61999999997</v>
          </cell>
          <cell r="O17">
            <v>200935.61999999997</v>
          </cell>
          <cell r="P17">
            <v>0</v>
          </cell>
          <cell r="S17">
            <v>401871.24000000005</v>
          </cell>
          <cell r="T17">
            <v>0</v>
          </cell>
          <cell r="AA17">
            <v>9</v>
          </cell>
        </row>
        <row r="18">
          <cell r="G18" t="str">
            <v>7976</v>
          </cell>
          <cell r="H18">
            <v>3530</v>
          </cell>
          <cell r="J18">
            <v>15149.58</v>
          </cell>
          <cell r="K18">
            <v>15150</v>
          </cell>
          <cell r="L18">
            <v>-0.42000000000007276</v>
          </cell>
          <cell r="N18">
            <v>89426.680000000008</v>
          </cell>
          <cell r="O18">
            <v>89425</v>
          </cell>
          <cell r="P18">
            <v>1.680000000007567</v>
          </cell>
          <cell r="S18">
            <v>180325</v>
          </cell>
          <cell r="T18">
            <v>0</v>
          </cell>
          <cell r="AA18">
            <v>10</v>
          </cell>
        </row>
        <row r="19">
          <cell r="G19" t="str">
            <v>7918</v>
          </cell>
          <cell r="H19">
            <v>1413</v>
          </cell>
          <cell r="J19">
            <v>6476.25</v>
          </cell>
          <cell r="K19">
            <v>6476</v>
          </cell>
          <cell r="L19">
            <v>0.25</v>
          </cell>
          <cell r="N19">
            <v>38857.5</v>
          </cell>
          <cell r="O19">
            <v>38856</v>
          </cell>
          <cell r="P19">
            <v>1.5</v>
          </cell>
          <cell r="S19">
            <v>77712</v>
          </cell>
          <cell r="T19">
            <v>0</v>
          </cell>
          <cell r="AA19">
            <v>11</v>
          </cell>
        </row>
        <row r="20">
          <cell r="G20" t="str">
            <v>7882</v>
          </cell>
          <cell r="H20">
            <v>1176</v>
          </cell>
          <cell r="J20">
            <v>6452.32</v>
          </cell>
          <cell r="K20">
            <v>6452</v>
          </cell>
          <cell r="L20">
            <v>0.31999999999970896</v>
          </cell>
          <cell r="N20">
            <v>37322.32</v>
          </cell>
          <cell r="O20">
            <v>37322</v>
          </cell>
          <cell r="P20">
            <v>0.31999999999970896</v>
          </cell>
          <cell r="S20">
            <v>76034</v>
          </cell>
          <cell r="T20">
            <v>0</v>
          </cell>
          <cell r="AA20">
            <v>12</v>
          </cell>
        </row>
        <row r="21">
          <cell r="G21" t="str">
            <v>7932</v>
          </cell>
          <cell r="H21">
            <v>2531</v>
          </cell>
          <cell r="J21">
            <v>9069.42</v>
          </cell>
          <cell r="K21">
            <v>9069.42</v>
          </cell>
          <cell r="L21">
            <v>0</v>
          </cell>
          <cell r="N21">
            <v>54416.52</v>
          </cell>
          <cell r="O21">
            <v>54416.52</v>
          </cell>
          <cell r="P21">
            <v>0</v>
          </cell>
          <cell r="S21">
            <v>108833.04</v>
          </cell>
          <cell r="T21">
            <v>0</v>
          </cell>
          <cell r="AA21">
            <v>13</v>
          </cell>
        </row>
        <row r="22">
          <cell r="G22" t="str">
            <v>7946</v>
          </cell>
          <cell r="H22">
            <v>2753</v>
          </cell>
          <cell r="J22">
            <v>8717.84</v>
          </cell>
          <cell r="K22">
            <v>8718</v>
          </cell>
          <cell r="L22">
            <v>-0.15999999999985448</v>
          </cell>
          <cell r="N22">
            <v>52307.039999999994</v>
          </cell>
          <cell r="O22">
            <v>52308</v>
          </cell>
          <cell r="P22">
            <v>-0.96000000000640284</v>
          </cell>
          <cell r="S22">
            <v>104616</v>
          </cell>
          <cell r="T22">
            <v>0</v>
          </cell>
          <cell r="AA22">
            <v>14</v>
          </cell>
        </row>
        <row r="23">
          <cell r="G23" t="str">
            <v>7946P</v>
          </cell>
          <cell r="H23">
            <v>1E-3</v>
          </cell>
          <cell r="J23">
            <v>0</v>
          </cell>
          <cell r="K23">
            <v>0</v>
          </cell>
          <cell r="L23">
            <v>0</v>
          </cell>
          <cell r="N23">
            <v>6.0000000000000005E-2</v>
          </cell>
          <cell r="O23">
            <v>0</v>
          </cell>
          <cell r="P23">
            <v>6.0000000000000005E-2</v>
          </cell>
          <cell r="S23">
            <v>0</v>
          </cell>
          <cell r="T23">
            <v>0</v>
          </cell>
          <cell r="AA23">
            <v>15</v>
          </cell>
        </row>
        <row r="24">
          <cell r="G24" t="str">
            <v>8002</v>
          </cell>
          <cell r="H24">
            <v>1239</v>
          </cell>
          <cell r="J24">
            <v>5879.06</v>
          </cell>
          <cell r="K24">
            <v>5879</v>
          </cell>
          <cell r="L24">
            <v>6.0000000000400178E-2</v>
          </cell>
          <cell r="N24">
            <v>34142.759999999995</v>
          </cell>
          <cell r="O24">
            <v>34144</v>
          </cell>
          <cell r="P24">
            <v>-1.2400000000052387</v>
          </cell>
          <cell r="S24">
            <v>69418</v>
          </cell>
          <cell r="T24">
            <v>0</v>
          </cell>
          <cell r="AA24">
            <v>16</v>
          </cell>
        </row>
        <row r="25">
          <cell r="G25" t="str">
            <v>8008</v>
          </cell>
          <cell r="H25">
            <v>720</v>
          </cell>
          <cell r="J25">
            <v>4117.2</v>
          </cell>
          <cell r="K25">
            <v>4117</v>
          </cell>
          <cell r="L25">
            <v>0.1999999999998181</v>
          </cell>
          <cell r="N25">
            <v>23911.200000000001</v>
          </cell>
          <cell r="O25">
            <v>23911</v>
          </cell>
          <cell r="P25">
            <v>0.2000000000007276</v>
          </cell>
          <cell r="S25">
            <v>48613</v>
          </cell>
          <cell r="T25">
            <v>0</v>
          </cell>
          <cell r="AA25">
            <v>17</v>
          </cell>
        </row>
        <row r="26">
          <cell r="G26" t="str">
            <v>7962</v>
          </cell>
          <cell r="H26">
            <v>2803</v>
          </cell>
          <cell r="J26">
            <v>13176.44</v>
          </cell>
          <cell r="K26">
            <v>13176.44</v>
          </cell>
          <cell r="L26">
            <v>0</v>
          </cell>
          <cell r="N26">
            <v>79058.64</v>
          </cell>
          <cell r="O26">
            <v>79058.64</v>
          </cell>
          <cell r="P26">
            <v>0</v>
          </cell>
          <cell r="S26">
            <v>158117.28</v>
          </cell>
          <cell r="T26">
            <v>0</v>
          </cell>
          <cell r="AA26">
            <v>18</v>
          </cell>
        </row>
        <row r="27">
          <cell r="G27" t="str">
            <v>7780</v>
          </cell>
          <cell r="H27">
            <v>1309</v>
          </cell>
          <cell r="J27">
            <v>2441.2600000000002</v>
          </cell>
          <cell r="K27">
            <v>7362</v>
          </cell>
          <cell r="L27">
            <v>-4920.74</v>
          </cell>
          <cell r="N27">
            <v>19501.060000000005</v>
          </cell>
          <cell r="O27">
            <v>43606.14</v>
          </cell>
          <cell r="P27">
            <v>-24105.079999999994</v>
          </cell>
          <cell r="Q27" t="str">
            <v>Pialago Cleaners is on MRL from 7/1/08-12/31/08 at 20% of sales.</v>
          </cell>
          <cell r="S27">
            <v>87778.14</v>
          </cell>
          <cell r="T27">
            <v>-24105</v>
          </cell>
          <cell r="U27" t="str">
            <v>Pialago Cleaners is on MRL from 7/1/08-12/31/08 at 20% of sales.</v>
          </cell>
          <cell r="AA27">
            <v>19</v>
          </cell>
        </row>
        <row r="28">
          <cell r="G28" t="str">
            <v>8072</v>
          </cell>
          <cell r="H28">
            <v>10752</v>
          </cell>
          <cell r="J28">
            <v>18816</v>
          </cell>
          <cell r="K28">
            <v>18816</v>
          </cell>
          <cell r="L28">
            <v>0</v>
          </cell>
          <cell r="N28">
            <v>112896</v>
          </cell>
          <cell r="O28">
            <v>112896</v>
          </cell>
          <cell r="P28">
            <v>0</v>
          </cell>
          <cell r="S28">
            <v>225792</v>
          </cell>
          <cell r="T28">
            <v>0</v>
          </cell>
          <cell r="AA28">
            <v>20</v>
          </cell>
        </row>
        <row r="29">
          <cell r="G29" t="str">
            <v>7972</v>
          </cell>
          <cell r="H29">
            <v>1524</v>
          </cell>
          <cell r="J29">
            <v>7620</v>
          </cell>
          <cell r="K29">
            <v>7620</v>
          </cell>
          <cell r="L29">
            <v>0</v>
          </cell>
          <cell r="N29">
            <v>45720</v>
          </cell>
          <cell r="O29">
            <v>45720</v>
          </cell>
          <cell r="P29">
            <v>0</v>
          </cell>
          <cell r="S29">
            <v>92775</v>
          </cell>
          <cell r="T29">
            <v>0</v>
          </cell>
          <cell r="AA29">
            <v>21</v>
          </cell>
        </row>
        <row r="30">
          <cell r="G30" t="str">
            <v>7862</v>
          </cell>
          <cell r="H30">
            <v>3045</v>
          </cell>
          <cell r="J30">
            <v>12180</v>
          </cell>
          <cell r="K30">
            <v>12180</v>
          </cell>
          <cell r="L30">
            <v>0</v>
          </cell>
          <cell r="N30">
            <v>72065</v>
          </cell>
          <cell r="O30">
            <v>72064</v>
          </cell>
          <cell r="P30">
            <v>1</v>
          </cell>
          <cell r="S30">
            <v>145144</v>
          </cell>
          <cell r="T30">
            <v>0</v>
          </cell>
          <cell r="AA30">
            <v>22</v>
          </cell>
        </row>
        <row r="31">
          <cell r="G31" t="str">
            <v>7862P</v>
          </cell>
          <cell r="H31">
            <v>1000</v>
          </cell>
          <cell r="J31">
            <v>0.01</v>
          </cell>
          <cell r="K31">
            <v>0</v>
          </cell>
          <cell r="L31">
            <v>0.01</v>
          </cell>
          <cell r="N31">
            <v>6.0000000000000005E-2</v>
          </cell>
          <cell r="O31">
            <v>0</v>
          </cell>
          <cell r="P31">
            <v>6.0000000000000005E-2</v>
          </cell>
          <cell r="S31">
            <v>0</v>
          </cell>
          <cell r="T31">
            <v>0</v>
          </cell>
          <cell r="AA31">
            <v>23</v>
          </cell>
        </row>
        <row r="32">
          <cell r="G32" t="str">
            <v>7958</v>
          </cell>
          <cell r="H32">
            <v>1500</v>
          </cell>
          <cell r="J32">
            <v>6250</v>
          </cell>
          <cell r="K32">
            <v>6250</v>
          </cell>
          <cell r="L32">
            <v>0</v>
          </cell>
          <cell r="N32">
            <v>37500</v>
          </cell>
          <cell r="O32">
            <v>37500</v>
          </cell>
          <cell r="P32">
            <v>0</v>
          </cell>
          <cell r="S32">
            <v>75000</v>
          </cell>
          <cell r="T32">
            <v>0</v>
          </cell>
          <cell r="AA32">
            <v>24</v>
          </cell>
        </row>
        <row r="33">
          <cell r="G33" t="str">
            <v>7776</v>
          </cell>
          <cell r="H33">
            <v>1292</v>
          </cell>
          <cell r="J33">
            <v>5706.33</v>
          </cell>
          <cell r="K33">
            <v>5706</v>
          </cell>
          <cell r="L33">
            <v>0.32999999999992724</v>
          </cell>
          <cell r="N33">
            <v>34237.980000000003</v>
          </cell>
          <cell r="O33">
            <v>34236</v>
          </cell>
          <cell r="P33">
            <v>1.9800000000032014</v>
          </cell>
          <cell r="S33">
            <v>68472</v>
          </cell>
          <cell r="T33">
            <v>0</v>
          </cell>
          <cell r="AA33">
            <v>25</v>
          </cell>
        </row>
        <row r="34">
          <cell r="G34" t="str">
            <v>7876</v>
          </cell>
          <cell r="H34">
            <v>2547</v>
          </cell>
          <cell r="J34">
            <v>7216.5</v>
          </cell>
          <cell r="K34">
            <v>7216</v>
          </cell>
          <cell r="L34">
            <v>0.5</v>
          </cell>
          <cell r="N34">
            <v>43299</v>
          </cell>
          <cell r="O34">
            <v>43296</v>
          </cell>
          <cell r="P34">
            <v>3</v>
          </cell>
          <cell r="S34">
            <v>86592</v>
          </cell>
          <cell r="T34">
            <v>0</v>
          </cell>
          <cell r="AA34">
            <v>26</v>
          </cell>
        </row>
        <row r="35">
          <cell r="G35" t="str">
            <v>7922</v>
          </cell>
          <cell r="H35">
            <v>1244</v>
          </cell>
          <cell r="J35">
            <v>5494.33</v>
          </cell>
          <cell r="K35">
            <v>5494</v>
          </cell>
          <cell r="L35">
            <v>0.32999999999992724</v>
          </cell>
          <cell r="N35">
            <v>32965.980000000003</v>
          </cell>
          <cell r="O35">
            <v>32964</v>
          </cell>
          <cell r="P35">
            <v>1.9800000000032014</v>
          </cell>
          <cell r="S35">
            <v>65928</v>
          </cell>
          <cell r="T35">
            <v>-32964</v>
          </cell>
          <cell r="U35" t="str">
            <v>Unplanned recapture effective 1/1/09.</v>
          </cell>
          <cell r="AA35">
            <v>27</v>
          </cell>
        </row>
        <row r="36">
          <cell r="G36" t="str">
            <v>7772</v>
          </cell>
          <cell r="H36">
            <v>2500</v>
          </cell>
          <cell r="J36">
            <v>10550</v>
          </cell>
          <cell r="K36">
            <v>10550</v>
          </cell>
          <cell r="L36">
            <v>0</v>
          </cell>
          <cell r="N36">
            <v>62100</v>
          </cell>
          <cell r="O36">
            <v>62100</v>
          </cell>
          <cell r="P36">
            <v>0</v>
          </cell>
          <cell r="S36">
            <v>125400</v>
          </cell>
          <cell r="T36">
            <v>0</v>
          </cell>
          <cell r="AA36">
            <v>28</v>
          </cell>
        </row>
        <row r="37">
          <cell r="G37" t="str">
            <v>8032</v>
          </cell>
          <cell r="H37">
            <v>8196</v>
          </cell>
          <cell r="J37">
            <v>29778.799999999999</v>
          </cell>
          <cell r="K37">
            <v>29778.799999999999</v>
          </cell>
          <cell r="L37">
            <v>0</v>
          </cell>
          <cell r="N37">
            <v>178672.8</v>
          </cell>
          <cell r="O37">
            <v>178672.8</v>
          </cell>
          <cell r="P37">
            <v>0</v>
          </cell>
          <cell r="S37">
            <v>357345.59999999992</v>
          </cell>
          <cell r="T37">
            <v>0</v>
          </cell>
          <cell r="AA37">
            <v>29</v>
          </cell>
        </row>
        <row r="38">
          <cell r="G38" t="str">
            <v>7956</v>
          </cell>
          <cell r="H38">
            <v>1118</v>
          </cell>
          <cell r="J38">
            <v>5357</v>
          </cell>
          <cell r="K38">
            <v>5357</v>
          </cell>
          <cell r="L38">
            <v>0</v>
          </cell>
          <cell r="N38">
            <v>32142</v>
          </cell>
          <cell r="O38">
            <v>32142</v>
          </cell>
          <cell r="P38">
            <v>0</v>
          </cell>
          <cell r="S38">
            <v>64284</v>
          </cell>
          <cell r="T38">
            <v>0</v>
          </cell>
          <cell r="AA38">
            <v>30</v>
          </cell>
        </row>
        <row r="39">
          <cell r="G39" t="str">
            <v>7884</v>
          </cell>
          <cell r="H39">
            <v>1125</v>
          </cell>
          <cell r="J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P39">
            <v>0</v>
          </cell>
          <cell r="S39">
            <v>28125</v>
          </cell>
          <cell r="T39">
            <v>-22500</v>
          </cell>
          <cell r="U39" t="str">
            <v>Space will be occupied on June 09 vs. budgeted on Feb 09.</v>
          </cell>
          <cell r="AA39">
            <v>31</v>
          </cell>
        </row>
        <row r="40">
          <cell r="G40" t="str">
            <v>7886</v>
          </cell>
          <cell r="H40">
            <v>1260</v>
          </cell>
          <cell r="J40">
            <v>5775</v>
          </cell>
          <cell r="K40">
            <v>6300</v>
          </cell>
          <cell r="L40">
            <v>-525</v>
          </cell>
          <cell r="N40">
            <v>13599.19</v>
          </cell>
          <cell r="O40">
            <v>6300</v>
          </cell>
          <cell r="P40">
            <v>7299.1900000000005</v>
          </cell>
          <cell r="Q40" t="str">
            <v>Tenant occupied on 10/21/08 earlier than budgeted 12/1/08.</v>
          </cell>
          <cell r="S40">
            <v>44100</v>
          </cell>
          <cell r="T40">
            <v>7824.1900000000005</v>
          </cell>
          <cell r="U40" t="str">
            <v>Tenant occupied on 10/21/08 earlier than budgeted 12/1/08.</v>
          </cell>
          <cell r="AA40">
            <v>32</v>
          </cell>
        </row>
        <row r="41">
          <cell r="G41" t="str">
            <v>7942</v>
          </cell>
          <cell r="H41">
            <v>2153</v>
          </cell>
          <cell r="J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P41">
            <v>0</v>
          </cell>
          <cell r="S41">
            <v>34448</v>
          </cell>
          <cell r="T41">
            <v>807</v>
          </cell>
          <cell r="U41" t="str">
            <v>Space will be occupied on Feb 09 vs. budgeted on Mar 09 at $52.50 psf.</v>
          </cell>
          <cell r="AA41">
            <v>33</v>
          </cell>
        </row>
        <row r="42">
          <cell r="G42">
            <v>0</v>
          </cell>
          <cell r="J42">
            <v>0</v>
          </cell>
          <cell r="K42">
            <v>0</v>
          </cell>
          <cell r="L42">
            <v>0</v>
          </cell>
          <cell r="N42">
            <v>0</v>
          </cell>
          <cell r="O42">
            <v>0</v>
          </cell>
          <cell r="P42">
            <v>0</v>
          </cell>
          <cell r="S42">
            <v>0</v>
          </cell>
          <cell r="T42">
            <v>0</v>
          </cell>
          <cell r="AA42">
            <v>34</v>
          </cell>
        </row>
        <row r="43">
          <cell r="G43">
            <v>0</v>
          </cell>
          <cell r="J43">
            <v>0</v>
          </cell>
          <cell r="K43">
            <v>0</v>
          </cell>
          <cell r="L43">
            <v>0</v>
          </cell>
          <cell r="N43">
            <v>0</v>
          </cell>
          <cell r="O43">
            <v>0</v>
          </cell>
          <cell r="P43">
            <v>0</v>
          </cell>
          <cell r="S43">
            <v>0</v>
          </cell>
          <cell r="T43">
            <v>0</v>
          </cell>
          <cell r="AA43">
            <v>35</v>
          </cell>
        </row>
        <row r="44">
          <cell r="G44">
            <v>0</v>
          </cell>
          <cell r="J44">
            <v>0</v>
          </cell>
          <cell r="K44">
            <v>0</v>
          </cell>
          <cell r="L44">
            <v>0</v>
          </cell>
          <cell r="N44">
            <v>0</v>
          </cell>
          <cell r="O44">
            <v>0</v>
          </cell>
          <cell r="P44">
            <v>0</v>
          </cell>
          <cell r="S44">
            <v>0</v>
          </cell>
          <cell r="T44">
            <v>0</v>
          </cell>
          <cell r="AA44">
            <v>36</v>
          </cell>
        </row>
        <row r="45">
          <cell r="G45">
            <v>0</v>
          </cell>
          <cell r="J45">
            <v>0</v>
          </cell>
          <cell r="K45">
            <v>0</v>
          </cell>
          <cell r="L45">
            <v>0</v>
          </cell>
          <cell r="N45">
            <v>0</v>
          </cell>
          <cell r="O45">
            <v>0</v>
          </cell>
          <cell r="P45">
            <v>0</v>
          </cell>
          <cell r="S45">
            <v>0</v>
          </cell>
          <cell r="T45">
            <v>0</v>
          </cell>
          <cell r="AA45">
            <v>37</v>
          </cell>
        </row>
        <row r="46">
          <cell r="G46">
            <v>0</v>
          </cell>
          <cell r="J46">
            <v>0</v>
          </cell>
          <cell r="K46">
            <v>0</v>
          </cell>
          <cell r="L46">
            <v>0</v>
          </cell>
          <cell r="N46">
            <v>0</v>
          </cell>
          <cell r="O46">
            <v>0</v>
          </cell>
          <cell r="P46">
            <v>0</v>
          </cell>
          <cell r="S46">
            <v>0</v>
          </cell>
          <cell r="T46">
            <v>0</v>
          </cell>
          <cell r="AA46">
            <v>38</v>
          </cell>
        </row>
        <row r="47">
          <cell r="G47">
            <v>0</v>
          </cell>
          <cell r="J47">
            <v>0</v>
          </cell>
          <cell r="K47">
            <v>0</v>
          </cell>
          <cell r="L47">
            <v>0</v>
          </cell>
          <cell r="N47">
            <v>0</v>
          </cell>
          <cell r="O47">
            <v>0</v>
          </cell>
          <cell r="P47">
            <v>0</v>
          </cell>
          <cell r="S47">
            <v>0</v>
          </cell>
          <cell r="T47">
            <v>0</v>
          </cell>
          <cell r="AA47">
            <v>39</v>
          </cell>
        </row>
        <row r="48">
          <cell r="G48">
            <v>0</v>
          </cell>
          <cell r="J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P48">
            <v>0</v>
          </cell>
          <cell r="S48">
            <v>0</v>
          </cell>
          <cell r="T48">
            <v>0</v>
          </cell>
          <cell r="AA48">
            <v>40</v>
          </cell>
        </row>
        <row r="49">
          <cell r="G49">
            <v>0</v>
          </cell>
          <cell r="J49">
            <v>0</v>
          </cell>
          <cell r="K49">
            <v>0</v>
          </cell>
          <cell r="L49">
            <v>0</v>
          </cell>
          <cell r="N49">
            <v>0</v>
          </cell>
          <cell r="O49">
            <v>0</v>
          </cell>
          <cell r="P49">
            <v>0</v>
          </cell>
          <cell r="S49">
            <v>0</v>
          </cell>
          <cell r="T49">
            <v>0</v>
          </cell>
          <cell r="AA49">
            <v>41</v>
          </cell>
        </row>
        <row r="50">
          <cell r="G50">
            <v>0</v>
          </cell>
          <cell r="J50">
            <v>0</v>
          </cell>
          <cell r="K50">
            <v>0</v>
          </cell>
          <cell r="L50">
            <v>0</v>
          </cell>
          <cell r="N50">
            <v>0</v>
          </cell>
          <cell r="O50">
            <v>0</v>
          </cell>
          <cell r="P50">
            <v>0</v>
          </cell>
          <cell r="S50">
            <v>0</v>
          </cell>
          <cell r="T50">
            <v>0</v>
          </cell>
          <cell r="AA50">
            <v>42</v>
          </cell>
        </row>
        <row r="51">
          <cell r="G51">
            <v>0</v>
          </cell>
          <cell r="J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P51">
            <v>0</v>
          </cell>
          <cell r="S51">
            <v>0</v>
          </cell>
          <cell r="T51">
            <v>0</v>
          </cell>
          <cell r="AA51">
            <v>43</v>
          </cell>
        </row>
        <row r="52">
          <cell r="G52">
            <v>0</v>
          </cell>
          <cell r="J52">
            <v>0</v>
          </cell>
          <cell r="K52">
            <v>0</v>
          </cell>
          <cell r="L52">
            <v>0</v>
          </cell>
          <cell r="N52">
            <v>0</v>
          </cell>
          <cell r="O52">
            <v>0</v>
          </cell>
          <cell r="P52">
            <v>0</v>
          </cell>
          <cell r="S52">
            <v>0</v>
          </cell>
          <cell r="T52">
            <v>0</v>
          </cell>
          <cell r="AA52">
            <v>44</v>
          </cell>
        </row>
        <row r="53">
          <cell r="G53">
            <v>0</v>
          </cell>
          <cell r="J53">
            <v>0</v>
          </cell>
          <cell r="K53">
            <v>0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S53">
            <v>0</v>
          </cell>
          <cell r="T53">
            <v>0</v>
          </cell>
          <cell r="AA53">
            <v>45</v>
          </cell>
        </row>
        <row r="54">
          <cell r="G54">
            <v>0</v>
          </cell>
          <cell r="J54">
            <v>0</v>
          </cell>
          <cell r="K54">
            <v>0</v>
          </cell>
          <cell r="L54">
            <v>0</v>
          </cell>
          <cell r="N54">
            <v>0</v>
          </cell>
          <cell r="O54">
            <v>0</v>
          </cell>
          <cell r="P54">
            <v>0</v>
          </cell>
          <cell r="S54">
            <v>0</v>
          </cell>
          <cell r="T54">
            <v>0</v>
          </cell>
          <cell r="AA54">
            <v>46</v>
          </cell>
        </row>
        <row r="55">
          <cell r="G55">
            <v>0</v>
          </cell>
          <cell r="J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P55">
            <v>0</v>
          </cell>
          <cell r="S55">
            <v>0</v>
          </cell>
          <cell r="T55">
            <v>0</v>
          </cell>
          <cell r="AA55">
            <v>47</v>
          </cell>
        </row>
        <row r="56">
          <cell r="G56">
            <v>0</v>
          </cell>
          <cell r="J56">
            <v>0</v>
          </cell>
          <cell r="K56">
            <v>0</v>
          </cell>
          <cell r="L56">
            <v>0</v>
          </cell>
          <cell r="N56">
            <v>0</v>
          </cell>
          <cell r="O56">
            <v>0</v>
          </cell>
          <cell r="P56">
            <v>0</v>
          </cell>
          <cell r="S56">
            <v>0</v>
          </cell>
          <cell r="T56">
            <v>0</v>
          </cell>
          <cell r="AA56">
            <v>48</v>
          </cell>
        </row>
        <row r="57">
          <cell r="G57">
            <v>0</v>
          </cell>
          <cell r="J57">
            <v>0</v>
          </cell>
          <cell r="K57">
            <v>0</v>
          </cell>
          <cell r="L57">
            <v>0</v>
          </cell>
          <cell r="N57">
            <v>0</v>
          </cell>
          <cell r="O57">
            <v>0</v>
          </cell>
          <cell r="P57">
            <v>0</v>
          </cell>
          <cell r="S57">
            <v>0</v>
          </cell>
          <cell r="T57">
            <v>0</v>
          </cell>
          <cell r="AA57">
            <v>49</v>
          </cell>
        </row>
        <row r="58">
          <cell r="G58">
            <v>0</v>
          </cell>
          <cell r="J58">
            <v>0</v>
          </cell>
          <cell r="K58">
            <v>0</v>
          </cell>
          <cell r="L58">
            <v>0</v>
          </cell>
          <cell r="N58">
            <v>0</v>
          </cell>
          <cell r="O58">
            <v>0</v>
          </cell>
          <cell r="P58">
            <v>0</v>
          </cell>
          <cell r="S58">
            <v>0</v>
          </cell>
          <cell r="T58">
            <v>0</v>
          </cell>
          <cell r="AA58">
            <v>50</v>
          </cell>
        </row>
        <row r="59">
          <cell r="G59">
            <v>0</v>
          </cell>
          <cell r="J59">
            <v>0</v>
          </cell>
          <cell r="K59">
            <v>0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S59">
            <v>0</v>
          </cell>
          <cell r="T59">
            <v>0</v>
          </cell>
          <cell r="AA59">
            <v>51</v>
          </cell>
        </row>
        <row r="60">
          <cell r="G60">
            <v>0</v>
          </cell>
          <cell r="J60">
            <v>0</v>
          </cell>
          <cell r="K60">
            <v>0</v>
          </cell>
          <cell r="L60">
            <v>0</v>
          </cell>
          <cell r="N60">
            <v>0</v>
          </cell>
          <cell r="O60">
            <v>0</v>
          </cell>
          <cell r="P60">
            <v>0</v>
          </cell>
          <cell r="S60">
            <v>0</v>
          </cell>
          <cell r="T60">
            <v>0</v>
          </cell>
          <cell r="AA60">
            <v>52</v>
          </cell>
        </row>
        <row r="61">
          <cell r="G61">
            <v>0</v>
          </cell>
          <cell r="J61">
            <v>0</v>
          </cell>
          <cell r="K61">
            <v>0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S61">
            <v>0</v>
          </cell>
          <cell r="T61">
            <v>0</v>
          </cell>
          <cell r="AA61">
            <v>53</v>
          </cell>
        </row>
        <row r="62">
          <cell r="G62">
            <v>0</v>
          </cell>
          <cell r="J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P62">
            <v>0</v>
          </cell>
          <cell r="S62">
            <v>0</v>
          </cell>
          <cell r="T62">
            <v>0</v>
          </cell>
          <cell r="AA62">
            <v>54</v>
          </cell>
        </row>
        <row r="63">
          <cell r="G63">
            <v>0</v>
          </cell>
          <cell r="J63">
            <v>0</v>
          </cell>
          <cell r="K63">
            <v>0</v>
          </cell>
          <cell r="L63">
            <v>0</v>
          </cell>
          <cell r="N63">
            <v>0</v>
          </cell>
          <cell r="O63">
            <v>0</v>
          </cell>
          <cell r="P63">
            <v>0</v>
          </cell>
          <cell r="S63">
            <v>0</v>
          </cell>
          <cell r="T63">
            <v>0</v>
          </cell>
          <cell r="AA63">
            <v>55</v>
          </cell>
        </row>
        <row r="64">
          <cell r="G64">
            <v>0</v>
          </cell>
          <cell r="J64">
            <v>0</v>
          </cell>
          <cell r="K64">
            <v>0</v>
          </cell>
          <cell r="L64">
            <v>0</v>
          </cell>
          <cell r="N64">
            <v>0</v>
          </cell>
          <cell r="O64">
            <v>0</v>
          </cell>
          <cell r="P64">
            <v>0</v>
          </cell>
          <cell r="S64">
            <v>0</v>
          </cell>
          <cell r="T64">
            <v>0</v>
          </cell>
          <cell r="AA64">
            <v>56</v>
          </cell>
        </row>
        <row r="65">
          <cell r="G65">
            <v>0</v>
          </cell>
          <cell r="J65">
            <v>0</v>
          </cell>
          <cell r="K65">
            <v>0</v>
          </cell>
          <cell r="L65">
            <v>0</v>
          </cell>
          <cell r="N65">
            <v>0</v>
          </cell>
          <cell r="O65">
            <v>0</v>
          </cell>
          <cell r="P65">
            <v>0</v>
          </cell>
          <cell r="S65">
            <v>0</v>
          </cell>
          <cell r="T65">
            <v>0</v>
          </cell>
          <cell r="AA65">
            <v>57</v>
          </cell>
        </row>
        <row r="66">
          <cell r="G66">
            <v>0</v>
          </cell>
          <cell r="J66">
            <v>0</v>
          </cell>
          <cell r="K66">
            <v>0</v>
          </cell>
          <cell r="L66">
            <v>0</v>
          </cell>
          <cell r="N66">
            <v>0</v>
          </cell>
          <cell r="O66">
            <v>0</v>
          </cell>
          <cell r="P66">
            <v>0</v>
          </cell>
          <cell r="S66">
            <v>0</v>
          </cell>
          <cell r="T66">
            <v>0</v>
          </cell>
          <cell r="AA66">
            <v>58</v>
          </cell>
        </row>
        <row r="67">
          <cell r="G67">
            <v>0</v>
          </cell>
          <cell r="J67">
            <v>0</v>
          </cell>
          <cell r="K67">
            <v>0</v>
          </cell>
          <cell r="L67">
            <v>0</v>
          </cell>
          <cell r="N67">
            <v>0</v>
          </cell>
          <cell r="O67">
            <v>0</v>
          </cell>
          <cell r="P67">
            <v>0</v>
          </cell>
          <cell r="S67">
            <v>0</v>
          </cell>
          <cell r="T67">
            <v>0</v>
          </cell>
          <cell r="AA67">
            <v>59</v>
          </cell>
        </row>
        <row r="68">
          <cell r="G68">
            <v>0</v>
          </cell>
          <cell r="J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P68">
            <v>0</v>
          </cell>
          <cell r="S68">
            <v>0</v>
          </cell>
          <cell r="T68">
            <v>0</v>
          </cell>
          <cell r="AA68">
            <v>60</v>
          </cell>
        </row>
        <row r="69">
          <cell r="G69">
            <v>0</v>
          </cell>
          <cell r="J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P69">
            <v>0</v>
          </cell>
          <cell r="S69">
            <v>0</v>
          </cell>
          <cell r="T69">
            <v>0</v>
          </cell>
          <cell r="AA69">
            <v>61</v>
          </cell>
        </row>
        <row r="70">
          <cell r="G70">
            <v>0</v>
          </cell>
          <cell r="J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P70">
            <v>0</v>
          </cell>
          <cell r="S70">
            <v>0</v>
          </cell>
          <cell r="T70">
            <v>0</v>
          </cell>
          <cell r="AA70">
            <v>62</v>
          </cell>
        </row>
        <row r="71">
          <cell r="G71">
            <v>0</v>
          </cell>
          <cell r="J71">
            <v>0</v>
          </cell>
          <cell r="K71">
            <v>0</v>
          </cell>
          <cell r="L71">
            <v>0</v>
          </cell>
          <cell r="N71">
            <v>0</v>
          </cell>
          <cell r="O71">
            <v>0</v>
          </cell>
          <cell r="P71">
            <v>0</v>
          </cell>
          <cell r="S71">
            <v>0</v>
          </cell>
          <cell r="T71">
            <v>0</v>
          </cell>
          <cell r="AA71">
            <v>63</v>
          </cell>
        </row>
        <row r="72">
          <cell r="G72">
            <v>0</v>
          </cell>
          <cell r="J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P72">
            <v>0</v>
          </cell>
          <cell r="S72">
            <v>0</v>
          </cell>
          <cell r="T72">
            <v>0</v>
          </cell>
          <cell r="AA72">
            <v>64</v>
          </cell>
        </row>
        <row r="73">
          <cell r="G73">
            <v>0</v>
          </cell>
          <cell r="J73">
            <v>0</v>
          </cell>
          <cell r="K73">
            <v>0</v>
          </cell>
          <cell r="L73">
            <v>0</v>
          </cell>
          <cell r="N73">
            <v>0</v>
          </cell>
          <cell r="O73">
            <v>0</v>
          </cell>
          <cell r="P73">
            <v>0</v>
          </cell>
          <cell r="S73">
            <v>0</v>
          </cell>
          <cell r="T73">
            <v>0</v>
          </cell>
          <cell r="AA73">
            <v>65</v>
          </cell>
        </row>
        <row r="74">
          <cell r="G74">
            <v>0</v>
          </cell>
          <cell r="J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P74">
            <v>0</v>
          </cell>
          <cell r="S74">
            <v>0</v>
          </cell>
          <cell r="T74">
            <v>0</v>
          </cell>
          <cell r="AA74">
            <v>66</v>
          </cell>
        </row>
        <row r="75">
          <cell r="G75">
            <v>0</v>
          </cell>
          <cell r="J75">
            <v>0</v>
          </cell>
          <cell r="K75">
            <v>0</v>
          </cell>
          <cell r="L75">
            <v>0</v>
          </cell>
          <cell r="N75">
            <v>0</v>
          </cell>
          <cell r="O75">
            <v>0</v>
          </cell>
          <cell r="P75">
            <v>0</v>
          </cell>
          <cell r="S75">
            <v>0</v>
          </cell>
          <cell r="T75">
            <v>0</v>
          </cell>
          <cell r="AA75">
            <v>67</v>
          </cell>
        </row>
        <row r="76">
          <cell r="G76">
            <v>0</v>
          </cell>
          <cell r="J76">
            <v>0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P76">
            <v>0</v>
          </cell>
          <cell r="S76">
            <v>0</v>
          </cell>
          <cell r="T76">
            <v>0</v>
          </cell>
          <cell r="AA76">
            <v>68</v>
          </cell>
        </row>
        <row r="77">
          <cell r="G77">
            <v>0</v>
          </cell>
          <cell r="J77">
            <v>0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P77">
            <v>0</v>
          </cell>
          <cell r="S77">
            <v>0</v>
          </cell>
          <cell r="T77">
            <v>0</v>
          </cell>
          <cell r="AA77">
            <v>69</v>
          </cell>
        </row>
        <row r="78">
          <cell r="G78">
            <v>0</v>
          </cell>
          <cell r="J78">
            <v>0</v>
          </cell>
          <cell r="K78">
            <v>0</v>
          </cell>
          <cell r="L78">
            <v>0</v>
          </cell>
          <cell r="N78">
            <v>0</v>
          </cell>
          <cell r="O78">
            <v>0</v>
          </cell>
          <cell r="P78">
            <v>0</v>
          </cell>
          <cell r="S78">
            <v>0</v>
          </cell>
          <cell r="T78">
            <v>0</v>
          </cell>
          <cell r="AA78">
            <v>70</v>
          </cell>
        </row>
        <row r="79">
          <cell r="G79">
            <v>0</v>
          </cell>
          <cell r="J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S79">
            <v>0</v>
          </cell>
          <cell r="T79">
            <v>0</v>
          </cell>
          <cell r="AA79">
            <v>71</v>
          </cell>
        </row>
        <row r="80">
          <cell r="G80">
            <v>0</v>
          </cell>
          <cell r="J80">
            <v>0</v>
          </cell>
          <cell r="K80">
            <v>0</v>
          </cell>
          <cell r="L80">
            <v>0</v>
          </cell>
          <cell r="N80">
            <v>0</v>
          </cell>
          <cell r="O80">
            <v>0</v>
          </cell>
          <cell r="P80">
            <v>0</v>
          </cell>
          <cell r="S80">
            <v>0</v>
          </cell>
          <cell r="T80">
            <v>0</v>
          </cell>
          <cell r="AA80">
            <v>72</v>
          </cell>
        </row>
        <row r="81">
          <cell r="G81">
            <v>0</v>
          </cell>
          <cell r="J81">
            <v>0</v>
          </cell>
          <cell r="K81">
            <v>0</v>
          </cell>
          <cell r="L81">
            <v>0</v>
          </cell>
          <cell r="N81">
            <v>0</v>
          </cell>
          <cell r="O81">
            <v>0</v>
          </cell>
          <cell r="P81">
            <v>0</v>
          </cell>
          <cell r="S81">
            <v>0</v>
          </cell>
          <cell r="T81">
            <v>0</v>
          </cell>
          <cell r="AA81">
            <v>73</v>
          </cell>
        </row>
        <row r="82">
          <cell r="G82">
            <v>0</v>
          </cell>
          <cell r="J82">
            <v>0</v>
          </cell>
          <cell r="K82">
            <v>0</v>
          </cell>
          <cell r="L82">
            <v>0</v>
          </cell>
          <cell r="N82">
            <v>0</v>
          </cell>
          <cell r="O82">
            <v>0</v>
          </cell>
          <cell r="P82">
            <v>0</v>
          </cell>
          <cell r="S82">
            <v>0</v>
          </cell>
          <cell r="T82">
            <v>0</v>
          </cell>
          <cell r="AA82">
            <v>74</v>
          </cell>
        </row>
        <row r="83">
          <cell r="G83">
            <v>0</v>
          </cell>
          <cell r="J83">
            <v>0</v>
          </cell>
          <cell r="K83">
            <v>0</v>
          </cell>
          <cell r="L83">
            <v>0</v>
          </cell>
          <cell r="N83">
            <v>0</v>
          </cell>
          <cell r="O83">
            <v>0</v>
          </cell>
          <cell r="P83">
            <v>0</v>
          </cell>
          <cell r="S83">
            <v>0</v>
          </cell>
          <cell r="T83">
            <v>0</v>
          </cell>
          <cell r="AA83">
            <v>75</v>
          </cell>
        </row>
        <row r="84">
          <cell r="G84">
            <v>0</v>
          </cell>
          <cell r="J84">
            <v>0</v>
          </cell>
          <cell r="K84">
            <v>0</v>
          </cell>
          <cell r="L84">
            <v>0</v>
          </cell>
          <cell r="N84">
            <v>0</v>
          </cell>
          <cell r="O84">
            <v>0</v>
          </cell>
          <cell r="P84">
            <v>0</v>
          </cell>
          <cell r="S84">
            <v>0</v>
          </cell>
          <cell r="T84">
            <v>0</v>
          </cell>
          <cell r="AA84">
            <v>76</v>
          </cell>
        </row>
        <row r="85">
          <cell r="G85">
            <v>0</v>
          </cell>
          <cell r="J85">
            <v>0</v>
          </cell>
          <cell r="K85">
            <v>0</v>
          </cell>
          <cell r="L85">
            <v>0</v>
          </cell>
          <cell r="N85">
            <v>0</v>
          </cell>
          <cell r="O85">
            <v>0</v>
          </cell>
          <cell r="P85">
            <v>0</v>
          </cell>
          <cell r="S85">
            <v>0</v>
          </cell>
          <cell r="T85">
            <v>0</v>
          </cell>
          <cell r="AA85">
            <v>77</v>
          </cell>
        </row>
        <row r="86">
          <cell r="G86">
            <v>0</v>
          </cell>
          <cell r="J86">
            <v>0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P86">
            <v>0</v>
          </cell>
          <cell r="S86">
            <v>0</v>
          </cell>
          <cell r="T86">
            <v>0</v>
          </cell>
          <cell r="AA86">
            <v>78</v>
          </cell>
        </row>
        <row r="87">
          <cell r="G87">
            <v>0</v>
          </cell>
          <cell r="J87">
            <v>0</v>
          </cell>
          <cell r="K87">
            <v>0</v>
          </cell>
          <cell r="L87">
            <v>0</v>
          </cell>
          <cell r="N87">
            <v>0</v>
          </cell>
          <cell r="O87">
            <v>0</v>
          </cell>
          <cell r="P87">
            <v>0</v>
          </cell>
          <cell r="S87">
            <v>0</v>
          </cell>
          <cell r="T87">
            <v>0</v>
          </cell>
          <cell r="AA87">
            <v>79</v>
          </cell>
        </row>
        <row r="88">
          <cell r="G88">
            <v>0</v>
          </cell>
          <cell r="J88">
            <v>0</v>
          </cell>
          <cell r="K88">
            <v>0</v>
          </cell>
          <cell r="L88">
            <v>0</v>
          </cell>
          <cell r="N88">
            <v>0</v>
          </cell>
          <cell r="O88">
            <v>0</v>
          </cell>
          <cell r="P88">
            <v>0</v>
          </cell>
          <cell r="S88">
            <v>0</v>
          </cell>
          <cell r="T88">
            <v>0</v>
          </cell>
          <cell r="AA88">
            <v>80</v>
          </cell>
        </row>
        <row r="89">
          <cell r="G89">
            <v>0</v>
          </cell>
          <cell r="J89">
            <v>0</v>
          </cell>
          <cell r="K89">
            <v>0</v>
          </cell>
          <cell r="L89">
            <v>0</v>
          </cell>
          <cell r="N89">
            <v>0</v>
          </cell>
          <cell r="O89">
            <v>0</v>
          </cell>
          <cell r="P89">
            <v>0</v>
          </cell>
          <cell r="S89">
            <v>0</v>
          </cell>
          <cell r="T89">
            <v>0</v>
          </cell>
          <cell r="AA89">
            <v>81</v>
          </cell>
        </row>
        <row r="90">
          <cell r="G90">
            <v>0</v>
          </cell>
          <cell r="J90">
            <v>0</v>
          </cell>
          <cell r="K90">
            <v>0</v>
          </cell>
          <cell r="L90">
            <v>0</v>
          </cell>
          <cell r="N90">
            <v>0</v>
          </cell>
          <cell r="O90">
            <v>0</v>
          </cell>
          <cell r="P90">
            <v>0</v>
          </cell>
          <cell r="S90">
            <v>0</v>
          </cell>
          <cell r="T90">
            <v>0</v>
          </cell>
          <cell r="AA90">
            <v>82</v>
          </cell>
        </row>
        <row r="91">
          <cell r="G91">
            <v>0</v>
          </cell>
          <cell r="J91">
            <v>0</v>
          </cell>
          <cell r="K91">
            <v>0</v>
          </cell>
          <cell r="L91">
            <v>0</v>
          </cell>
          <cell r="N91">
            <v>0</v>
          </cell>
          <cell r="O91">
            <v>0</v>
          </cell>
          <cell r="P91">
            <v>0</v>
          </cell>
          <cell r="S91">
            <v>0</v>
          </cell>
          <cell r="T91">
            <v>0</v>
          </cell>
          <cell r="AA91">
            <v>83</v>
          </cell>
        </row>
        <row r="92">
          <cell r="G92">
            <v>0</v>
          </cell>
          <cell r="J92">
            <v>0</v>
          </cell>
          <cell r="K92">
            <v>0</v>
          </cell>
          <cell r="L92">
            <v>0</v>
          </cell>
          <cell r="N92">
            <v>0</v>
          </cell>
          <cell r="O92">
            <v>0</v>
          </cell>
          <cell r="P92">
            <v>0</v>
          </cell>
          <cell r="S92">
            <v>0</v>
          </cell>
          <cell r="T92">
            <v>0</v>
          </cell>
          <cell r="AA92">
            <v>84</v>
          </cell>
        </row>
        <row r="93">
          <cell r="G93">
            <v>0</v>
          </cell>
          <cell r="J93">
            <v>0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P93">
            <v>0</v>
          </cell>
          <cell r="S93">
            <v>0</v>
          </cell>
          <cell r="T93">
            <v>0</v>
          </cell>
          <cell r="AA93">
            <v>85</v>
          </cell>
        </row>
        <row r="94">
          <cell r="G94">
            <v>0</v>
          </cell>
          <cell r="J94">
            <v>0</v>
          </cell>
          <cell r="K94">
            <v>0</v>
          </cell>
          <cell r="L94">
            <v>0</v>
          </cell>
          <cell r="N94">
            <v>0</v>
          </cell>
          <cell r="O94">
            <v>0</v>
          </cell>
          <cell r="P94">
            <v>0</v>
          </cell>
          <cell r="S94">
            <v>0</v>
          </cell>
          <cell r="T94">
            <v>0</v>
          </cell>
          <cell r="AA94">
            <v>86</v>
          </cell>
        </row>
        <row r="95">
          <cell r="G95">
            <v>0</v>
          </cell>
          <cell r="J95">
            <v>0</v>
          </cell>
          <cell r="K95">
            <v>0</v>
          </cell>
          <cell r="L95">
            <v>0</v>
          </cell>
          <cell r="N95">
            <v>0</v>
          </cell>
          <cell r="O95">
            <v>0</v>
          </cell>
          <cell r="P95">
            <v>0</v>
          </cell>
          <cell r="S95">
            <v>0</v>
          </cell>
          <cell r="T95">
            <v>0</v>
          </cell>
          <cell r="AA95">
            <v>87</v>
          </cell>
        </row>
        <row r="96">
          <cell r="G96">
            <v>0</v>
          </cell>
          <cell r="J96">
            <v>0</v>
          </cell>
          <cell r="K96">
            <v>0</v>
          </cell>
          <cell r="L96">
            <v>0</v>
          </cell>
          <cell r="N96">
            <v>0</v>
          </cell>
          <cell r="O96">
            <v>0</v>
          </cell>
          <cell r="P96">
            <v>0</v>
          </cell>
          <cell r="S96">
            <v>0</v>
          </cell>
          <cell r="T96">
            <v>0</v>
          </cell>
          <cell r="AA96">
            <v>88</v>
          </cell>
        </row>
        <row r="97">
          <cell r="G97">
            <v>0</v>
          </cell>
          <cell r="J97">
            <v>0</v>
          </cell>
          <cell r="K97">
            <v>0</v>
          </cell>
          <cell r="L97">
            <v>0</v>
          </cell>
          <cell r="N97">
            <v>0</v>
          </cell>
          <cell r="O97">
            <v>0</v>
          </cell>
          <cell r="P97">
            <v>0</v>
          </cell>
          <cell r="S97">
            <v>0</v>
          </cell>
          <cell r="T97">
            <v>0</v>
          </cell>
          <cell r="AA97">
            <v>89</v>
          </cell>
        </row>
        <row r="98">
          <cell r="G98">
            <v>0</v>
          </cell>
          <cell r="J98">
            <v>0</v>
          </cell>
          <cell r="K98">
            <v>0</v>
          </cell>
          <cell r="L98">
            <v>0</v>
          </cell>
          <cell r="N98">
            <v>0</v>
          </cell>
          <cell r="O98">
            <v>0</v>
          </cell>
          <cell r="P98">
            <v>0</v>
          </cell>
          <cell r="S98">
            <v>0</v>
          </cell>
          <cell r="T98">
            <v>0</v>
          </cell>
          <cell r="AA98">
            <v>90</v>
          </cell>
        </row>
        <row r="99">
          <cell r="G99">
            <v>0</v>
          </cell>
          <cell r="J99">
            <v>0</v>
          </cell>
          <cell r="K99">
            <v>0</v>
          </cell>
          <cell r="L99">
            <v>0</v>
          </cell>
          <cell r="N99">
            <v>0</v>
          </cell>
          <cell r="O99">
            <v>0</v>
          </cell>
          <cell r="P99">
            <v>0</v>
          </cell>
          <cell r="S99">
            <v>0</v>
          </cell>
          <cell r="T99">
            <v>0</v>
          </cell>
          <cell r="AA99">
            <v>91</v>
          </cell>
        </row>
        <row r="100">
          <cell r="G100">
            <v>0</v>
          </cell>
          <cell r="J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P100">
            <v>0</v>
          </cell>
          <cell r="S100">
            <v>0</v>
          </cell>
          <cell r="T100">
            <v>0</v>
          </cell>
          <cell r="AA100">
            <v>92</v>
          </cell>
        </row>
        <row r="101">
          <cell r="G101">
            <v>0</v>
          </cell>
          <cell r="J101">
            <v>0</v>
          </cell>
          <cell r="K101">
            <v>0</v>
          </cell>
          <cell r="L101">
            <v>0</v>
          </cell>
          <cell r="N101">
            <v>0</v>
          </cell>
          <cell r="O101">
            <v>0</v>
          </cell>
          <cell r="P101">
            <v>0</v>
          </cell>
          <cell r="S101">
            <v>0</v>
          </cell>
          <cell r="T101">
            <v>0</v>
          </cell>
          <cell r="AA101">
            <v>93</v>
          </cell>
        </row>
        <row r="102">
          <cell r="G102">
            <v>0</v>
          </cell>
          <cell r="J102">
            <v>0</v>
          </cell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P102">
            <v>0</v>
          </cell>
          <cell r="S102">
            <v>0</v>
          </cell>
          <cell r="T102">
            <v>0</v>
          </cell>
          <cell r="AA102">
            <v>94</v>
          </cell>
        </row>
        <row r="103">
          <cell r="G103">
            <v>0</v>
          </cell>
          <cell r="J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P103">
            <v>0</v>
          </cell>
          <cell r="S103">
            <v>0</v>
          </cell>
          <cell r="T103">
            <v>0</v>
          </cell>
          <cell r="AA103">
            <v>95</v>
          </cell>
        </row>
        <row r="104">
          <cell r="G104">
            <v>0</v>
          </cell>
          <cell r="J104">
            <v>0</v>
          </cell>
          <cell r="K104">
            <v>0</v>
          </cell>
          <cell r="L104">
            <v>0</v>
          </cell>
          <cell r="N104">
            <v>0</v>
          </cell>
          <cell r="O104">
            <v>0</v>
          </cell>
          <cell r="P104">
            <v>0</v>
          </cell>
          <cell r="S104">
            <v>0</v>
          </cell>
          <cell r="T104">
            <v>0</v>
          </cell>
          <cell r="AA104">
            <v>96</v>
          </cell>
        </row>
        <row r="105">
          <cell r="G105">
            <v>0</v>
          </cell>
          <cell r="J105">
            <v>0</v>
          </cell>
          <cell r="K105">
            <v>0</v>
          </cell>
          <cell r="L105">
            <v>0</v>
          </cell>
          <cell r="N105">
            <v>0</v>
          </cell>
          <cell r="O105">
            <v>0</v>
          </cell>
          <cell r="P105">
            <v>0</v>
          </cell>
          <cell r="S105">
            <v>0</v>
          </cell>
          <cell r="T105">
            <v>0</v>
          </cell>
          <cell r="AA105">
            <v>97</v>
          </cell>
        </row>
        <row r="106">
          <cell r="G106">
            <v>0</v>
          </cell>
          <cell r="J106">
            <v>0</v>
          </cell>
          <cell r="K106">
            <v>0</v>
          </cell>
          <cell r="L106">
            <v>0</v>
          </cell>
          <cell r="N106">
            <v>0</v>
          </cell>
          <cell r="O106">
            <v>0</v>
          </cell>
          <cell r="P106">
            <v>0</v>
          </cell>
          <cell r="S106">
            <v>0</v>
          </cell>
          <cell r="T106">
            <v>0</v>
          </cell>
          <cell r="AA106">
            <v>98</v>
          </cell>
        </row>
        <row r="107">
          <cell r="G107">
            <v>0</v>
          </cell>
          <cell r="J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P107">
            <v>0</v>
          </cell>
          <cell r="S107">
            <v>0</v>
          </cell>
          <cell r="T107">
            <v>0</v>
          </cell>
          <cell r="AA107">
            <v>99</v>
          </cell>
        </row>
        <row r="108">
          <cell r="G108">
            <v>0</v>
          </cell>
          <cell r="J108">
            <v>0</v>
          </cell>
          <cell r="K108">
            <v>0</v>
          </cell>
          <cell r="L108">
            <v>0</v>
          </cell>
          <cell r="N108">
            <v>0</v>
          </cell>
          <cell r="O108">
            <v>0</v>
          </cell>
          <cell r="P108">
            <v>0</v>
          </cell>
          <cell r="S108">
            <v>0</v>
          </cell>
          <cell r="T108">
            <v>0</v>
          </cell>
          <cell r="AA108">
            <v>100</v>
          </cell>
        </row>
        <row r="109">
          <cell r="G109">
            <v>0</v>
          </cell>
          <cell r="J109">
            <v>0</v>
          </cell>
          <cell r="K109">
            <v>0</v>
          </cell>
          <cell r="L109">
            <v>0</v>
          </cell>
          <cell r="N109">
            <v>0</v>
          </cell>
          <cell r="O109">
            <v>0</v>
          </cell>
          <cell r="P109">
            <v>0</v>
          </cell>
          <cell r="S109">
            <v>0</v>
          </cell>
          <cell r="T109">
            <v>0</v>
          </cell>
          <cell r="AA109">
            <v>101</v>
          </cell>
        </row>
        <row r="110">
          <cell r="G110">
            <v>0</v>
          </cell>
          <cell r="J110">
            <v>0</v>
          </cell>
          <cell r="K110">
            <v>0</v>
          </cell>
          <cell r="L110">
            <v>0</v>
          </cell>
          <cell r="N110">
            <v>0</v>
          </cell>
          <cell r="O110">
            <v>0</v>
          </cell>
          <cell r="P110">
            <v>0</v>
          </cell>
          <cell r="S110">
            <v>0</v>
          </cell>
          <cell r="T110">
            <v>0</v>
          </cell>
          <cell r="AA110">
            <v>102</v>
          </cell>
        </row>
        <row r="111">
          <cell r="G111">
            <v>0</v>
          </cell>
          <cell r="J111">
            <v>0</v>
          </cell>
          <cell r="K111">
            <v>0</v>
          </cell>
          <cell r="L111">
            <v>0</v>
          </cell>
          <cell r="N111">
            <v>0</v>
          </cell>
          <cell r="O111">
            <v>0</v>
          </cell>
          <cell r="P111">
            <v>0</v>
          </cell>
          <cell r="S111">
            <v>0</v>
          </cell>
          <cell r="T111">
            <v>0</v>
          </cell>
          <cell r="AA111">
            <v>103</v>
          </cell>
        </row>
        <row r="112">
          <cell r="G112">
            <v>0</v>
          </cell>
          <cell r="J112">
            <v>0</v>
          </cell>
          <cell r="K112">
            <v>0</v>
          </cell>
          <cell r="L112">
            <v>0</v>
          </cell>
          <cell r="N112">
            <v>0</v>
          </cell>
          <cell r="O112">
            <v>0</v>
          </cell>
          <cell r="P112">
            <v>0</v>
          </cell>
          <cell r="S112">
            <v>0</v>
          </cell>
          <cell r="T112">
            <v>0</v>
          </cell>
          <cell r="AA112">
            <v>104</v>
          </cell>
        </row>
        <row r="113">
          <cell r="G113">
            <v>0</v>
          </cell>
          <cell r="J113">
            <v>0</v>
          </cell>
          <cell r="K113">
            <v>0</v>
          </cell>
          <cell r="L113">
            <v>0</v>
          </cell>
          <cell r="N113">
            <v>0</v>
          </cell>
          <cell r="O113">
            <v>0</v>
          </cell>
          <cell r="P113">
            <v>0</v>
          </cell>
          <cell r="S113">
            <v>0</v>
          </cell>
          <cell r="T113">
            <v>0</v>
          </cell>
          <cell r="AA113">
            <v>105</v>
          </cell>
        </row>
        <row r="114">
          <cell r="G114">
            <v>0</v>
          </cell>
          <cell r="J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P114">
            <v>0</v>
          </cell>
          <cell r="S114">
            <v>0</v>
          </cell>
          <cell r="T114">
            <v>0</v>
          </cell>
          <cell r="AA114">
            <v>106</v>
          </cell>
        </row>
        <row r="115">
          <cell r="G115">
            <v>0</v>
          </cell>
          <cell r="J115">
            <v>0</v>
          </cell>
          <cell r="K115">
            <v>0</v>
          </cell>
          <cell r="L115">
            <v>0</v>
          </cell>
          <cell r="N115">
            <v>0</v>
          </cell>
          <cell r="O115">
            <v>0</v>
          </cell>
          <cell r="P115">
            <v>0</v>
          </cell>
          <cell r="S115">
            <v>0</v>
          </cell>
          <cell r="T115">
            <v>0</v>
          </cell>
          <cell r="AA115">
            <v>107</v>
          </cell>
        </row>
        <row r="116">
          <cell r="G116">
            <v>0</v>
          </cell>
          <cell r="J116">
            <v>0</v>
          </cell>
          <cell r="K116">
            <v>0</v>
          </cell>
          <cell r="L116">
            <v>0</v>
          </cell>
          <cell r="N116">
            <v>0</v>
          </cell>
          <cell r="O116">
            <v>0</v>
          </cell>
          <cell r="P116">
            <v>0</v>
          </cell>
          <cell r="S116">
            <v>0</v>
          </cell>
          <cell r="T116">
            <v>0</v>
          </cell>
          <cell r="AA116">
            <v>108</v>
          </cell>
        </row>
        <row r="117">
          <cell r="G117">
            <v>0</v>
          </cell>
          <cell r="J117">
            <v>0</v>
          </cell>
          <cell r="K117">
            <v>0</v>
          </cell>
          <cell r="L117">
            <v>0</v>
          </cell>
          <cell r="N117">
            <v>0</v>
          </cell>
          <cell r="O117">
            <v>0</v>
          </cell>
          <cell r="P117">
            <v>0</v>
          </cell>
          <cell r="S117">
            <v>0</v>
          </cell>
          <cell r="T117">
            <v>0</v>
          </cell>
          <cell r="AA117">
            <v>109</v>
          </cell>
        </row>
        <row r="118">
          <cell r="G118">
            <v>0</v>
          </cell>
          <cell r="J118">
            <v>0</v>
          </cell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P118">
            <v>0</v>
          </cell>
          <cell r="S118">
            <v>0</v>
          </cell>
          <cell r="T118">
            <v>0</v>
          </cell>
          <cell r="AA118">
            <v>110</v>
          </cell>
        </row>
        <row r="119">
          <cell r="G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  <cell r="S119">
            <v>0</v>
          </cell>
          <cell r="T119">
            <v>0</v>
          </cell>
          <cell r="AA119">
            <v>111</v>
          </cell>
        </row>
        <row r="120">
          <cell r="G120">
            <v>0</v>
          </cell>
          <cell r="J120">
            <v>0</v>
          </cell>
          <cell r="K120">
            <v>0</v>
          </cell>
          <cell r="L120">
            <v>0</v>
          </cell>
          <cell r="N120">
            <v>0</v>
          </cell>
          <cell r="O120">
            <v>0</v>
          </cell>
          <cell r="P120">
            <v>0</v>
          </cell>
          <cell r="S120">
            <v>0</v>
          </cell>
          <cell r="T120">
            <v>0</v>
          </cell>
          <cell r="AA120">
            <v>112</v>
          </cell>
        </row>
        <row r="121">
          <cell r="G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  <cell r="S121">
            <v>0</v>
          </cell>
          <cell r="T121">
            <v>0</v>
          </cell>
          <cell r="AA121">
            <v>113</v>
          </cell>
        </row>
        <row r="122">
          <cell r="G122">
            <v>0</v>
          </cell>
          <cell r="J122">
            <v>0</v>
          </cell>
          <cell r="K122">
            <v>0</v>
          </cell>
          <cell r="L122">
            <v>0</v>
          </cell>
          <cell r="N122">
            <v>0</v>
          </cell>
          <cell r="O122">
            <v>0</v>
          </cell>
          <cell r="P122">
            <v>0</v>
          </cell>
          <cell r="S122">
            <v>0</v>
          </cell>
          <cell r="T122">
            <v>0</v>
          </cell>
          <cell r="AA122">
            <v>114</v>
          </cell>
        </row>
        <row r="123">
          <cell r="G123">
            <v>0</v>
          </cell>
          <cell r="J123">
            <v>0</v>
          </cell>
          <cell r="K123">
            <v>0</v>
          </cell>
          <cell r="L123">
            <v>0</v>
          </cell>
          <cell r="N123">
            <v>0</v>
          </cell>
          <cell r="O123">
            <v>0</v>
          </cell>
          <cell r="P123">
            <v>0</v>
          </cell>
          <cell r="S123">
            <v>0</v>
          </cell>
          <cell r="T123">
            <v>0</v>
          </cell>
          <cell r="AA123">
            <v>115</v>
          </cell>
        </row>
        <row r="124">
          <cell r="G124">
            <v>0</v>
          </cell>
          <cell r="J124">
            <v>0</v>
          </cell>
          <cell r="K124">
            <v>0</v>
          </cell>
          <cell r="L124">
            <v>0</v>
          </cell>
          <cell r="N124">
            <v>0</v>
          </cell>
          <cell r="O124">
            <v>0</v>
          </cell>
          <cell r="P124">
            <v>0</v>
          </cell>
          <cell r="S124">
            <v>0</v>
          </cell>
          <cell r="T124">
            <v>0</v>
          </cell>
          <cell r="AA124">
            <v>116</v>
          </cell>
        </row>
        <row r="125">
          <cell r="G125">
            <v>0</v>
          </cell>
          <cell r="J125">
            <v>0</v>
          </cell>
          <cell r="K125">
            <v>0</v>
          </cell>
          <cell r="L125">
            <v>0</v>
          </cell>
          <cell r="N125">
            <v>0</v>
          </cell>
          <cell r="O125">
            <v>0</v>
          </cell>
          <cell r="P125">
            <v>0</v>
          </cell>
          <cell r="S125">
            <v>0</v>
          </cell>
          <cell r="T125">
            <v>0</v>
          </cell>
          <cell r="AA125">
            <v>117</v>
          </cell>
        </row>
        <row r="126">
          <cell r="G126">
            <v>0</v>
          </cell>
          <cell r="J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0</v>
          </cell>
          <cell r="P126">
            <v>0</v>
          </cell>
          <cell r="S126">
            <v>0</v>
          </cell>
          <cell r="T126">
            <v>0</v>
          </cell>
          <cell r="AA126">
            <v>118</v>
          </cell>
        </row>
        <row r="127">
          <cell r="G127">
            <v>0</v>
          </cell>
          <cell r="J127">
            <v>0</v>
          </cell>
          <cell r="K127">
            <v>0</v>
          </cell>
          <cell r="L127">
            <v>0</v>
          </cell>
          <cell r="N127">
            <v>0</v>
          </cell>
          <cell r="O127">
            <v>0</v>
          </cell>
          <cell r="P127">
            <v>0</v>
          </cell>
          <cell r="S127">
            <v>0</v>
          </cell>
          <cell r="T127">
            <v>0</v>
          </cell>
          <cell r="AA127">
            <v>119</v>
          </cell>
        </row>
        <row r="128">
          <cell r="G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P128">
            <v>0</v>
          </cell>
          <cell r="S128">
            <v>0</v>
          </cell>
          <cell r="T128">
            <v>0</v>
          </cell>
          <cell r="AA128">
            <v>120</v>
          </cell>
        </row>
        <row r="129">
          <cell r="G129">
            <v>0</v>
          </cell>
          <cell r="J129">
            <v>0</v>
          </cell>
          <cell r="K129">
            <v>0</v>
          </cell>
          <cell r="L129">
            <v>0</v>
          </cell>
          <cell r="N129">
            <v>0</v>
          </cell>
          <cell r="O129">
            <v>0</v>
          </cell>
          <cell r="P129">
            <v>0</v>
          </cell>
          <cell r="S129">
            <v>0</v>
          </cell>
          <cell r="T129">
            <v>0</v>
          </cell>
          <cell r="AA129">
            <v>121</v>
          </cell>
        </row>
        <row r="130">
          <cell r="G130">
            <v>0</v>
          </cell>
          <cell r="J130">
            <v>0</v>
          </cell>
          <cell r="K130">
            <v>0</v>
          </cell>
          <cell r="L130">
            <v>0</v>
          </cell>
          <cell r="N130">
            <v>0</v>
          </cell>
          <cell r="O130">
            <v>0</v>
          </cell>
          <cell r="P130">
            <v>0</v>
          </cell>
          <cell r="S130">
            <v>0</v>
          </cell>
          <cell r="T130">
            <v>0</v>
          </cell>
          <cell r="AA130">
            <v>122</v>
          </cell>
        </row>
        <row r="131">
          <cell r="G131">
            <v>0</v>
          </cell>
          <cell r="J131">
            <v>0</v>
          </cell>
          <cell r="K131">
            <v>0</v>
          </cell>
          <cell r="L131">
            <v>0</v>
          </cell>
          <cell r="N131">
            <v>0</v>
          </cell>
          <cell r="O131">
            <v>0</v>
          </cell>
          <cell r="P131">
            <v>0</v>
          </cell>
          <cell r="S131">
            <v>0</v>
          </cell>
          <cell r="T131">
            <v>0</v>
          </cell>
          <cell r="AA131">
            <v>123</v>
          </cell>
        </row>
        <row r="132">
          <cell r="G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  <cell r="S132">
            <v>0</v>
          </cell>
          <cell r="T132">
            <v>0</v>
          </cell>
          <cell r="AA132">
            <v>124</v>
          </cell>
        </row>
        <row r="133">
          <cell r="G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  <cell r="S133">
            <v>0</v>
          </cell>
          <cell r="T133">
            <v>0</v>
          </cell>
          <cell r="AA133">
            <v>125</v>
          </cell>
        </row>
        <row r="134">
          <cell r="G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  <cell r="S134">
            <v>0</v>
          </cell>
          <cell r="T134">
            <v>0</v>
          </cell>
          <cell r="AA134">
            <v>126</v>
          </cell>
        </row>
        <row r="135">
          <cell r="G135">
            <v>0</v>
          </cell>
          <cell r="J135">
            <v>0</v>
          </cell>
          <cell r="K135">
            <v>0</v>
          </cell>
          <cell r="L135">
            <v>0</v>
          </cell>
          <cell r="N135">
            <v>0</v>
          </cell>
          <cell r="O135">
            <v>0</v>
          </cell>
          <cell r="P135">
            <v>0</v>
          </cell>
          <cell r="S135">
            <v>0</v>
          </cell>
          <cell r="T135">
            <v>0</v>
          </cell>
          <cell r="AA135">
            <v>127</v>
          </cell>
        </row>
        <row r="136">
          <cell r="G136">
            <v>0</v>
          </cell>
          <cell r="J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P136">
            <v>0</v>
          </cell>
          <cell r="S136">
            <v>0</v>
          </cell>
          <cell r="T136">
            <v>0</v>
          </cell>
          <cell r="AA136">
            <v>128</v>
          </cell>
        </row>
        <row r="137">
          <cell r="G137">
            <v>0</v>
          </cell>
          <cell r="J137">
            <v>0</v>
          </cell>
          <cell r="K137">
            <v>0</v>
          </cell>
          <cell r="L137">
            <v>0</v>
          </cell>
          <cell r="N137">
            <v>0</v>
          </cell>
          <cell r="O137">
            <v>0</v>
          </cell>
          <cell r="P137">
            <v>0</v>
          </cell>
          <cell r="S137">
            <v>0</v>
          </cell>
          <cell r="T137">
            <v>0</v>
          </cell>
          <cell r="AA137">
            <v>129</v>
          </cell>
        </row>
        <row r="138">
          <cell r="G138">
            <v>0</v>
          </cell>
          <cell r="J138">
            <v>0</v>
          </cell>
          <cell r="K138">
            <v>0</v>
          </cell>
          <cell r="L138">
            <v>0</v>
          </cell>
          <cell r="N138">
            <v>0</v>
          </cell>
          <cell r="O138">
            <v>0</v>
          </cell>
          <cell r="P138">
            <v>0</v>
          </cell>
          <cell r="S138">
            <v>0</v>
          </cell>
          <cell r="T138">
            <v>0</v>
          </cell>
          <cell r="AA138">
            <v>130</v>
          </cell>
        </row>
        <row r="139">
          <cell r="G139">
            <v>0</v>
          </cell>
          <cell r="J139">
            <v>0</v>
          </cell>
          <cell r="K139">
            <v>0</v>
          </cell>
          <cell r="L139">
            <v>0</v>
          </cell>
          <cell r="N139">
            <v>0</v>
          </cell>
          <cell r="O139">
            <v>0</v>
          </cell>
          <cell r="P139">
            <v>0</v>
          </cell>
          <cell r="S139">
            <v>0</v>
          </cell>
          <cell r="T139">
            <v>0</v>
          </cell>
          <cell r="AA139">
            <v>131</v>
          </cell>
        </row>
        <row r="140">
          <cell r="G140">
            <v>0</v>
          </cell>
          <cell r="J140">
            <v>0</v>
          </cell>
          <cell r="K140">
            <v>0</v>
          </cell>
          <cell r="L140">
            <v>0</v>
          </cell>
          <cell r="N140">
            <v>0</v>
          </cell>
          <cell r="O140">
            <v>0</v>
          </cell>
          <cell r="P140">
            <v>0</v>
          </cell>
          <cell r="S140">
            <v>0</v>
          </cell>
          <cell r="T140">
            <v>0</v>
          </cell>
          <cell r="AA140">
            <v>132</v>
          </cell>
        </row>
        <row r="141">
          <cell r="G141" t="str">
            <v>7986</v>
          </cell>
          <cell r="H141">
            <v>1926</v>
          </cell>
          <cell r="J141">
            <v>0</v>
          </cell>
          <cell r="K141">
            <v>0</v>
          </cell>
          <cell r="L141">
            <v>0</v>
          </cell>
          <cell r="N141">
            <v>0</v>
          </cell>
          <cell r="O141">
            <v>0</v>
          </cell>
          <cell r="P141">
            <v>0</v>
          </cell>
          <cell r="S141">
            <v>30816</v>
          </cell>
          <cell r="T141">
            <v>-30816</v>
          </cell>
          <cell r="U141" t="str">
            <v>Space will be occupied on July 09 vs. budgeted on Mar 09.</v>
          </cell>
          <cell r="AA141">
            <v>133</v>
          </cell>
        </row>
        <row r="142">
          <cell r="AA142">
            <v>134</v>
          </cell>
        </row>
        <row r="143">
          <cell r="G143" t="str">
            <v>Total In-Line</v>
          </cell>
          <cell r="H143">
            <v>96879.000999999989</v>
          </cell>
          <cell r="J143">
            <v>284286.63</v>
          </cell>
          <cell r="K143">
            <v>294650.81</v>
          </cell>
          <cell r="L143">
            <v>-10364.18</v>
          </cell>
          <cell r="N143">
            <v>1666620.2300000002</v>
          </cell>
          <cell r="O143">
            <v>1723312.84</v>
          </cell>
          <cell r="P143">
            <v>-56692.609999999993</v>
          </cell>
          <cell r="S143">
            <v>3585941.64</v>
          </cell>
          <cell r="T143">
            <v>-141650.81</v>
          </cell>
          <cell r="AA143">
            <v>135</v>
          </cell>
        </row>
        <row r="144">
          <cell r="AA144">
            <v>136</v>
          </cell>
        </row>
        <row r="145">
          <cell r="AA145">
            <v>137</v>
          </cell>
        </row>
        <row r="146">
          <cell r="G146" t="str">
            <v>8086</v>
          </cell>
          <cell r="H146">
            <v>11869</v>
          </cell>
          <cell r="J146">
            <v>23780.92</v>
          </cell>
          <cell r="K146">
            <v>19659</v>
          </cell>
          <cell r="L146">
            <v>4121.9199999999983</v>
          </cell>
          <cell r="N146">
            <v>142685.51999999999</v>
          </cell>
          <cell r="O146">
            <v>138549</v>
          </cell>
          <cell r="P146">
            <v>4136.5199999999895</v>
          </cell>
          <cell r="S146">
            <v>256503</v>
          </cell>
          <cell r="T146">
            <v>0</v>
          </cell>
          <cell r="AA146">
            <v>138</v>
          </cell>
        </row>
        <row r="147">
          <cell r="G147" t="str">
            <v>7832</v>
          </cell>
          <cell r="H147">
            <v>7969</v>
          </cell>
          <cell r="J147">
            <v>23907</v>
          </cell>
          <cell r="K147">
            <v>24222</v>
          </cell>
          <cell r="L147">
            <v>-315</v>
          </cell>
          <cell r="N147">
            <v>143442</v>
          </cell>
          <cell r="O147">
            <v>145332</v>
          </cell>
          <cell r="P147">
            <v>-1890</v>
          </cell>
          <cell r="Q147" t="str">
            <v>Actual rent was higher than budgeted.</v>
          </cell>
          <cell r="S147">
            <v>290664</v>
          </cell>
          <cell r="T147">
            <v>-3780</v>
          </cell>
          <cell r="U147" t="str">
            <v>Actual rent is $36 psf is lower than budgeted amount of $36.47 psf for Jul 08-Jun 09.</v>
          </cell>
          <cell r="AA147">
            <v>139</v>
          </cell>
        </row>
        <row r="148">
          <cell r="G148" t="str">
            <v>7832P</v>
          </cell>
          <cell r="H148">
            <v>2208</v>
          </cell>
          <cell r="J148">
            <v>0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P148">
            <v>0</v>
          </cell>
          <cell r="S148">
            <v>0</v>
          </cell>
          <cell r="T148">
            <v>0</v>
          </cell>
          <cell r="AA148">
            <v>140</v>
          </cell>
        </row>
        <row r="149">
          <cell r="G149" t="str">
            <v>8112</v>
          </cell>
          <cell r="H149">
            <v>9000</v>
          </cell>
          <cell r="J149">
            <v>63862.5</v>
          </cell>
          <cell r="K149">
            <v>63862</v>
          </cell>
          <cell r="L149">
            <v>0.5</v>
          </cell>
          <cell r="N149">
            <v>373350</v>
          </cell>
          <cell r="O149">
            <v>373348</v>
          </cell>
          <cell r="P149">
            <v>2</v>
          </cell>
          <cell r="S149">
            <v>756520</v>
          </cell>
          <cell r="T149">
            <v>0</v>
          </cell>
          <cell r="AA149">
            <v>141</v>
          </cell>
        </row>
        <row r="150">
          <cell r="G150">
            <v>0</v>
          </cell>
          <cell r="J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P150">
            <v>0</v>
          </cell>
          <cell r="T150">
            <v>0</v>
          </cell>
          <cell r="AA150">
            <v>142</v>
          </cell>
        </row>
        <row r="151">
          <cell r="G151">
            <v>0</v>
          </cell>
          <cell r="J151">
            <v>0</v>
          </cell>
          <cell r="K151">
            <v>0</v>
          </cell>
          <cell r="L151">
            <v>0</v>
          </cell>
          <cell r="N151">
            <v>0</v>
          </cell>
          <cell r="O151">
            <v>0</v>
          </cell>
          <cell r="P151">
            <v>0</v>
          </cell>
          <cell r="T151">
            <v>0</v>
          </cell>
          <cell r="AA151">
            <v>143</v>
          </cell>
        </row>
        <row r="152">
          <cell r="G152">
            <v>0</v>
          </cell>
          <cell r="J152">
            <v>0</v>
          </cell>
          <cell r="K152">
            <v>0</v>
          </cell>
          <cell r="L152">
            <v>0</v>
          </cell>
          <cell r="N152">
            <v>0</v>
          </cell>
          <cell r="O152">
            <v>0</v>
          </cell>
          <cell r="P152">
            <v>0</v>
          </cell>
          <cell r="T152">
            <v>0</v>
          </cell>
          <cell r="AA152">
            <v>144</v>
          </cell>
        </row>
        <row r="153">
          <cell r="G153">
            <v>0</v>
          </cell>
          <cell r="J153">
            <v>0</v>
          </cell>
          <cell r="K153">
            <v>0</v>
          </cell>
          <cell r="L153">
            <v>0</v>
          </cell>
          <cell r="N153">
            <v>0</v>
          </cell>
          <cell r="O153">
            <v>0</v>
          </cell>
          <cell r="P153">
            <v>0</v>
          </cell>
          <cell r="T153">
            <v>0</v>
          </cell>
          <cell r="AA153">
            <v>145</v>
          </cell>
        </row>
        <row r="154">
          <cell r="G154">
            <v>0</v>
          </cell>
          <cell r="J154">
            <v>0</v>
          </cell>
          <cell r="K154">
            <v>0</v>
          </cell>
          <cell r="L154">
            <v>0</v>
          </cell>
          <cell r="N154">
            <v>0</v>
          </cell>
          <cell r="O154">
            <v>0</v>
          </cell>
          <cell r="P154">
            <v>0</v>
          </cell>
          <cell r="T154">
            <v>0</v>
          </cell>
          <cell r="AA154">
            <v>146</v>
          </cell>
        </row>
        <row r="155">
          <cell r="G155">
            <v>0</v>
          </cell>
          <cell r="J155">
            <v>0</v>
          </cell>
          <cell r="K155">
            <v>0</v>
          </cell>
          <cell r="L155">
            <v>0</v>
          </cell>
          <cell r="N155">
            <v>0</v>
          </cell>
          <cell r="O155">
            <v>0</v>
          </cell>
          <cell r="P155">
            <v>0</v>
          </cell>
          <cell r="T155">
            <v>0</v>
          </cell>
          <cell r="AA155">
            <v>147</v>
          </cell>
        </row>
        <row r="156">
          <cell r="G156">
            <v>0</v>
          </cell>
          <cell r="J156">
            <v>0</v>
          </cell>
          <cell r="K156">
            <v>0</v>
          </cell>
          <cell r="L156">
            <v>0</v>
          </cell>
          <cell r="N156">
            <v>0</v>
          </cell>
          <cell r="O156">
            <v>0</v>
          </cell>
          <cell r="P156">
            <v>0</v>
          </cell>
          <cell r="T156">
            <v>0</v>
          </cell>
          <cell r="AA156">
            <v>148</v>
          </cell>
        </row>
        <row r="157">
          <cell r="G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>
            <v>0</v>
          </cell>
          <cell r="T157">
            <v>0</v>
          </cell>
          <cell r="AA157">
            <v>149</v>
          </cell>
        </row>
        <row r="158">
          <cell r="G158">
            <v>0</v>
          </cell>
          <cell r="J158">
            <v>0</v>
          </cell>
          <cell r="K158">
            <v>0</v>
          </cell>
          <cell r="L158">
            <v>0</v>
          </cell>
          <cell r="N158">
            <v>0</v>
          </cell>
          <cell r="O158">
            <v>0</v>
          </cell>
          <cell r="P158">
            <v>0</v>
          </cell>
          <cell r="T158">
            <v>0</v>
          </cell>
          <cell r="AA158">
            <v>150</v>
          </cell>
        </row>
        <row r="159">
          <cell r="G159">
            <v>0</v>
          </cell>
          <cell r="J159">
            <v>0</v>
          </cell>
          <cell r="K159">
            <v>0</v>
          </cell>
          <cell r="L159">
            <v>0</v>
          </cell>
          <cell r="N159">
            <v>0</v>
          </cell>
          <cell r="O159">
            <v>0</v>
          </cell>
          <cell r="P159">
            <v>0</v>
          </cell>
          <cell r="T159">
            <v>0</v>
          </cell>
          <cell r="AA159">
            <v>151</v>
          </cell>
        </row>
        <row r="160">
          <cell r="G160">
            <v>0</v>
          </cell>
          <cell r="J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P160">
            <v>0</v>
          </cell>
          <cell r="T160">
            <v>0</v>
          </cell>
          <cell r="AA160">
            <v>152</v>
          </cell>
        </row>
        <row r="161">
          <cell r="G161">
            <v>0</v>
          </cell>
          <cell r="J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P161">
            <v>0</v>
          </cell>
          <cell r="T161">
            <v>0</v>
          </cell>
          <cell r="AA161">
            <v>153</v>
          </cell>
        </row>
        <row r="162">
          <cell r="G162">
            <v>0</v>
          </cell>
          <cell r="J162">
            <v>0</v>
          </cell>
          <cell r="K162">
            <v>0</v>
          </cell>
          <cell r="L162">
            <v>0</v>
          </cell>
          <cell r="N162">
            <v>0</v>
          </cell>
          <cell r="O162">
            <v>0</v>
          </cell>
          <cell r="P162">
            <v>0</v>
          </cell>
          <cell r="T162">
            <v>0</v>
          </cell>
          <cell r="AA162">
            <v>154</v>
          </cell>
        </row>
        <row r="163">
          <cell r="G163">
            <v>0</v>
          </cell>
          <cell r="J163">
            <v>0</v>
          </cell>
          <cell r="K163">
            <v>0</v>
          </cell>
          <cell r="L163">
            <v>0</v>
          </cell>
          <cell r="N163">
            <v>0</v>
          </cell>
          <cell r="O163">
            <v>0</v>
          </cell>
          <cell r="P163">
            <v>0</v>
          </cell>
          <cell r="T163">
            <v>0</v>
          </cell>
          <cell r="AA163">
            <v>155</v>
          </cell>
        </row>
        <row r="164">
          <cell r="G164">
            <v>0</v>
          </cell>
          <cell r="J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P164">
            <v>0</v>
          </cell>
          <cell r="T164">
            <v>0</v>
          </cell>
          <cell r="AA164">
            <v>156</v>
          </cell>
        </row>
        <row r="165">
          <cell r="G165">
            <v>0</v>
          </cell>
          <cell r="J165">
            <v>0</v>
          </cell>
          <cell r="K165">
            <v>0</v>
          </cell>
          <cell r="L165">
            <v>0</v>
          </cell>
          <cell r="N165">
            <v>0</v>
          </cell>
          <cell r="O165">
            <v>0</v>
          </cell>
          <cell r="P165">
            <v>0</v>
          </cell>
          <cell r="T165">
            <v>0</v>
          </cell>
          <cell r="AA165">
            <v>157</v>
          </cell>
        </row>
        <row r="166">
          <cell r="G166">
            <v>0</v>
          </cell>
          <cell r="J166">
            <v>0</v>
          </cell>
          <cell r="K166">
            <v>0</v>
          </cell>
          <cell r="L166">
            <v>0</v>
          </cell>
          <cell r="N166">
            <v>0</v>
          </cell>
          <cell r="O166">
            <v>0</v>
          </cell>
          <cell r="P166">
            <v>0</v>
          </cell>
          <cell r="T166">
            <v>0</v>
          </cell>
          <cell r="AA166">
            <v>158</v>
          </cell>
        </row>
        <row r="167">
          <cell r="G167">
            <v>0</v>
          </cell>
          <cell r="J167">
            <v>0</v>
          </cell>
          <cell r="K167">
            <v>0</v>
          </cell>
          <cell r="L167">
            <v>0</v>
          </cell>
          <cell r="N167">
            <v>0</v>
          </cell>
          <cell r="O167">
            <v>0</v>
          </cell>
          <cell r="P167">
            <v>0</v>
          </cell>
          <cell r="T167">
            <v>0</v>
          </cell>
          <cell r="AA167">
            <v>159</v>
          </cell>
        </row>
        <row r="168">
          <cell r="G168">
            <v>0</v>
          </cell>
          <cell r="J168">
            <v>0</v>
          </cell>
          <cell r="K168">
            <v>0</v>
          </cell>
          <cell r="L168">
            <v>0</v>
          </cell>
          <cell r="N168">
            <v>0</v>
          </cell>
          <cell r="O168">
            <v>0</v>
          </cell>
          <cell r="P168">
            <v>0</v>
          </cell>
          <cell r="T168">
            <v>0</v>
          </cell>
          <cell r="AA168">
            <v>160</v>
          </cell>
        </row>
        <row r="169">
          <cell r="G169">
            <v>0</v>
          </cell>
          <cell r="J169">
            <v>0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P169">
            <v>0</v>
          </cell>
          <cell r="T169">
            <v>0</v>
          </cell>
          <cell r="AA169">
            <v>161</v>
          </cell>
        </row>
        <row r="170">
          <cell r="G170">
            <v>0</v>
          </cell>
          <cell r="J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>
            <v>0</v>
          </cell>
          <cell r="T170">
            <v>0</v>
          </cell>
          <cell r="AA170">
            <v>162</v>
          </cell>
        </row>
        <row r="171">
          <cell r="G171">
            <v>0</v>
          </cell>
          <cell r="J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>
            <v>0</v>
          </cell>
          <cell r="T171">
            <v>0</v>
          </cell>
          <cell r="AA171">
            <v>163</v>
          </cell>
        </row>
        <row r="172">
          <cell r="G172">
            <v>0</v>
          </cell>
          <cell r="J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>
            <v>0</v>
          </cell>
          <cell r="T172">
            <v>0</v>
          </cell>
          <cell r="AA172">
            <v>164</v>
          </cell>
        </row>
        <row r="173">
          <cell r="G173">
            <v>0</v>
          </cell>
          <cell r="J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>
            <v>0</v>
          </cell>
          <cell r="T173">
            <v>0</v>
          </cell>
          <cell r="AA173">
            <v>165</v>
          </cell>
        </row>
        <row r="174">
          <cell r="G174">
            <v>0</v>
          </cell>
          <cell r="J174">
            <v>0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P174">
            <v>0</v>
          </cell>
          <cell r="T174">
            <v>0</v>
          </cell>
          <cell r="AA174">
            <v>166</v>
          </cell>
        </row>
        <row r="175">
          <cell r="G175">
            <v>0</v>
          </cell>
          <cell r="J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>
            <v>0</v>
          </cell>
          <cell r="T175">
            <v>0</v>
          </cell>
          <cell r="AA175">
            <v>167</v>
          </cell>
        </row>
        <row r="176">
          <cell r="G176">
            <v>0</v>
          </cell>
          <cell r="J176">
            <v>0</v>
          </cell>
          <cell r="K176">
            <v>0</v>
          </cell>
          <cell r="L176">
            <v>0</v>
          </cell>
          <cell r="N176">
            <v>0</v>
          </cell>
          <cell r="O176">
            <v>0</v>
          </cell>
          <cell r="P176">
            <v>0</v>
          </cell>
          <cell r="T176">
            <v>0</v>
          </cell>
          <cell r="AA176">
            <v>168</v>
          </cell>
        </row>
        <row r="177">
          <cell r="G177">
            <v>0</v>
          </cell>
          <cell r="J177">
            <v>0</v>
          </cell>
          <cell r="K177">
            <v>0</v>
          </cell>
          <cell r="L177">
            <v>0</v>
          </cell>
          <cell r="N177">
            <v>0</v>
          </cell>
          <cell r="O177">
            <v>0</v>
          </cell>
          <cell r="P177">
            <v>0</v>
          </cell>
          <cell r="T177">
            <v>0</v>
          </cell>
          <cell r="AA177">
            <v>169</v>
          </cell>
        </row>
        <row r="178">
          <cell r="G178">
            <v>0</v>
          </cell>
          <cell r="J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P178">
            <v>0</v>
          </cell>
          <cell r="T178">
            <v>0</v>
          </cell>
          <cell r="AA178">
            <v>170</v>
          </cell>
        </row>
        <row r="179">
          <cell r="G179">
            <v>0</v>
          </cell>
          <cell r="J179">
            <v>0</v>
          </cell>
          <cell r="K179">
            <v>0</v>
          </cell>
          <cell r="L179">
            <v>0</v>
          </cell>
          <cell r="N179">
            <v>0</v>
          </cell>
          <cell r="O179">
            <v>0</v>
          </cell>
          <cell r="P179">
            <v>0</v>
          </cell>
          <cell r="T179">
            <v>0</v>
          </cell>
          <cell r="AA179">
            <v>171</v>
          </cell>
        </row>
        <row r="180">
          <cell r="G180">
            <v>0</v>
          </cell>
          <cell r="J180">
            <v>0</v>
          </cell>
          <cell r="K180">
            <v>0</v>
          </cell>
          <cell r="L180">
            <v>0</v>
          </cell>
          <cell r="N180">
            <v>0</v>
          </cell>
          <cell r="O180">
            <v>0</v>
          </cell>
          <cell r="P180">
            <v>0</v>
          </cell>
          <cell r="T180">
            <v>0</v>
          </cell>
          <cell r="AA180">
            <v>172</v>
          </cell>
        </row>
        <row r="181">
          <cell r="G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T181">
            <v>0</v>
          </cell>
          <cell r="AA181">
            <v>173</v>
          </cell>
        </row>
        <row r="182">
          <cell r="G182">
            <v>0</v>
          </cell>
          <cell r="J182">
            <v>0</v>
          </cell>
          <cell r="K182">
            <v>0</v>
          </cell>
          <cell r="L182">
            <v>0</v>
          </cell>
          <cell r="N182">
            <v>0</v>
          </cell>
          <cell r="O182">
            <v>0</v>
          </cell>
          <cell r="P182">
            <v>0</v>
          </cell>
          <cell r="T182">
            <v>0</v>
          </cell>
          <cell r="AA182">
            <v>174</v>
          </cell>
        </row>
        <row r="183">
          <cell r="G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T183">
            <v>0</v>
          </cell>
          <cell r="AA183">
            <v>175</v>
          </cell>
        </row>
        <row r="184">
          <cell r="G184">
            <v>0</v>
          </cell>
          <cell r="J184">
            <v>0</v>
          </cell>
          <cell r="K184">
            <v>0</v>
          </cell>
          <cell r="L184">
            <v>0</v>
          </cell>
          <cell r="N184">
            <v>0</v>
          </cell>
          <cell r="O184">
            <v>0</v>
          </cell>
          <cell r="P184">
            <v>0</v>
          </cell>
          <cell r="T184">
            <v>0</v>
          </cell>
          <cell r="AA184">
            <v>176</v>
          </cell>
        </row>
        <row r="185">
          <cell r="G185">
            <v>0</v>
          </cell>
          <cell r="J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P185">
            <v>0</v>
          </cell>
          <cell r="T185">
            <v>0</v>
          </cell>
          <cell r="AA185">
            <v>177</v>
          </cell>
        </row>
        <row r="186">
          <cell r="G186">
            <v>0</v>
          </cell>
          <cell r="J186">
            <v>0</v>
          </cell>
          <cell r="K186">
            <v>0</v>
          </cell>
          <cell r="L186">
            <v>0</v>
          </cell>
          <cell r="N186">
            <v>0</v>
          </cell>
          <cell r="O186">
            <v>0</v>
          </cell>
          <cell r="P186">
            <v>0</v>
          </cell>
          <cell r="T186">
            <v>0</v>
          </cell>
          <cell r="AA186">
            <v>178</v>
          </cell>
        </row>
        <row r="187">
          <cell r="G187">
            <v>0</v>
          </cell>
          <cell r="J187">
            <v>0</v>
          </cell>
          <cell r="K187">
            <v>0</v>
          </cell>
          <cell r="L187">
            <v>0</v>
          </cell>
          <cell r="N187">
            <v>0</v>
          </cell>
          <cell r="O187">
            <v>0</v>
          </cell>
          <cell r="P187">
            <v>0</v>
          </cell>
          <cell r="T187">
            <v>0</v>
          </cell>
          <cell r="AA187">
            <v>179</v>
          </cell>
        </row>
        <row r="188">
          <cell r="G188">
            <v>0</v>
          </cell>
          <cell r="J188">
            <v>0</v>
          </cell>
          <cell r="K188">
            <v>0</v>
          </cell>
          <cell r="L188">
            <v>0</v>
          </cell>
          <cell r="N188">
            <v>0</v>
          </cell>
          <cell r="O188">
            <v>0</v>
          </cell>
          <cell r="P188">
            <v>0</v>
          </cell>
          <cell r="T188">
            <v>0</v>
          </cell>
          <cell r="AA188">
            <v>180</v>
          </cell>
        </row>
        <row r="189">
          <cell r="G189">
            <v>0</v>
          </cell>
          <cell r="J189">
            <v>0</v>
          </cell>
          <cell r="K189">
            <v>0</v>
          </cell>
          <cell r="L189">
            <v>0</v>
          </cell>
          <cell r="N189">
            <v>0</v>
          </cell>
          <cell r="O189">
            <v>0</v>
          </cell>
          <cell r="P189">
            <v>0</v>
          </cell>
          <cell r="T189">
            <v>0</v>
          </cell>
          <cell r="AA189">
            <v>181</v>
          </cell>
        </row>
        <row r="190">
          <cell r="G190">
            <v>0</v>
          </cell>
          <cell r="J190">
            <v>0</v>
          </cell>
          <cell r="K190">
            <v>0</v>
          </cell>
          <cell r="L190">
            <v>0</v>
          </cell>
          <cell r="N190">
            <v>0</v>
          </cell>
          <cell r="O190">
            <v>0</v>
          </cell>
          <cell r="P190">
            <v>0</v>
          </cell>
          <cell r="T190">
            <v>0</v>
          </cell>
          <cell r="AA190">
            <v>182</v>
          </cell>
        </row>
        <row r="191">
          <cell r="G191">
            <v>0</v>
          </cell>
          <cell r="J191">
            <v>0</v>
          </cell>
          <cell r="K191">
            <v>0</v>
          </cell>
          <cell r="L191">
            <v>0</v>
          </cell>
          <cell r="N191">
            <v>0</v>
          </cell>
          <cell r="O191">
            <v>0</v>
          </cell>
          <cell r="P191">
            <v>0</v>
          </cell>
          <cell r="T191">
            <v>0</v>
          </cell>
          <cell r="AA191">
            <v>183</v>
          </cell>
        </row>
        <row r="192">
          <cell r="G192">
            <v>0</v>
          </cell>
          <cell r="J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P192">
            <v>0</v>
          </cell>
          <cell r="T192">
            <v>0</v>
          </cell>
          <cell r="AA192">
            <v>184</v>
          </cell>
        </row>
        <row r="193">
          <cell r="G193">
            <v>0</v>
          </cell>
          <cell r="J193">
            <v>0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0</v>
          </cell>
          <cell r="T193">
            <v>0</v>
          </cell>
          <cell r="AA193">
            <v>185</v>
          </cell>
        </row>
        <row r="194">
          <cell r="G194">
            <v>0</v>
          </cell>
          <cell r="J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P194">
            <v>0</v>
          </cell>
          <cell r="T194">
            <v>0</v>
          </cell>
          <cell r="AA194">
            <v>186</v>
          </cell>
        </row>
        <row r="195">
          <cell r="G195">
            <v>0</v>
          </cell>
          <cell r="J195">
            <v>0</v>
          </cell>
          <cell r="K195">
            <v>0</v>
          </cell>
          <cell r="L195">
            <v>0</v>
          </cell>
          <cell r="N195">
            <v>0</v>
          </cell>
          <cell r="O195">
            <v>0</v>
          </cell>
          <cell r="P195">
            <v>0</v>
          </cell>
          <cell r="T195">
            <v>0</v>
          </cell>
          <cell r="AA195">
            <v>187</v>
          </cell>
        </row>
        <row r="196">
          <cell r="G196">
            <v>0</v>
          </cell>
          <cell r="J196">
            <v>0</v>
          </cell>
          <cell r="K196">
            <v>0</v>
          </cell>
          <cell r="L196">
            <v>0</v>
          </cell>
          <cell r="N196">
            <v>0</v>
          </cell>
          <cell r="O196">
            <v>0</v>
          </cell>
          <cell r="P196">
            <v>0</v>
          </cell>
          <cell r="T196">
            <v>0</v>
          </cell>
          <cell r="AA196">
            <v>188</v>
          </cell>
        </row>
        <row r="197">
          <cell r="G197">
            <v>0</v>
          </cell>
          <cell r="J197">
            <v>0</v>
          </cell>
          <cell r="K197">
            <v>0</v>
          </cell>
          <cell r="L197">
            <v>0</v>
          </cell>
          <cell r="N197">
            <v>0</v>
          </cell>
          <cell r="O197">
            <v>0</v>
          </cell>
          <cell r="P197">
            <v>0</v>
          </cell>
          <cell r="T197">
            <v>0</v>
          </cell>
          <cell r="AA197">
            <v>189</v>
          </cell>
        </row>
        <row r="198">
          <cell r="G198">
            <v>0</v>
          </cell>
          <cell r="J198">
            <v>0</v>
          </cell>
          <cell r="K198">
            <v>0</v>
          </cell>
          <cell r="L198">
            <v>0</v>
          </cell>
          <cell r="N198">
            <v>0</v>
          </cell>
          <cell r="O198">
            <v>0</v>
          </cell>
          <cell r="P198">
            <v>0</v>
          </cell>
          <cell r="T198">
            <v>0</v>
          </cell>
          <cell r="AA198">
            <v>190</v>
          </cell>
        </row>
        <row r="199">
          <cell r="G199">
            <v>0</v>
          </cell>
          <cell r="J199">
            <v>0</v>
          </cell>
          <cell r="K199">
            <v>0</v>
          </cell>
          <cell r="L199">
            <v>0</v>
          </cell>
          <cell r="N199">
            <v>0</v>
          </cell>
          <cell r="O199">
            <v>0</v>
          </cell>
          <cell r="P199">
            <v>0</v>
          </cell>
          <cell r="T199">
            <v>0</v>
          </cell>
          <cell r="AA199">
            <v>191</v>
          </cell>
        </row>
        <row r="200">
          <cell r="G200">
            <v>0</v>
          </cell>
          <cell r="J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P200">
            <v>0</v>
          </cell>
          <cell r="T200">
            <v>0</v>
          </cell>
          <cell r="AA200">
            <v>192</v>
          </cell>
        </row>
        <row r="201">
          <cell r="G201">
            <v>0</v>
          </cell>
          <cell r="J201">
            <v>0</v>
          </cell>
          <cell r="K201">
            <v>0</v>
          </cell>
          <cell r="L201">
            <v>0</v>
          </cell>
          <cell r="N201">
            <v>0</v>
          </cell>
          <cell r="O201">
            <v>0</v>
          </cell>
          <cell r="P201">
            <v>0</v>
          </cell>
          <cell r="T201">
            <v>0</v>
          </cell>
          <cell r="AA201">
            <v>193</v>
          </cell>
        </row>
        <row r="202">
          <cell r="G202">
            <v>0</v>
          </cell>
          <cell r="J202">
            <v>0</v>
          </cell>
          <cell r="K202">
            <v>0</v>
          </cell>
          <cell r="L202">
            <v>0</v>
          </cell>
          <cell r="N202">
            <v>0</v>
          </cell>
          <cell r="O202">
            <v>0</v>
          </cell>
          <cell r="P202">
            <v>0</v>
          </cell>
          <cell r="T202">
            <v>0</v>
          </cell>
          <cell r="AA202">
            <v>194</v>
          </cell>
        </row>
        <row r="203">
          <cell r="G203">
            <v>0</v>
          </cell>
          <cell r="J203">
            <v>0</v>
          </cell>
          <cell r="K203">
            <v>0</v>
          </cell>
          <cell r="L203">
            <v>0</v>
          </cell>
          <cell r="N203">
            <v>0</v>
          </cell>
          <cell r="O203">
            <v>0</v>
          </cell>
          <cell r="P203">
            <v>0</v>
          </cell>
          <cell r="T203">
            <v>0</v>
          </cell>
          <cell r="AA203">
            <v>195</v>
          </cell>
        </row>
        <row r="204">
          <cell r="G204">
            <v>0</v>
          </cell>
          <cell r="J204">
            <v>0</v>
          </cell>
          <cell r="K204">
            <v>0</v>
          </cell>
          <cell r="L204">
            <v>0</v>
          </cell>
          <cell r="N204">
            <v>0</v>
          </cell>
          <cell r="O204">
            <v>0</v>
          </cell>
          <cell r="P204">
            <v>0</v>
          </cell>
          <cell r="T204">
            <v>0</v>
          </cell>
          <cell r="AA204">
            <v>196</v>
          </cell>
        </row>
        <row r="205">
          <cell r="G205">
            <v>0</v>
          </cell>
          <cell r="J205">
            <v>0</v>
          </cell>
          <cell r="K205">
            <v>0</v>
          </cell>
          <cell r="L205">
            <v>0</v>
          </cell>
          <cell r="N205">
            <v>0</v>
          </cell>
          <cell r="O205">
            <v>0</v>
          </cell>
          <cell r="P205">
            <v>0</v>
          </cell>
          <cell r="T205">
            <v>0</v>
          </cell>
          <cell r="AA205">
            <v>197</v>
          </cell>
        </row>
        <row r="206">
          <cell r="G206">
            <v>0</v>
          </cell>
          <cell r="J206">
            <v>0</v>
          </cell>
          <cell r="K206">
            <v>0</v>
          </cell>
          <cell r="L206">
            <v>0</v>
          </cell>
          <cell r="N206">
            <v>0</v>
          </cell>
          <cell r="O206">
            <v>0</v>
          </cell>
          <cell r="P206">
            <v>0</v>
          </cell>
          <cell r="T206">
            <v>0</v>
          </cell>
          <cell r="AA206">
            <v>198</v>
          </cell>
        </row>
        <row r="207">
          <cell r="G207">
            <v>0</v>
          </cell>
          <cell r="J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P207">
            <v>0</v>
          </cell>
          <cell r="T207">
            <v>0</v>
          </cell>
          <cell r="AA207">
            <v>199</v>
          </cell>
        </row>
        <row r="208">
          <cell r="G208">
            <v>0</v>
          </cell>
          <cell r="J208">
            <v>0</v>
          </cell>
          <cell r="K208">
            <v>0</v>
          </cell>
          <cell r="L208">
            <v>0</v>
          </cell>
          <cell r="N208">
            <v>0</v>
          </cell>
          <cell r="O208">
            <v>0</v>
          </cell>
          <cell r="P208">
            <v>0</v>
          </cell>
          <cell r="T208">
            <v>0</v>
          </cell>
          <cell r="AA208">
            <v>200</v>
          </cell>
        </row>
        <row r="209">
          <cell r="G209">
            <v>0</v>
          </cell>
          <cell r="J209">
            <v>0</v>
          </cell>
          <cell r="K209">
            <v>0</v>
          </cell>
          <cell r="L209">
            <v>0</v>
          </cell>
          <cell r="N209">
            <v>0</v>
          </cell>
          <cell r="O209">
            <v>0</v>
          </cell>
          <cell r="P209">
            <v>0</v>
          </cell>
          <cell r="T209">
            <v>0</v>
          </cell>
          <cell r="AA209">
            <v>201</v>
          </cell>
        </row>
        <row r="210">
          <cell r="G210">
            <v>0</v>
          </cell>
          <cell r="J210">
            <v>0</v>
          </cell>
          <cell r="K210">
            <v>0</v>
          </cell>
          <cell r="L210">
            <v>0</v>
          </cell>
          <cell r="N210">
            <v>0</v>
          </cell>
          <cell r="O210">
            <v>0</v>
          </cell>
          <cell r="P210">
            <v>0</v>
          </cell>
          <cell r="T210">
            <v>0</v>
          </cell>
          <cell r="AA210">
            <v>202</v>
          </cell>
        </row>
        <row r="211">
          <cell r="G211">
            <v>0</v>
          </cell>
          <cell r="J211">
            <v>0</v>
          </cell>
          <cell r="K211">
            <v>0</v>
          </cell>
          <cell r="L211">
            <v>0</v>
          </cell>
          <cell r="N211">
            <v>0</v>
          </cell>
          <cell r="O211">
            <v>0</v>
          </cell>
          <cell r="P211">
            <v>0</v>
          </cell>
          <cell r="T211">
            <v>0</v>
          </cell>
          <cell r="AA211">
            <v>203</v>
          </cell>
        </row>
        <row r="212">
          <cell r="G212">
            <v>0</v>
          </cell>
          <cell r="J212">
            <v>0</v>
          </cell>
          <cell r="K212">
            <v>0</v>
          </cell>
          <cell r="L212">
            <v>0</v>
          </cell>
          <cell r="N212">
            <v>0</v>
          </cell>
          <cell r="O212">
            <v>0</v>
          </cell>
          <cell r="P212">
            <v>0</v>
          </cell>
          <cell r="T212">
            <v>0</v>
          </cell>
          <cell r="AA212">
            <v>204</v>
          </cell>
        </row>
        <row r="213">
          <cell r="G213">
            <v>0</v>
          </cell>
          <cell r="J213">
            <v>0</v>
          </cell>
          <cell r="K213">
            <v>0</v>
          </cell>
          <cell r="L213">
            <v>0</v>
          </cell>
          <cell r="N213">
            <v>0</v>
          </cell>
          <cell r="O213">
            <v>0</v>
          </cell>
          <cell r="P213">
            <v>0</v>
          </cell>
          <cell r="T213">
            <v>0</v>
          </cell>
          <cell r="AA213">
            <v>205</v>
          </cell>
        </row>
        <row r="214">
          <cell r="G214">
            <v>0</v>
          </cell>
          <cell r="J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P214">
            <v>0</v>
          </cell>
          <cell r="T214">
            <v>0</v>
          </cell>
          <cell r="AA214">
            <v>206</v>
          </cell>
        </row>
        <row r="215">
          <cell r="G215">
            <v>0</v>
          </cell>
          <cell r="J215">
            <v>0</v>
          </cell>
          <cell r="K215">
            <v>0</v>
          </cell>
          <cell r="L215">
            <v>0</v>
          </cell>
          <cell r="N215">
            <v>0</v>
          </cell>
          <cell r="O215">
            <v>0</v>
          </cell>
          <cell r="P215">
            <v>0</v>
          </cell>
          <cell r="T215">
            <v>0</v>
          </cell>
          <cell r="AA215">
            <v>207</v>
          </cell>
        </row>
        <row r="216">
          <cell r="G216">
            <v>0</v>
          </cell>
          <cell r="J216">
            <v>0</v>
          </cell>
          <cell r="K216">
            <v>0</v>
          </cell>
          <cell r="L216">
            <v>0</v>
          </cell>
          <cell r="N216">
            <v>0</v>
          </cell>
          <cell r="O216">
            <v>0</v>
          </cell>
          <cell r="P216">
            <v>0</v>
          </cell>
          <cell r="T216">
            <v>0</v>
          </cell>
          <cell r="AA216">
            <v>208</v>
          </cell>
        </row>
        <row r="217">
          <cell r="G217">
            <v>0</v>
          </cell>
          <cell r="J217">
            <v>0</v>
          </cell>
          <cell r="K217">
            <v>0</v>
          </cell>
          <cell r="L217">
            <v>0</v>
          </cell>
          <cell r="N217">
            <v>0</v>
          </cell>
          <cell r="O217">
            <v>0</v>
          </cell>
          <cell r="P217">
            <v>0</v>
          </cell>
          <cell r="T217">
            <v>0</v>
          </cell>
          <cell r="AA217">
            <v>209</v>
          </cell>
        </row>
        <row r="218">
          <cell r="G218">
            <v>0</v>
          </cell>
          <cell r="J218">
            <v>0</v>
          </cell>
          <cell r="K218">
            <v>0</v>
          </cell>
          <cell r="L218">
            <v>0</v>
          </cell>
          <cell r="N218">
            <v>0</v>
          </cell>
          <cell r="O218">
            <v>0</v>
          </cell>
          <cell r="P218">
            <v>0</v>
          </cell>
          <cell r="T218">
            <v>0</v>
          </cell>
          <cell r="AA218">
            <v>210</v>
          </cell>
        </row>
        <row r="219">
          <cell r="G219">
            <v>0</v>
          </cell>
          <cell r="J219">
            <v>0</v>
          </cell>
          <cell r="K219">
            <v>0</v>
          </cell>
          <cell r="L219">
            <v>0</v>
          </cell>
          <cell r="N219">
            <v>0</v>
          </cell>
          <cell r="O219">
            <v>0</v>
          </cell>
          <cell r="P219">
            <v>0</v>
          </cell>
          <cell r="T219">
            <v>0</v>
          </cell>
          <cell r="AA219">
            <v>211</v>
          </cell>
        </row>
        <row r="220">
          <cell r="G220">
            <v>0</v>
          </cell>
          <cell r="J220">
            <v>0</v>
          </cell>
          <cell r="K220">
            <v>0</v>
          </cell>
          <cell r="L220">
            <v>0</v>
          </cell>
          <cell r="N220">
            <v>0</v>
          </cell>
          <cell r="O220">
            <v>0</v>
          </cell>
          <cell r="P220">
            <v>0</v>
          </cell>
          <cell r="T220">
            <v>0</v>
          </cell>
          <cell r="AA220">
            <v>212</v>
          </cell>
        </row>
        <row r="221">
          <cell r="G221">
            <v>0</v>
          </cell>
          <cell r="J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P221">
            <v>0</v>
          </cell>
          <cell r="T221">
            <v>0</v>
          </cell>
          <cell r="AA221">
            <v>213</v>
          </cell>
        </row>
        <row r="222">
          <cell r="G222">
            <v>0</v>
          </cell>
          <cell r="J222">
            <v>0</v>
          </cell>
          <cell r="K222">
            <v>0</v>
          </cell>
          <cell r="L222">
            <v>0</v>
          </cell>
          <cell r="N222">
            <v>0</v>
          </cell>
          <cell r="O222">
            <v>0</v>
          </cell>
          <cell r="P222">
            <v>0</v>
          </cell>
          <cell r="T222">
            <v>0</v>
          </cell>
          <cell r="AA222">
            <v>214</v>
          </cell>
        </row>
        <row r="223">
          <cell r="G223">
            <v>0</v>
          </cell>
          <cell r="J223">
            <v>0</v>
          </cell>
          <cell r="K223">
            <v>0</v>
          </cell>
          <cell r="L223">
            <v>0</v>
          </cell>
          <cell r="N223">
            <v>0</v>
          </cell>
          <cell r="O223">
            <v>0</v>
          </cell>
          <cell r="P223">
            <v>0</v>
          </cell>
          <cell r="T223">
            <v>0</v>
          </cell>
          <cell r="AA223">
            <v>215</v>
          </cell>
        </row>
        <row r="224">
          <cell r="G224">
            <v>0</v>
          </cell>
          <cell r="J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P224">
            <v>0</v>
          </cell>
          <cell r="T224">
            <v>0</v>
          </cell>
          <cell r="AA224">
            <v>216</v>
          </cell>
        </row>
        <row r="225">
          <cell r="G225">
            <v>0</v>
          </cell>
          <cell r="J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P225">
            <v>0</v>
          </cell>
          <cell r="T225">
            <v>0</v>
          </cell>
          <cell r="AA225">
            <v>217</v>
          </cell>
        </row>
        <row r="226">
          <cell r="G226">
            <v>0</v>
          </cell>
          <cell r="J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P226">
            <v>0</v>
          </cell>
          <cell r="T226">
            <v>0</v>
          </cell>
          <cell r="AA226">
            <v>218</v>
          </cell>
        </row>
        <row r="227">
          <cell r="G227">
            <v>0</v>
          </cell>
          <cell r="J227">
            <v>0</v>
          </cell>
          <cell r="K227">
            <v>0</v>
          </cell>
          <cell r="L227">
            <v>0</v>
          </cell>
          <cell r="N227">
            <v>0</v>
          </cell>
          <cell r="O227">
            <v>0</v>
          </cell>
          <cell r="P227">
            <v>0</v>
          </cell>
          <cell r="T227">
            <v>0</v>
          </cell>
          <cell r="AA227">
            <v>219</v>
          </cell>
        </row>
        <row r="228">
          <cell r="G228">
            <v>0</v>
          </cell>
          <cell r="J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P228">
            <v>0</v>
          </cell>
          <cell r="T228">
            <v>0</v>
          </cell>
          <cell r="AA228">
            <v>220</v>
          </cell>
        </row>
        <row r="229">
          <cell r="G229">
            <v>0</v>
          </cell>
          <cell r="J229">
            <v>0</v>
          </cell>
          <cell r="K229">
            <v>0</v>
          </cell>
          <cell r="L229">
            <v>0</v>
          </cell>
          <cell r="N229">
            <v>0</v>
          </cell>
          <cell r="O229">
            <v>0</v>
          </cell>
          <cell r="P229">
            <v>0</v>
          </cell>
          <cell r="T229">
            <v>0</v>
          </cell>
          <cell r="AA229">
            <v>221</v>
          </cell>
        </row>
        <row r="230">
          <cell r="G230">
            <v>0</v>
          </cell>
          <cell r="J230">
            <v>0</v>
          </cell>
          <cell r="K230">
            <v>0</v>
          </cell>
          <cell r="L230">
            <v>0</v>
          </cell>
          <cell r="N230">
            <v>0</v>
          </cell>
          <cell r="O230">
            <v>0</v>
          </cell>
          <cell r="P230">
            <v>0</v>
          </cell>
          <cell r="T230">
            <v>0</v>
          </cell>
          <cell r="AA230">
            <v>222</v>
          </cell>
        </row>
        <row r="231">
          <cell r="G231">
            <v>0</v>
          </cell>
          <cell r="J231">
            <v>0</v>
          </cell>
          <cell r="K231">
            <v>0</v>
          </cell>
          <cell r="L231">
            <v>0</v>
          </cell>
          <cell r="N231">
            <v>0</v>
          </cell>
          <cell r="O231">
            <v>0</v>
          </cell>
          <cell r="P231">
            <v>0</v>
          </cell>
          <cell r="T231">
            <v>0</v>
          </cell>
          <cell r="AA231">
            <v>223</v>
          </cell>
        </row>
        <row r="232">
          <cell r="G232">
            <v>0</v>
          </cell>
          <cell r="J232">
            <v>0</v>
          </cell>
          <cell r="K232">
            <v>0</v>
          </cell>
          <cell r="L232">
            <v>0</v>
          </cell>
          <cell r="N232">
            <v>0</v>
          </cell>
          <cell r="O232">
            <v>0</v>
          </cell>
          <cell r="P232">
            <v>0</v>
          </cell>
          <cell r="T232">
            <v>0</v>
          </cell>
          <cell r="AA232">
            <v>224</v>
          </cell>
        </row>
        <row r="233">
          <cell r="G233">
            <v>0</v>
          </cell>
          <cell r="J233">
            <v>0</v>
          </cell>
          <cell r="K233">
            <v>0</v>
          </cell>
          <cell r="L233">
            <v>0</v>
          </cell>
          <cell r="N233">
            <v>0</v>
          </cell>
          <cell r="O233">
            <v>0</v>
          </cell>
          <cell r="P233">
            <v>0</v>
          </cell>
          <cell r="T233">
            <v>0</v>
          </cell>
          <cell r="AA233">
            <v>225</v>
          </cell>
        </row>
        <row r="234">
          <cell r="G234">
            <v>0</v>
          </cell>
          <cell r="J234">
            <v>0</v>
          </cell>
          <cell r="K234">
            <v>0</v>
          </cell>
          <cell r="L234">
            <v>0</v>
          </cell>
          <cell r="N234">
            <v>0</v>
          </cell>
          <cell r="O234">
            <v>0</v>
          </cell>
          <cell r="P234">
            <v>0</v>
          </cell>
          <cell r="T234">
            <v>0</v>
          </cell>
          <cell r="AA234">
            <v>226</v>
          </cell>
        </row>
        <row r="235">
          <cell r="G235">
            <v>0</v>
          </cell>
          <cell r="J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P235">
            <v>0</v>
          </cell>
          <cell r="T235">
            <v>0</v>
          </cell>
          <cell r="AA235">
            <v>227</v>
          </cell>
        </row>
        <row r="236">
          <cell r="G236">
            <v>0</v>
          </cell>
          <cell r="J236">
            <v>0</v>
          </cell>
          <cell r="K236">
            <v>0</v>
          </cell>
          <cell r="L236">
            <v>0</v>
          </cell>
          <cell r="N236">
            <v>0</v>
          </cell>
          <cell r="O236">
            <v>0</v>
          </cell>
          <cell r="P236">
            <v>0</v>
          </cell>
          <cell r="T236">
            <v>0</v>
          </cell>
          <cell r="AA236">
            <v>228</v>
          </cell>
        </row>
        <row r="237">
          <cell r="G237">
            <v>0</v>
          </cell>
          <cell r="J237">
            <v>0</v>
          </cell>
          <cell r="K237">
            <v>0</v>
          </cell>
          <cell r="L237">
            <v>0</v>
          </cell>
          <cell r="N237">
            <v>0</v>
          </cell>
          <cell r="O237">
            <v>0</v>
          </cell>
          <cell r="P237">
            <v>0</v>
          </cell>
          <cell r="T237">
            <v>0</v>
          </cell>
          <cell r="AA237">
            <v>229</v>
          </cell>
        </row>
        <row r="238">
          <cell r="G238">
            <v>0</v>
          </cell>
          <cell r="J238">
            <v>0</v>
          </cell>
          <cell r="K238">
            <v>0</v>
          </cell>
          <cell r="L238">
            <v>0</v>
          </cell>
          <cell r="N238">
            <v>0</v>
          </cell>
          <cell r="O238">
            <v>0</v>
          </cell>
          <cell r="P238">
            <v>0</v>
          </cell>
          <cell r="T238">
            <v>0</v>
          </cell>
          <cell r="AA238">
            <v>230</v>
          </cell>
        </row>
        <row r="239">
          <cell r="G239">
            <v>0</v>
          </cell>
          <cell r="J239">
            <v>0</v>
          </cell>
          <cell r="K239">
            <v>0</v>
          </cell>
          <cell r="L239">
            <v>0</v>
          </cell>
          <cell r="N239">
            <v>0</v>
          </cell>
          <cell r="O239">
            <v>0</v>
          </cell>
          <cell r="P239">
            <v>0</v>
          </cell>
          <cell r="T239">
            <v>0</v>
          </cell>
          <cell r="AA239">
            <v>231</v>
          </cell>
        </row>
        <row r="240">
          <cell r="G240">
            <v>0</v>
          </cell>
          <cell r="J240">
            <v>0</v>
          </cell>
          <cell r="K240">
            <v>0</v>
          </cell>
          <cell r="L240">
            <v>0</v>
          </cell>
          <cell r="N240">
            <v>0</v>
          </cell>
          <cell r="O240">
            <v>0</v>
          </cell>
          <cell r="P240">
            <v>0</v>
          </cell>
          <cell r="T240">
            <v>0</v>
          </cell>
          <cell r="AA240">
            <v>232</v>
          </cell>
        </row>
        <row r="241">
          <cell r="G241">
            <v>0</v>
          </cell>
          <cell r="J241">
            <v>0</v>
          </cell>
          <cell r="K241">
            <v>0</v>
          </cell>
          <cell r="L241">
            <v>0</v>
          </cell>
          <cell r="N241">
            <v>0</v>
          </cell>
          <cell r="O241">
            <v>0</v>
          </cell>
          <cell r="P241">
            <v>0</v>
          </cell>
          <cell r="T241">
            <v>0</v>
          </cell>
          <cell r="AA241">
            <v>233</v>
          </cell>
        </row>
        <row r="242">
          <cell r="G242">
            <v>0</v>
          </cell>
          <cell r="J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P242">
            <v>0</v>
          </cell>
          <cell r="T242">
            <v>0</v>
          </cell>
          <cell r="AA242">
            <v>234</v>
          </cell>
        </row>
        <row r="243">
          <cell r="G243">
            <v>0</v>
          </cell>
          <cell r="J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P243">
            <v>0</v>
          </cell>
          <cell r="T243">
            <v>0</v>
          </cell>
          <cell r="AA243">
            <v>235</v>
          </cell>
        </row>
        <row r="244">
          <cell r="G244">
            <v>0</v>
          </cell>
          <cell r="J244">
            <v>0</v>
          </cell>
          <cell r="K244">
            <v>0</v>
          </cell>
          <cell r="L244">
            <v>0</v>
          </cell>
          <cell r="N244">
            <v>0</v>
          </cell>
          <cell r="O244">
            <v>0</v>
          </cell>
          <cell r="P244">
            <v>0</v>
          </cell>
          <cell r="T244">
            <v>0</v>
          </cell>
          <cell r="AA244">
            <v>236</v>
          </cell>
        </row>
        <row r="245">
          <cell r="G245">
            <v>0</v>
          </cell>
          <cell r="J245">
            <v>0</v>
          </cell>
          <cell r="K245">
            <v>0</v>
          </cell>
          <cell r="L245">
            <v>0</v>
          </cell>
          <cell r="N245">
            <v>0</v>
          </cell>
          <cell r="O245">
            <v>0</v>
          </cell>
          <cell r="P245">
            <v>0</v>
          </cell>
          <cell r="T245">
            <v>0</v>
          </cell>
          <cell r="AA245">
            <v>237</v>
          </cell>
        </row>
        <row r="246">
          <cell r="G246">
            <v>0</v>
          </cell>
          <cell r="J246">
            <v>0</v>
          </cell>
          <cell r="K246">
            <v>0</v>
          </cell>
          <cell r="L246">
            <v>0</v>
          </cell>
          <cell r="N246">
            <v>0</v>
          </cell>
          <cell r="O246">
            <v>0</v>
          </cell>
          <cell r="P246">
            <v>0</v>
          </cell>
          <cell r="T246">
            <v>0</v>
          </cell>
          <cell r="AA246">
            <v>238</v>
          </cell>
        </row>
        <row r="247">
          <cell r="G247">
            <v>0</v>
          </cell>
          <cell r="J247">
            <v>0</v>
          </cell>
          <cell r="K247">
            <v>0</v>
          </cell>
          <cell r="L247">
            <v>0</v>
          </cell>
          <cell r="N247">
            <v>0</v>
          </cell>
          <cell r="O247">
            <v>0</v>
          </cell>
          <cell r="P247">
            <v>0</v>
          </cell>
          <cell r="T247">
            <v>0</v>
          </cell>
          <cell r="AA247">
            <v>239</v>
          </cell>
        </row>
        <row r="248">
          <cell r="G248">
            <v>0</v>
          </cell>
          <cell r="J248">
            <v>0</v>
          </cell>
          <cell r="K248">
            <v>0</v>
          </cell>
          <cell r="L248">
            <v>0</v>
          </cell>
          <cell r="N248">
            <v>0</v>
          </cell>
          <cell r="O248">
            <v>0</v>
          </cell>
          <cell r="P248">
            <v>0</v>
          </cell>
          <cell r="T248">
            <v>0</v>
          </cell>
          <cell r="AA248">
            <v>240</v>
          </cell>
        </row>
        <row r="249">
          <cell r="G249">
            <v>0</v>
          </cell>
          <cell r="J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P249">
            <v>0</v>
          </cell>
          <cell r="T249">
            <v>0</v>
          </cell>
          <cell r="AA249">
            <v>241</v>
          </cell>
        </row>
        <row r="250">
          <cell r="G250">
            <v>0</v>
          </cell>
          <cell r="J250">
            <v>0</v>
          </cell>
          <cell r="K250">
            <v>0</v>
          </cell>
          <cell r="L250">
            <v>0</v>
          </cell>
          <cell r="N250">
            <v>0</v>
          </cell>
          <cell r="O250">
            <v>0</v>
          </cell>
          <cell r="P250">
            <v>0</v>
          </cell>
          <cell r="T250">
            <v>0</v>
          </cell>
          <cell r="AA250">
            <v>242</v>
          </cell>
        </row>
        <row r="251">
          <cell r="G251">
            <v>0</v>
          </cell>
          <cell r="J251">
            <v>0</v>
          </cell>
          <cell r="K251">
            <v>0</v>
          </cell>
          <cell r="L251">
            <v>0</v>
          </cell>
          <cell r="N251">
            <v>0</v>
          </cell>
          <cell r="O251">
            <v>0</v>
          </cell>
          <cell r="P251">
            <v>0</v>
          </cell>
          <cell r="T251">
            <v>0</v>
          </cell>
          <cell r="AA251">
            <v>243</v>
          </cell>
        </row>
        <row r="252">
          <cell r="G252">
            <v>0</v>
          </cell>
          <cell r="J252">
            <v>0</v>
          </cell>
          <cell r="K252">
            <v>0</v>
          </cell>
          <cell r="L252">
            <v>0</v>
          </cell>
          <cell r="N252">
            <v>0</v>
          </cell>
          <cell r="O252">
            <v>0</v>
          </cell>
          <cell r="P252">
            <v>0</v>
          </cell>
          <cell r="T252">
            <v>0</v>
          </cell>
          <cell r="AA252">
            <v>244</v>
          </cell>
        </row>
        <row r="253">
          <cell r="G253">
            <v>0</v>
          </cell>
          <cell r="J253">
            <v>0</v>
          </cell>
          <cell r="K253">
            <v>0</v>
          </cell>
          <cell r="L253">
            <v>0</v>
          </cell>
          <cell r="N253">
            <v>0</v>
          </cell>
          <cell r="O253">
            <v>0</v>
          </cell>
          <cell r="P253">
            <v>0</v>
          </cell>
          <cell r="T253">
            <v>0</v>
          </cell>
          <cell r="AA253">
            <v>245</v>
          </cell>
        </row>
        <row r="254">
          <cell r="G254">
            <v>0</v>
          </cell>
          <cell r="J254">
            <v>0</v>
          </cell>
          <cell r="K254">
            <v>0</v>
          </cell>
          <cell r="L254">
            <v>0</v>
          </cell>
          <cell r="N254">
            <v>0</v>
          </cell>
          <cell r="O254">
            <v>0</v>
          </cell>
          <cell r="P254">
            <v>0</v>
          </cell>
          <cell r="T254">
            <v>0</v>
          </cell>
          <cell r="AA254">
            <v>246</v>
          </cell>
        </row>
        <row r="255">
          <cell r="G255">
            <v>0</v>
          </cell>
          <cell r="J255">
            <v>0</v>
          </cell>
          <cell r="K255">
            <v>0</v>
          </cell>
          <cell r="L255">
            <v>0</v>
          </cell>
          <cell r="N255">
            <v>0</v>
          </cell>
          <cell r="O255">
            <v>0</v>
          </cell>
          <cell r="P255">
            <v>0</v>
          </cell>
          <cell r="T255">
            <v>0</v>
          </cell>
          <cell r="AA255">
            <v>247</v>
          </cell>
        </row>
        <row r="256">
          <cell r="G256">
            <v>0</v>
          </cell>
          <cell r="J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P256">
            <v>0</v>
          </cell>
          <cell r="T256">
            <v>0</v>
          </cell>
          <cell r="AA256">
            <v>248</v>
          </cell>
        </row>
        <row r="257">
          <cell r="G257">
            <v>0</v>
          </cell>
          <cell r="J257">
            <v>0</v>
          </cell>
          <cell r="K257">
            <v>0</v>
          </cell>
          <cell r="L257">
            <v>0</v>
          </cell>
          <cell r="N257">
            <v>0</v>
          </cell>
          <cell r="O257">
            <v>0</v>
          </cell>
          <cell r="P257">
            <v>0</v>
          </cell>
          <cell r="T257">
            <v>0</v>
          </cell>
          <cell r="AA257">
            <v>249</v>
          </cell>
        </row>
        <row r="258">
          <cell r="G258">
            <v>0</v>
          </cell>
          <cell r="J258">
            <v>0</v>
          </cell>
          <cell r="K258">
            <v>0</v>
          </cell>
          <cell r="L258">
            <v>0</v>
          </cell>
          <cell r="N258">
            <v>0</v>
          </cell>
          <cell r="O258">
            <v>0</v>
          </cell>
          <cell r="P258">
            <v>0</v>
          </cell>
          <cell r="T258">
            <v>0</v>
          </cell>
          <cell r="AA258">
            <v>250</v>
          </cell>
        </row>
        <row r="259">
          <cell r="G259">
            <v>0</v>
          </cell>
          <cell r="J259">
            <v>0</v>
          </cell>
          <cell r="K259">
            <v>0</v>
          </cell>
          <cell r="L259">
            <v>0</v>
          </cell>
          <cell r="N259">
            <v>0</v>
          </cell>
          <cell r="O259">
            <v>0</v>
          </cell>
          <cell r="P259">
            <v>0</v>
          </cell>
          <cell r="T259">
            <v>0</v>
          </cell>
          <cell r="AA259">
            <v>251</v>
          </cell>
        </row>
        <row r="260">
          <cell r="G260">
            <v>0</v>
          </cell>
          <cell r="J260">
            <v>0</v>
          </cell>
          <cell r="K260">
            <v>0</v>
          </cell>
          <cell r="L260">
            <v>0</v>
          </cell>
          <cell r="N260">
            <v>0</v>
          </cell>
          <cell r="O260">
            <v>0</v>
          </cell>
          <cell r="P260">
            <v>0</v>
          </cell>
          <cell r="T260">
            <v>0</v>
          </cell>
          <cell r="AA260">
            <v>252</v>
          </cell>
        </row>
        <row r="261">
          <cell r="G261">
            <v>0</v>
          </cell>
          <cell r="J261">
            <v>0</v>
          </cell>
          <cell r="K261">
            <v>0</v>
          </cell>
          <cell r="L261">
            <v>0</v>
          </cell>
          <cell r="N261">
            <v>0</v>
          </cell>
          <cell r="O261">
            <v>0</v>
          </cell>
          <cell r="P261">
            <v>0</v>
          </cell>
          <cell r="T261">
            <v>0</v>
          </cell>
          <cell r="AA261">
            <v>253</v>
          </cell>
        </row>
        <row r="262">
          <cell r="G262">
            <v>0</v>
          </cell>
          <cell r="J262">
            <v>0</v>
          </cell>
          <cell r="K262">
            <v>0</v>
          </cell>
          <cell r="L262">
            <v>0</v>
          </cell>
          <cell r="N262">
            <v>0</v>
          </cell>
          <cell r="O262">
            <v>0</v>
          </cell>
          <cell r="P262">
            <v>0</v>
          </cell>
          <cell r="T262">
            <v>0</v>
          </cell>
          <cell r="AA262">
            <v>254</v>
          </cell>
        </row>
        <row r="263">
          <cell r="G263">
            <v>0</v>
          </cell>
          <cell r="J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P263">
            <v>0</v>
          </cell>
          <cell r="T263">
            <v>0</v>
          </cell>
          <cell r="AA263">
            <v>255</v>
          </cell>
        </row>
        <row r="264">
          <cell r="G264">
            <v>0</v>
          </cell>
          <cell r="J264">
            <v>0</v>
          </cell>
          <cell r="K264">
            <v>0</v>
          </cell>
          <cell r="L264">
            <v>0</v>
          </cell>
          <cell r="N264">
            <v>0</v>
          </cell>
          <cell r="O264">
            <v>0</v>
          </cell>
          <cell r="P264">
            <v>0</v>
          </cell>
          <cell r="T264">
            <v>0</v>
          </cell>
          <cell r="AA264">
            <v>256</v>
          </cell>
        </row>
        <row r="265">
          <cell r="G265">
            <v>0</v>
          </cell>
          <cell r="J265">
            <v>0</v>
          </cell>
          <cell r="K265">
            <v>0</v>
          </cell>
          <cell r="L265">
            <v>0</v>
          </cell>
          <cell r="N265">
            <v>0</v>
          </cell>
          <cell r="O265">
            <v>0</v>
          </cell>
          <cell r="P265">
            <v>0</v>
          </cell>
          <cell r="T265">
            <v>0</v>
          </cell>
          <cell r="AA265">
            <v>257</v>
          </cell>
        </row>
        <row r="266">
          <cell r="G266">
            <v>0</v>
          </cell>
          <cell r="J266">
            <v>0</v>
          </cell>
          <cell r="K266">
            <v>0</v>
          </cell>
          <cell r="L266">
            <v>0</v>
          </cell>
          <cell r="N266">
            <v>0</v>
          </cell>
          <cell r="O266">
            <v>0</v>
          </cell>
          <cell r="P266">
            <v>0</v>
          </cell>
          <cell r="T266">
            <v>0</v>
          </cell>
          <cell r="AA266">
            <v>258</v>
          </cell>
        </row>
        <row r="267">
          <cell r="G267">
            <v>0</v>
          </cell>
          <cell r="J267">
            <v>0</v>
          </cell>
          <cell r="K267">
            <v>0</v>
          </cell>
          <cell r="L267">
            <v>0</v>
          </cell>
          <cell r="N267">
            <v>0</v>
          </cell>
          <cell r="O267">
            <v>0</v>
          </cell>
          <cell r="P267">
            <v>0</v>
          </cell>
          <cell r="T267">
            <v>0</v>
          </cell>
          <cell r="AA267">
            <v>259</v>
          </cell>
        </row>
        <row r="268">
          <cell r="G268">
            <v>0</v>
          </cell>
          <cell r="J268">
            <v>0</v>
          </cell>
          <cell r="K268">
            <v>0</v>
          </cell>
          <cell r="L268">
            <v>0</v>
          </cell>
          <cell r="N268">
            <v>0</v>
          </cell>
          <cell r="O268">
            <v>0</v>
          </cell>
          <cell r="P268">
            <v>0</v>
          </cell>
          <cell r="T268">
            <v>0</v>
          </cell>
          <cell r="AA268">
            <v>260</v>
          </cell>
        </row>
        <row r="269">
          <cell r="G269">
            <v>0</v>
          </cell>
          <cell r="J269">
            <v>0</v>
          </cell>
          <cell r="K269">
            <v>0</v>
          </cell>
          <cell r="L269">
            <v>0</v>
          </cell>
          <cell r="N269">
            <v>0</v>
          </cell>
          <cell r="O269">
            <v>0</v>
          </cell>
          <cell r="P269">
            <v>0</v>
          </cell>
          <cell r="T269">
            <v>0</v>
          </cell>
          <cell r="AA269">
            <v>261</v>
          </cell>
        </row>
        <row r="270">
          <cell r="G270">
            <v>0</v>
          </cell>
          <cell r="J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P270">
            <v>0</v>
          </cell>
          <cell r="T270">
            <v>0</v>
          </cell>
          <cell r="AA270">
            <v>262</v>
          </cell>
        </row>
        <row r="271">
          <cell r="G271">
            <v>0</v>
          </cell>
          <cell r="J271">
            <v>0</v>
          </cell>
          <cell r="K271">
            <v>0</v>
          </cell>
          <cell r="L271">
            <v>0</v>
          </cell>
          <cell r="N271">
            <v>0</v>
          </cell>
          <cell r="O271">
            <v>0</v>
          </cell>
          <cell r="P271">
            <v>0</v>
          </cell>
          <cell r="T271">
            <v>0</v>
          </cell>
          <cell r="AA271">
            <v>263</v>
          </cell>
        </row>
        <row r="272">
          <cell r="G272">
            <v>0</v>
          </cell>
          <cell r="J272">
            <v>0</v>
          </cell>
          <cell r="K272">
            <v>0</v>
          </cell>
          <cell r="L272">
            <v>0</v>
          </cell>
          <cell r="N272">
            <v>0</v>
          </cell>
          <cell r="O272">
            <v>0</v>
          </cell>
          <cell r="P272">
            <v>0</v>
          </cell>
          <cell r="T272">
            <v>0</v>
          </cell>
          <cell r="AA272">
            <v>264</v>
          </cell>
        </row>
        <row r="273">
          <cell r="G273">
            <v>0</v>
          </cell>
          <cell r="J273">
            <v>0</v>
          </cell>
          <cell r="K273">
            <v>0</v>
          </cell>
          <cell r="L273">
            <v>0</v>
          </cell>
          <cell r="N273">
            <v>0</v>
          </cell>
          <cell r="O273">
            <v>0</v>
          </cell>
          <cell r="P273">
            <v>0</v>
          </cell>
          <cell r="T273">
            <v>0</v>
          </cell>
          <cell r="AA273">
            <v>265</v>
          </cell>
        </row>
        <row r="274">
          <cell r="G274">
            <v>0</v>
          </cell>
          <cell r="J274">
            <v>0</v>
          </cell>
          <cell r="K274">
            <v>0</v>
          </cell>
          <cell r="L274">
            <v>0</v>
          </cell>
          <cell r="N274">
            <v>0</v>
          </cell>
          <cell r="O274">
            <v>0</v>
          </cell>
          <cell r="P274">
            <v>0</v>
          </cell>
          <cell r="T274">
            <v>0</v>
          </cell>
          <cell r="AA274">
            <v>266</v>
          </cell>
        </row>
        <row r="275">
          <cell r="G275">
            <v>0</v>
          </cell>
          <cell r="J275">
            <v>0</v>
          </cell>
          <cell r="K275">
            <v>0</v>
          </cell>
          <cell r="L275">
            <v>0</v>
          </cell>
          <cell r="N275">
            <v>0</v>
          </cell>
          <cell r="O275">
            <v>0</v>
          </cell>
          <cell r="P275">
            <v>0</v>
          </cell>
          <cell r="T275">
            <v>0</v>
          </cell>
          <cell r="AA275">
            <v>267</v>
          </cell>
        </row>
        <row r="276">
          <cell r="G276">
            <v>0</v>
          </cell>
          <cell r="J276">
            <v>0</v>
          </cell>
          <cell r="K276">
            <v>0</v>
          </cell>
          <cell r="L276">
            <v>0</v>
          </cell>
          <cell r="N276">
            <v>0</v>
          </cell>
          <cell r="O276">
            <v>0</v>
          </cell>
          <cell r="P276">
            <v>0</v>
          </cell>
          <cell r="T276">
            <v>0</v>
          </cell>
          <cell r="AA276">
            <v>268</v>
          </cell>
        </row>
        <row r="277">
          <cell r="G277">
            <v>0</v>
          </cell>
          <cell r="J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P277">
            <v>0</v>
          </cell>
          <cell r="T277">
            <v>0</v>
          </cell>
          <cell r="AA277">
            <v>269</v>
          </cell>
        </row>
        <row r="278">
          <cell r="G278">
            <v>0</v>
          </cell>
          <cell r="J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P278">
            <v>0</v>
          </cell>
          <cell r="T278">
            <v>0</v>
          </cell>
          <cell r="AA278">
            <v>270</v>
          </cell>
        </row>
        <row r="279">
          <cell r="G279">
            <v>0</v>
          </cell>
          <cell r="J279">
            <v>0</v>
          </cell>
          <cell r="K279">
            <v>0</v>
          </cell>
          <cell r="L279">
            <v>0</v>
          </cell>
          <cell r="N279">
            <v>0</v>
          </cell>
          <cell r="O279">
            <v>0</v>
          </cell>
          <cell r="P279">
            <v>0</v>
          </cell>
          <cell r="T279">
            <v>0</v>
          </cell>
          <cell r="AA279">
            <v>271</v>
          </cell>
        </row>
        <row r="280">
          <cell r="G280">
            <v>0</v>
          </cell>
          <cell r="J280">
            <v>0</v>
          </cell>
          <cell r="K280">
            <v>0</v>
          </cell>
          <cell r="L280">
            <v>0</v>
          </cell>
          <cell r="N280">
            <v>0</v>
          </cell>
          <cell r="O280">
            <v>0</v>
          </cell>
          <cell r="P280">
            <v>0</v>
          </cell>
          <cell r="T280">
            <v>0</v>
          </cell>
          <cell r="AA280">
            <v>272</v>
          </cell>
        </row>
        <row r="281">
          <cell r="G281">
            <v>0</v>
          </cell>
          <cell r="J281">
            <v>0</v>
          </cell>
          <cell r="K281">
            <v>0</v>
          </cell>
          <cell r="L281">
            <v>0</v>
          </cell>
          <cell r="N281">
            <v>0</v>
          </cell>
          <cell r="O281">
            <v>0</v>
          </cell>
          <cell r="P281">
            <v>0</v>
          </cell>
          <cell r="T281">
            <v>0</v>
          </cell>
          <cell r="AA281">
            <v>273</v>
          </cell>
        </row>
        <row r="282">
          <cell r="G282">
            <v>0</v>
          </cell>
          <cell r="J282">
            <v>0</v>
          </cell>
          <cell r="K282">
            <v>0</v>
          </cell>
          <cell r="L282">
            <v>0</v>
          </cell>
          <cell r="N282">
            <v>0</v>
          </cell>
          <cell r="O282">
            <v>0</v>
          </cell>
          <cell r="P282">
            <v>0</v>
          </cell>
          <cell r="T282">
            <v>0</v>
          </cell>
          <cell r="AA282">
            <v>274</v>
          </cell>
        </row>
        <row r="283">
          <cell r="G283">
            <v>0</v>
          </cell>
          <cell r="J283">
            <v>0</v>
          </cell>
          <cell r="K283">
            <v>0</v>
          </cell>
          <cell r="L283">
            <v>0</v>
          </cell>
          <cell r="N283">
            <v>0</v>
          </cell>
          <cell r="O283">
            <v>0</v>
          </cell>
          <cell r="P283">
            <v>0</v>
          </cell>
          <cell r="T283">
            <v>0</v>
          </cell>
          <cell r="AA283">
            <v>275</v>
          </cell>
        </row>
        <row r="284">
          <cell r="G284">
            <v>0</v>
          </cell>
          <cell r="J284">
            <v>0</v>
          </cell>
          <cell r="K284">
            <v>0</v>
          </cell>
          <cell r="L284">
            <v>0</v>
          </cell>
          <cell r="N284">
            <v>0</v>
          </cell>
          <cell r="O284">
            <v>0</v>
          </cell>
          <cell r="P284">
            <v>0</v>
          </cell>
          <cell r="T284">
            <v>0</v>
          </cell>
          <cell r="AA284">
            <v>276</v>
          </cell>
        </row>
        <row r="285">
          <cell r="G285">
            <v>0</v>
          </cell>
          <cell r="J285">
            <v>0</v>
          </cell>
          <cell r="K285">
            <v>0</v>
          </cell>
          <cell r="L285">
            <v>0</v>
          </cell>
          <cell r="N285">
            <v>0</v>
          </cell>
          <cell r="O285">
            <v>0</v>
          </cell>
          <cell r="P285">
            <v>0</v>
          </cell>
          <cell r="T285">
            <v>0</v>
          </cell>
          <cell r="AA285">
            <v>277</v>
          </cell>
        </row>
        <row r="286">
          <cell r="G286">
            <v>0</v>
          </cell>
          <cell r="J286">
            <v>0</v>
          </cell>
          <cell r="K286">
            <v>0</v>
          </cell>
          <cell r="L286">
            <v>0</v>
          </cell>
          <cell r="N286">
            <v>0</v>
          </cell>
          <cell r="O286">
            <v>0</v>
          </cell>
          <cell r="P286">
            <v>0</v>
          </cell>
          <cell r="T286">
            <v>0</v>
          </cell>
          <cell r="AA286">
            <v>278</v>
          </cell>
        </row>
        <row r="287">
          <cell r="G287">
            <v>0</v>
          </cell>
          <cell r="J287">
            <v>0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P287">
            <v>0</v>
          </cell>
          <cell r="T287">
            <v>0</v>
          </cell>
          <cell r="AA287">
            <v>279</v>
          </cell>
        </row>
        <row r="288">
          <cell r="G288">
            <v>0</v>
          </cell>
          <cell r="J288">
            <v>0</v>
          </cell>
          <cell r="K288">
            <v>0</v>
          </cell>
          <cell r="L288">
            <v>0</v>
          </cell>
          <cell r="N288">
            <v>0</v>
          </cell>
          <cell r="O288">
            <v>0</v>
          </cell>
          <cell r="P288">
            <v>0</v>
          </cell>
          <cell r="T288">
            <v>0</v>
          </cell>
          <cell r="AA288">
            <v>280</v>
          </cell>
        </row>
        <row r="289">
          <cell r="G289">
            <v>0</v>
          </cell>
          <cell r="J289">
            <v>0</v>
          </cell>
          <cell r="K289">
            <v>0</v>
          </cell>
          <cell r="L289">
            <v>0</v>
          </cell>
          <cell r="N289">
            <v>0</v>
          </cell>
          <cell r="O289">
            <v>0</v>
          </cell>
          <cell r="P289">
            <v>0</v>
          </cell>
          <cell r="T289">
            <v>0</v>
          </cell>
          <cell r="AA289">
            <v>281</v>
          </cell>
        </row>
        <row r="290">
          <cell r="G290">
            <v>0</v>
          </cell>
          <cell r="J290">
            <v>0</v>
          </cell>
          <cell r="K290">
            <v>0</v>
          </cell>
          <cell r="L290">
            <v>0</v>
          </cell>
          <cell r="N290">
            <v>0</v>
          </cell>
          <cell r="O290">
            <v>0</v>
          </cell>
          <cell r="P290">
            <v>0</v>
          </cell>
          <cell r="T290">
            <v>0</v>
          </cell>
          <cell r="AA290">
            <v>282</v>
          </cell>
        </row>
        <row r="291">
          <cell r="G291">
            <v>0</v>
          </cell>
          <cell r="J291">
            <v>0</v>
          </cell>
          <cell r="K291">
            <v>0</v>
          </cell>
          <cell r="L291">
            <v>0</v>
          </cell>
          <cell r="N291">
            <v>0</v>
          </cell>
          <cell r="O291">
            <v>0</v>
          </cell>
          <cell r="P291">
            <v>0</v>
          </cell>
          <cell r="T291">
            <v>0</v>
          </cell>
          <cell r="AA291">
            <v>283</v>
          </cell>
        </row>
        <row r="292">
          <cell r="G292">
            <v>0</v>
          </cell>
          <cell r="J292">
            <v>0</v>
          </cell>
          <cell r="K292">
            <v>0</v>
          </cell>
          <cell r="L292">
            <v>0</v>
          </cell>
          <cell r="N292">
            <v>0</v>
          </cell>
          <cell r="O292">
            <v>0</v>
          </cell>
          <cell r="P292">
            <v>0</v>
          </cell>
          <cell r="T292">
            <v>0</v>
          </cell>
          <cell r="AA292">
            <v>284</v>
          </cell>
        </row>
        <row r="293">
          <cell r="G293">
            <v>0</v>
          </cell>
          <cell r="J293">
            <v>0</v>
          </cell>
          <cell r="K293">
            <v>0</v>
          </cell>
          <cell r="L293">
            <v>0</v>
          </cell>
          <cell r="N293">
            <v>0</v>
          </cell>
          <cell r="O293">
            <v>0</v>
          </cell>
          <cell r="P293">
            <v>0</v>
          </cell>
          <cell r="T293">
            <v>0</v>
          </cell>
          <cell r="AA293">
            <v>285</v>
          </cell>
        </row>
        <row r="294">
          <cell r="G294">
            <v>0</v>
          </cell>
          <cell r="J294">
            <v>0</v>
          </cell>
          <cell r="K294">
            <v>0</v>
          </cell>
          <cell r="L294">
            <v>0</v>
          </cell>
          <cell r="N294">
            <v>0</v>
          </cell>
          <cell r="O294">
            <v>0</v>
          </cell>
          <cell r="P294">
            <v>0</v>
          </cell>
          <cell r="T294">
            <v>0</v>
          </cell>
          <cell r="AA294">
            <v>286</v>
          </cell>
        </row>
        <row r="295">
          <cell r="G295">
            <v>0</v>
          </cell>
          <cell r="J295">
            <v>0</v>
          </cell>
          <cell r="K295">
            <v>0</v>
          </cell>
          <cell r="L295">
            <v>0</v>
          </cell>
          <cell r="N295">
            <v>0</v>
          </cell>
          <cell r="O295">
            <v>0</v>
          </cell>
          <cell r="P295">
            <v>0</v>
          </cell>
          <cell r="T295">
            <v>0</v>
          </cell>
          <cell r="AA295">
            <v>287</v>
          </cell>
        </row>
        <row r="296">
          <cell r="G296">
            <v>0</v>
          </cell>
          <cell r="J296">
            <v>0</v>
          </cell>
          <cell r="K296">
            <v>0</v>
          </cell>
          <cell r="L296">
            <v>0</v>
          </cell>
          <cell r="N296">
            <v>0</v>
          </cell>
          <cell r="O296">
            <v>0</v>
          </cell>
          <cell r="P296">
            <v>0</v>
          </cell>
          <cell r="T296">
            <v>0</v>
          </cell>
          <cell r="AA296">
            <v>288</v>
          </cell>
        </row>
        <row r="297">
          <cell r="G297">
            <v>0</v>
          </cell>
          <cell r="J297">
            <v>0</v>
          </cell>
          <cell r="K297">
            <v>0</v>
          </cell>
          <cell r="L297">
            <v>0</v>
          </cell>
          <cell r="N297">
            <v>0</v>
          </cell>
          <cell r="O297">
            <v>0</v>
          </cell>
          <cell r="P297">
            <v>0</v>
          </cell>
          <cell r="T297">
            <v>0</v>
          </cell>
          <cell r="AA297">
            <v>289</v>
          </cell>
        </row>
        <row r="298">
          <cell r="G298">
            <v>0</v>
          </cell>
          <cell r="J298">
            <v>0</v>
          </cell>
          <cell r="K298">
            <v>0</v>
          </cell>
          <cell r="L298">
            <v>0</v>
          </cell>
          <cell r="N298">
            <v>0</v>
          </cell>
          <cell r="O298">
            <v>0</v>
          </cell>
          <cell r="P298">
            <v>0</v>
          </cell>
          <cell r="T298">
            <v>0</v>
          </cell>
          <cell r="AA298">
            <v>290</v>
          </cell>
        </row>
        <row r="299">
          <cell r="G299">
            <v>0</v>
          </cell>
          <cell r="J299">
            <v>0</v>
          </cell>
          <cell r="K299">
            <v>0</v>
          </cell>
          <cell r="L299">
            <v>0</v>
          </cell>
          <cell r="N299">
            <v>0</v>
          </cell>
          <cell r="O299">
            <v>0</v>
          </cell>
          <cell r="P299">
            <v>0</v>
          </cell>
          <cell r="T299">
            <v>0</v>
          </cell>
          <cell r="AA299">
            <v>291</v>
          </cell>
        </row>
        <row r="300">
          <cell r="G300">
            <v>0</v>
          </cell>
          <cell r="J300">
            <v>0</v>
          </cell>
          <cell r="K300">
            <v>0</v>
          </cell>
          <cell r="L300">
            <v>0</v>
          </cell>
          <cell r="N300">
            <v>0</v>
          </cell>
          <cell r="O300">
            <v>0</v>
          </cell>
          <cell r="P300">
            <v>0</v>
          </cell>
          <cell r="T300">
            <v>0</v>
          </cell>
          <cell r="AA300">
            <v>292</v>
          </cell>
        </row>
        <row r="301">
          <cell r="G301">
            <v>0</v>
          </cell>
          <cell r="J301">
            <v>0</v>
          </cell>
          <cell r="K301">
            <v>0</v>
          </cell>
          <cell r="L301">
            <v>0</v>
          </cell>
          <cell r="N301">
            <v>0</v>
          </cell>
          <cell r="O301">
            <v>0</v>
          </cell>
          <cell r="P301">
            <v>0</v>
          </cell>
          <cell r="T301">
            <v>0</v>
          </cell>
          <cell r="AA301">
            <v>293</v>
          </cell>
        </row>
        <row r="302">
          <cell r="G302">
            <v>0</v>
          </cell>
          <cell r="J302">
            <v>0</v>
          </cell>
          <cell r="K302">
            <v>0</v>
          </cell>
          <cell r="L302">
            <v>0</v>
          </cell>
          <cell r="N302">
            <v>0</v>
          </cell>
          <cell r="O302">
            <v>0</v>
          </cell>
          <cell r="P302">
            <v>0</v>
          </cell>
          <cell r="T302">
            <v>0</v>
          </cell>
          <cell r="AA302">
            <v>294</v>
          </cell>
        </row>
        <row r="303">
          <cell r="G303">
            <v>0</v>
          </cell>
          <cell r="J303">
            <v>0</v>
          </cell>
          <cell r="K303">
            <v>0</v>
          </cell>
          <cell r="L303">
            <v>0</v>
          </cell>
          <cell r="N303">
            <v>0</v>
          </cell>
          <cell r="O303">
            <v>0</v>
          </cell>
          <cell r="P303">
            <v>0</v>
          </cell>
          <cell r="T303">
            <v>0</v>
          </cell>
          <cell r="AA303">
            <v>295</v>
          </cell>
        </row>
        <row r="304">
          <cell r="G304">
            <v>0</v>
          </cell>
          <cell r="J304">
            <v>0</v>
          </cell>
          <cell r="K304">
            <v>0</v>
          </cell>
          <cell r="L304">
            <v>0</v>
          </cell>
          <cell r="N304">
            <v>0</v>
          </cell>
          <cell r="O304">
            <v>0</v>
          </cell>
          <cell r="P304">
            <v>0</v>
          </cell>
          <cell r="T304">
            <v>0</v>
          </cell>
          <cell r="AA304">
            <v>296</v>
          </cell>
        </row>
        <row r="305">
          <cell r="G305">
            <v>0</v>
          </cell>
          <cell r="J305">
            <v>0</v>
          </cell>
          <cell r="K305">
            <v>0</v>
          </cell>
          <cell r="L305">
            <v>0</v>
          </cell>
          <cell r="N305">
            <v>0</v>
          </cell>
          <cell r="O305">
            <v>0</v>
          </cell>
          <cell r="P305">
            <v>0</v>
          </cell>
          <cell r="T305">
            <v>0</v>
          </cell>
          <cell r="AA305">
            <v>297</v>
          </cell>
        </row>
        <row r="306">
          <cell r="G306">
            <v>0</v>
          </cell>
          <cell r="J306">
            <v>0</v>
          </cell>
          <cell r="K306">
            <v>0</v>
          </cell>
          <cell r="L306">
            <v>0</v>
          </cell>
          <cell r="N306">
            <v>0</v>
          </cell>
          <cell r="O306">
            <v>0</v>
          </cell>
          <cell r="P306">
            <v>0</v>
          </cell>
          <cell r="T306">
            <v>0</v>
          </cell>
          <cell r="AA306">
            <v>298</v>
          </cell>
        </row>
        <row r="307">
          <cell r="G307">
            <v>0</v>
          </cell>
          <cell r="J307">
            <v>0</v>
          </cell>
          <cell r="K307">
            <v>0</v>
          </cell>
          <cell r="L307">
            <v>0</v>
          </cell>
          <cell r="N307">
            <v>0</v>
          </cell>
          <cell r="O307">
            <v>0</v>
          </cell>
          <cell r="P307">
            <v>0</v>
          </cell>
          <cell r="T307">
            <v>0</v>
          </cell>
          <cell r="AA307">
            <v>299</v>
          </cell>
        </row>
        <row r="308">
          <cell r="G308">
            <v>0</v>
          </cell>
          <cell r="J308">
            <v>0</v>
          </cell>
          <cell r="K308">
            <v>0</v>
          </cell>
          <cell r="L308">
            <v>0</v>
          </cell>
          <cell r="N308">
            <v>0</v>
          </cell>
          <cell r="O308">
            <v>0</v>
          </cell>
          <cell r="P308">
            <v>0</v>
          </cell>
          <cell r="T308">
            <v>0</v>
          </cell>
          <cell r="AA308">
            <v>300</v>
          </cell>
        </row>
        <row r="309">
          <cell r="G309">
            <v>0</v>
          </cell>
          <cell r="J309">
            <v>0</v>
          </cell>
          <cell r="K309">
            <v>0</v>
          </cell>
          <cell r="L309">
            <v>0</v>
          </cell>
          <cell r="N309">
            <v>0</v>
          </cell>
          <cell r="O309">
            <v>0</v>
          </cell>
          <cell r="P309">
            <v>0</v>
          </cell>
          <cell r="T309">
            <v>0</v>
          </cell>
          <cell r="AA309">
            <v>301</v>
          </cell>
        </row>
        <row r="310">
          <cell r="G310">
            <v>0</v>
          </cell>
          <cell r="J310">
            <v>0</v>
          </cell>
          <cell r="K310">
            <v>0</v>
          </cell>
          <cell r="L310">
            <v>0</v>
          </cell>
          <cell r="N310">
            <v>0</v>
          </cell>
          <cell r="O310">
            <v>0</v>
          </cell>
          <cell r="P310">
            <v>0</v>
          </cell>
          <cell r="T310">
            <v>0</v>
          </cell>
          <cell r="AA310">
            <v>302</v>
          </cell>
        </row>
        <row r="311">
          <cell r="G311">
            <v>0</v>
          </cell>
          <cell r="J311">
            <v>0</v>
          </cell>
          <cell r="K311">
            <v>0</v>
          </cell>
          <cell r="L311">
            <v>0</v>
          </cell>
          <cell r="N311">
            <v>0</v>
          </cell>
          <cell r="O311">
            <v>0</v>
          </cell>
          <cell r="P311">
            <v>0</v>
          </cell>
          <cell r="T311">
            <v>0</v>
          </cell>
          <cell r="AA311">
            <v>303</v>
          </cell>
        </row>
        <row r="312">
          <cell r="G312">
            <v>0</v>
          </cell>
          <cell r="J312">
            <v>0</v>
          </cell>
          <cell r="K312">
            <v>0</v>
          </cell>
          <cell r="L312">
            <v>0</v>
          </cell>
          <cell r="N312">
            <v>0</v>
          </cell>
          <cell r="O312">
            <v>0</v>
          </cell>
          <cell r="P312">
            <v>0</v>
          </cell>
          <cell r="T312">
            <v>0</v>
          </cell>
          <cell r="AA312">
            <v>304</v>
          </cell>
        </row>
        <row r="313">
          <cell r="G313">
            <v>0</v>
          </cell>
          <cell r="J313">
            <v>0</v>
          </cell>
          <cell r="K313">
            <v>0</v>
          </cell>
          <cell r="L313">
            <v>0</v>
          </cell>
          <cell r="N313">
            <v>0</v>
          </cell>
          <cell r="O313">
            <v>0</v>
          </cell>
          <cell r="P313">
            <v>0</v>
          </cell>
          <cell r="T313">
            <v>0</v>
          </cell>
          <cell r="AA313">
            <v>305</v>
          </cell>
        </row>
        <row r="314">
          <cell r="G314">
            <v>0</v>
          </cell>
          <cell r="J314">
            <v>0</v>
          </cell>
          <cell r="K314">
            <v>0</v>
          </cell>
          <cell r="L314">
            <v>0</v>
          </cell>
          <cell r="N314">
            <v>0</v>
          </cell>
          <cell r="O314">
            <v>0</v>
          </cell>
          <cell r="P314">
            <v>0</v>
          </cell>
          <cell r="T314">
            <v>0</v>
          </cell>
          <cell r="AA314">
            <v>306</v>
          </cell>
        </row>
        <row r="315">
          <cell r="G315">
            <v>0</v>
          </cell>
          <cell r="J315">
            <v>0</v>
          </cell>
          <cell r="K315">
            <v>0</v>
          </cell>
          <cell r="L315">
            <v>0</v>
          </cell>
          <cell r="N315">
            <v>0</v>
          </cell>
          <cell r="O315">
            <v>0</v>
          </cell>
          <cell r="P315">
            <v>0</v>
          </cell>
          <cell r="T315">
            <v>0</v>
          </cell>
          <cell r="AA315">
            <v>307</v>
          </cell>
        </row>
        <row r="316">
          <cell r="G316">
            <v>0</v>
          </cell>
          <cell r="J316">
            <v>0</v>
          </cell>
          <cell r="K316">
            <v>0</v>
          </cell>
          <cell r="L316">
            <v>0</v>
          </cell>
          <cell r="N316">
            <v>0</v>
          </cell>
          <cell r="O316">
            <v>0</v>
          </cell>
          <cell r="P316">
            <v>0</v>
          </cell>
          <cell r="T316">
            <v>0</v>
          </cell>
          <cell r="AA316">
            <v>308</v>
          </cell>
        </row>
        <row r="317">
          <cell r="G317">
            <v>0</v>
          </cell>
          <cell r="J317">
            <v>0</v>
          </cell>
          <cell r="K317">
            <v>0</v>
          </cell>
          <cell r="L317">
            <v>0</v>
          </cell>
          <cell r="N317">
            <v>0</v>
          </cell>
          <cell r="O317">
            <v>0</v>
          </cell>
          <cell r="P317">
            <v>0</v>
          </cell>
          <cell r="T317">
            <v>0</v>
          </cell>
          <cell r="AA317">
            <v>309</v>
          </cell>
        </row>
        <row r="318">
          <cell r="G318">
            <v>0</v>
          </cell>
          <cell r="J318">
            <v>0</v>
          </cell>
          <cell r="K318">
            <v>0</v>
          </cell>
          <cell r="L318">
            <v>0</v>
          </cell>
          <cell r="N318">
            <v>0</v>
          </cell>
          <cell r="O318">
            <v>0</v>
          </cell>
          <cell r="P318">
            <v>0</v>
          </cell>
          <cell r="T318">
            <v>0</v>
          </cell>
          <cell r="AA318">
            <v>310</v>
          </cell>
        </row>
        <row r="319">
          <cell r="G319">
            <v>0</v>
          </cell>
          <cell r="J319">
            <v>0</v>
          </cell>
          <cell r="K319">
            <v>0</v>
          </cell>
          <cell r="L319">
            <v>0</v>
          </cell>
          <cell r="N319">
            <v>0</v>
          </cell>
          <cell r="O319">
            <v>0</v>
          </cell>
          <cell r="P319">
            <v>0</v>
          </cell>
          <cell r="T319">
            <v>0</v>
          </cell>
          <cell r="AA319">
            <v>311</v>
          </cell>
        </row>
        <row r="320">
          <cell r="G320">
            <v>0</v>
          </cell>
          <cell r="J320">
            <v>0</v>
          </cell>
          <cell r="K320">
            <v>0</v>
          </cell>
          <cell r="L320">
            <v>0</v>
          </cell>
          <cell r="N320">
            <v>0</v>
          </cell>
          <cell r="O320">
            <v>0</v>
          </cell>
          <cell r="P320">
            <v>0</v>
          </cell>
          <cell r="T320">
            <v>0</v>
          </cell>
          <cell r="AA320">
            <v>312</v>
          </cell>
        </row>
        <row r="321">
          <cell r="G321">
            <v>0</v>
          </cell>
          <cell r="J321">
            <v>0</v>
          </cell>
          <cell r="K321">
            <v>0</v>
          </cell>
          <cell r="L321">
            <v>0</v>
          </cell>
          <cell r="N321">
            <v>0</v>
          </cell>
          <cell r="O321">
            <v>0</v>
          </cell>
          <cell r="P321">
            <v>0</v>
          </cell>
          <cell r="T321">
            <v>0</v>
          </cell>
          <cell r="AA321">
            <v>313</v>
          </cell>
        </row>
        <row r="322">
          <cell r="G322">
            <v>0</v>
          </cell>
          <cell r="J322">
            <v>0</v>
          </cell>
          <cell r="K322">
            <v>0</v>
          </cell>
          <cell r="L322">
            <v>0</v>
          </cell>
          <cell r="N322">
            <v>0</v>
          </cell>
          <cell r="O322">
            <v>0</v>
          </cell>
          <cell r="P322">
            <v>0</v>
          </cell>
          <cell r="T322">
            <v>0</v>
          </cell>
          <cell r="AA322">
            <v>314</v>
          </cell>
        </row>
        <row r="323">
          <cell r="G323">
            <v>0</v>
          </cell>
          <cell r="J323">
            <v>0</v>
          </cell>
          <cell r="K323">
            <v>0</v>
          </cell>
          <cell r="L323">
            <v>0</v>
          </cell>
          <cell r="N323">
            <v>0</v>
          </cell>
          <cell r="O323">
            <v>0</v>
          </cell>
          <cell r="P323">
            <v>0</v>
          </cell>
          <cell r="T323">
            <v>0</v>
          </cell>
          <cell r="AA323">
            <v>315</v>
          </cell>
        </row>
        <row r="324">
          <cell r="G324">
            <v>0</v>
          </cell>
          <cell r="J324">
            <v>0</v>
          </cell>
          <cell r="K324">
            <v>0</v>
          </cell>
          <cell r="L324">
            <v>0</v>
          </cell>
          <cell r="N324">
            <v>0</v>
          </cell>
          <cell r="O324">
            <v>0</v>
          </cell>
          <cell r="P324">
            <v>0</v>
          </cell>
          <cell r="T324">
            <v>0</v>
          </cell>
          <cell r="AA324">
            <v>316</v>
          </cell>
        </row>
        <row r="325">
          <cell r="G325">
            <v>0</v>
          </cell>
          <cell r="J325">
            <v>0</v>
          </cell>
          <cell r="K325">
            <v>0</v>
          </cell>
          <cell r="L325">
            <v>0</v>
          </cell>
          <cell r="N325">
            <v>0</v>
          </cell>
          <cell r="O325">
            <v>0</v>
          </cell>
          <cell r="P325">
            <v>0</v>
          </cell>
          <cell r="T325">
            <v>0</v>
          </cell>
          <cell r="AA325">
            <v>317</v>
          </cell>
        </row>
        <row r="326">
          <cell r="G326">
            <v>0</v>
          </cell>
          <cell r="J326">
            <v>0</v>
          </cell>
          <cell r="K326">
            <v>0</v>
          </cell>
          <cell r="L326">
            <v>0</v>
          </cell>
          <cell r="N326">
            <v>0</v>
          </cell>
          <cell r="O326">
            <v>0</v>
          </cell>
          <cell r="P326">
            <v>0</v>
          </cell>
          <cell r="T326">
            <v>0</v>
          </cell>
          <cell r="AA326">
            <v>318</v>
          </cell>
        </row>
        <row r="327">
          <cell r="G327">
            <v>0</v>
          </cell>
          <cell r="J327">
            <v>0</v>
          </cell>
          <cell r="K327">
            <v>0</v>
          </cell>
          <cell r="L327">
            <v>0</v>
          </cell>
          <cell r="N327">
            <v>0</v>
          </cell>
          <cell r="O327">
            <v>0</v>
          </cell>
          <cell r="P327">
            <v>0</v>
          </cell>
          <cell r="T327">
            <v>0</v>
          </cell>
          <cell r="AA327">
            <v>319</v>
          </cell>
        </row>
        <row r="328">
          <cell r="G328" t="str">
            <v>8112P</v>
          </cell>
          <cell r="H328">
            <v>1200</v>
          </cell>
          <cell r="J328">
            <v>0</v>
          </cell>
          <cell r="K328">
            <v>0</v>
          </cell>
          <cell r="L328">
            <v>0</v>
          </cell>
          <cell r="N328">
            <v>0</v>
          </cell>
          <cell r="O328">
            <v>0</v>
          </cell>
          <cell r="P328">
            <v>0</v>
          </cell>
          <cell r="S328">
            <v>0</v>
          </cell>
          <cell r="T328">
            <v>0</v>
          </cell>
          <cell r="AA328">
            <v>320</v>
          </cell>
        </row>
        <row r="329">
          <cell r="G329" t="str">
            <v>Round</v>
          </cell>
          <cell r="H329">
            <v>0</v>
          </cell>
          <cell r="J329">
            <v>0</v>
          </cell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P329">
            <v>0</v>
          </cell>
          <cell r="S329">
            <v>0</v>
          </cell>
          <cell r="T329">
            <v>0</v>
          </cell>
          <cell r="AA329">
            <v>321</v>
          </cell>
        </row>
        <row r="330">
          <cell r="G330" t="str">
            <v>Total Anchors/Pads/Storage</v>
          </cell>
          <cell r="H330">
            <v>32246</v>
          </cell>
          <cell r="J330">
            <v>111550.42</v>
          </cell>
          <cell r="K330">
            <v>107743</v>
          </cell>
          <cell r="L330">
            <v>3807.4199999999983</v>
          </cell>
          <cell r="N330">
            <v>659477.52</v>
          </cell>
          <cell r="O330">
            <v>657229</v>
          </cell>
          <cell r="P330">
            <v>2248.5199999999895</v>
          </cell>
          <cell r="S330">
            <v>1303687</v>
          </cell>
          <cell r="T330">
            <v>-3780</v>
          </cell>
          <cell r="AA330">
            <v>322</v>
          </cell>
        </row>
        <row r="331">
          <cell r="AA331">
            <v>323</v>
          </cell>
        </row>
        <row r="332">
          <cell r="G332" t="str">
            <v>Total</v>
          </cell>
          <cell r="H332">
            <v>129125.00099999999</v>
          </cell>
          <cell r="J332">
            <v>395837.05</v>
          </cell>
          <cell r="K332">
            <v>402393.81</v>
          </cell>
          <cell r="L332">
            <v>-6556.760000000002</v>
          </cell>
          <cell r="N332">
            <v>2326097.75</v>
          </cell>
          <cell r="O332">
            <v>2380541.84</v>
          </cell>
          <cell r="P332">
            <v>-54444.090000000004</v>
          </cell>
          <cell r="S332">
            <v>4889628.6400000006</v>
          </cell>
          <cell r="T332">
            <v>-145430.81</v>
          </cell>
          <cell r="AA332">
            <v>324</v>
          </cell>
        </row>
        <row r="333">
          <cell r="AA333">
            <v>325</v>
          </cell>
        </row>
        <row r="334">
          <cell r="AA334">
            <v>326</v>
          </cell>
        </row>
        <row r="335">
          <cell r="H335" t="str">
            <v>Inline Occupancy:</v>
          </cell>
          <cell r="J335">
            <v>0.93661571940865773</v>
          </cell>
          <cell r="K335">
            <v>0.94204825361489863</v>
          </cell>
          <cell r="L335">
            <v>-5.4325342062409021E-3</v>
          </cell>
          <cell r="N335">
            <v>0.92961662976696913</v>
          </cell>
          <cell r="O335">
            <v>0.93122674664275629</v>
          </cell>
          <cell r="P335">
            <v>-1.6101168757871598E-3</v>
          </cell>
          <cell r="S335">
            <v>0.95548152270626996</v>
          </cell>
          <cell r="AA335">
            <v>327</v>
          </cell>
        </row>
        <row r="336">
          <cell r="H336" t="str">
            <v>Inline Rate:</v>
          </cell>
          <cell r="J336">
            <v>37.212318602419565</v>
          </cell>
          <cell r="K336">
            <v>38.536482506618825</v>
          </cell>
          <cell r="L336">
            <v>-3.4361306950415844E-2</v>
          </cell>
          <cell r="N336">
            <v>37.212318602419565</v>
          </cell>
          <cell r="O336">
            <v>38.536482506618825</v>
          </cell>
          <cell r="P336">
            <v>-3.4361306950415844E-2</v>
          </cell>
          <cell r="S336">
            <v>38.535434354474958</v>
          </cell>
          <cell r="AA336">
            <v>328</v>
          </cell>
        </row>
        <row r="337">
          <cell r="H337" t="str">
            <v>Overall Occupancy:</v>
          </cell>
          <cell r="J337">
            <v>0.95969804453049379</v>
          </cell>
          <cell r="K337">
            <v>0.95632282118999534</v>
          </cell>
          <cell r="L337">
            <v>3.3752233404984455E-3</v>
          </cell>
          <cell r="N337">
            <v>0.95969804453049379</v>
          </cell>
          <cell r="O337">
            <v>0.94816684791051731</v>
          </cell>
          <cell r="P337">
            <v>1.153119661997648E-2</v>
          </cell>
          <cell r="S337">
            <v>0.96644723214748074</v>
          </cell>
          <cell r="AA337">
            <v>329</v>
          </cell>
        </row>
        <row r="338">
          <cell r="AA338">
            <v>330</v>
          </cell>
        </row>
        <row r="339">
          <cell r="AA339">
            <v>331</v>
          </cell>
        </row>
        <row r="340">
          <cell r="AA340">
            <v>332</v>
          </cell>
        </row>
        <row r="341">
          <cell r="AA341">
            <v>333</v>
          </cell>
        </row>
        <row r="342">
          <cell r="AA342">
            <v>334</v>
          </cell>
        </row>
        <row r="343">
          <cell r="AA343">
            <v>335</v>
          </cell>
        </row>
        <row r="344">
          <cell r="AA344">
            <v>336</v>
          </cell>
        </row>
        <row r="345">
          <cell r="AA345">
            <v>337</v>
          </cell>
        </row>
        <row r="346">
          <cell r="AA346">
            <v>338</v>
          </cell>
        </row>
        <row r="347">
          <cell r="AA347">
            <v>339</v>
          </cell>
        </row>
        <row r="348">
          <cell r="AA348">
            <v>340</v>
          </cell>
        </row>
        <row r="349">
          <cell r="AA349">
            <v>341</v>
          </cell>
        </row>
        <row r="350">
          <cell r="AA350">
            <v>342</v>
          </cell>
        </row>
        <row r="351">
          <cell r="AA351">
            <v>343</v>
          </cell>
        </row>
        <row r="352">
          <cell r="AA352">
            <v>344</v>
          </cell>
        </row>
        <row r="353">
          <cell r="AA353">
            <v>345</v>
          </cell>
        </row>
        <row r="354">
          <cell r="AA354">
            <v>346</v>
          </cell>
        </row>
        <row r="355">
          <cell r="AA355">
            <v>347</v>
          </cell>
        </row>
        <row r="356">
          <cell r="AA356">
            <v>348</v>
          </cell>
        </row>
        <row r="357">
          <cell r="AA357">
            <v>349</v>
          </cell>
        </row>
        <row r="358">
          <cell r="AA358">
            <v>350</v>
          </cell>
        </row>
        <row r="359">
          <cell r="AA359">
            <v>351</v>
          </cell>
        </row>
        <row r="360">
          <cell r="AA360">
            <v>352</v>
          </cell>
        </row>
        <row r="361">
          <cell r="AA361">
            <v>353</v>
          </cell>
        </row>
        <row r="362">
          <cell r="AA362">
            <v>354</v>
          </cell>
        </row>
        <row r="363">
          <cell r="AA363">
            <v>355</v>
          </cell>
        </row>
        <row r="364">
          <cell r="AA364">
            <v>356</v>
          </cell>
        </row>
        <row r="365">
          <cell r="AA365">
            <v>357</v>
          </cell>
        </row>
        <row r="366">
          <cell r="AA366">
            <v>358</v>
          </cell>
        </row>
        <row r="367">
          <cell r="AA367">
            <v>359</v>
          </cell>
        </row>
        <row r="368">
          <cell r="AA368">
            <v>360</v>
          </cell>
        </row>
        <row r="369">
          <cell r="AA369">
            <v>361</v>
          </cell>
        </row>
        <row r="370">
          <cell r="AA370">
            <v>362</v>
          </cell>
        </row>
        <row r="371">
          <cell r="AA371">
            <v>363</v>
          </cell>
        </row>
        <row r="372">
          <cell r="AA372">
            <v>364</v>
          </cell>
        </row>
        <row r="373">
          <cell r="AA373">
            <v>365</v>
          </cell>
        </row>
        <row r="374">
          <cell r="AA374">
            <v>366</v>
          </cell>
        </row>
        <row r="375">
          <cell r="AA375">
            <v>367</v>
          </cell>
        </row>
        <row r="376">
          <cell r="AA376">
            <v>368</v>
          </cell>
        </row>
        <row r="377">
          <cell r="AA377">
            <v>369</v>
          </cell>
        </row>
        <row r="378">
          <cell r="AA378">
            <v>370</v>
          </cell>
        </row>
        <row r="379">
          <cell r="AA379">
            <v>371</v>
          </cell>
        </row>
        <row r="380">
          <cell r="AA380">
            <v>372</v>
          </cell>
        </row>
        <row r="381">
          <cell r="AA381">
            <v>373</v>
          </cell>
        </row>
        <row r="382">
          <cell r="AA382">
            <v>374</v>
          </cell>
        </row>
        <row r="383">
          <cell r="AA383">
            <v>375</v>
          </cell>
        </row>
        <row r="384">
          <cell r="AA384">
            <v>376</v>
          </cell>
        </row>
        <row r="385">
          <cell r="AA385">
            <v>377</v>
          </cell>
        </row>
        <row r="386">
          <cell r="AA386">
            <v>378</v>
          </cell>
        </row>
        <row r="387">
          <cell r="AA387">
            <v>379</v>
          </cell>
        </row>
        <row r="388">
          <cell r="AA388">
            <v>380</v>
          </cell>
        </row>
        <row r="389">
          <cell r="AA389">
            <v>381</v>
          </cell>
        </row>
        <row r="390">
          <cell r="AA390">
            <v>382</v>
          </cell>
        </row>
        <row r="391">
          <cell r="AA391">
            <v>383</v>
          </cell>
        </row>
        <row r="392">
          <cell r="AA392">
            <v>384</v>
          </cell>
        </row>
        <row r="393">
          <cell r="AA393">
            <v>385</v>
          </cell>
        </row>
        <row r="394">
          <cell r="AA394">
            <v>386</v>
          </cell>
        </row>
        <row r="395">
          <cell r="AA395">
            <v>387</v>
          </cell>
        </row>
        <row r="396">
          <cell r="AA396">
            <v>388</v>
          </cell>
        </row>
        <row r="397">
          <cell r="AA397">
            <v>389</v>
          </cell>
        </row>
        <row r="398">
          <cell r="AA398">
            <v>390</v>
          </cell>
        </row>
        <row r="399">
          <cell r="AA399">
            <v>391</v>
          </cell>
        </row>
        <row r="400">
          <cell r="AA400">
            <v>392</v>
          </cell>
        </row>
        <row r="401">
          <cell r="AA401">
            <v>393</v>
          </cell>
        </row>
        <row r="402">
          <cell r="AA402">
            <v>394</v>
          </cell>
        </row>
        <row r="403">
          <cell r="AA403">
            <v>395</v>
          </cell>
        </row>
        <row r="404">
          <cell r="AA404">
            <v>396</v>
          </cell>
        </row>
        <row r="405">
          <cell r="AA405">
            <v>397</v>
          </cell>
        </row>
        <row r="406">
          <cell r="AA406">
            <v>398</v>
          </cell>
        </row>
        <row r="407">
          <cell r="AA407">
            <v>399</v>
          </cell>
        </row>
        <row r="408">
          <cell r="AA408">
            <v>400</v>
          </cell>
        </row>
        <row r="409">
          <cell r="AA409">
            <v>401</v>
          </cell>
        </row>
        <row r="410">
          <cell r="AA410">
            <v>402</v>
          </cell>
        </row>
        <row r="411">
          <cell r="AA411">
            <v>403</v>
          </cell>
        </row>
        <row r="412">
          <cell r="AA412">
            <v>404</v>
          </cell>
        </row>
        <row r="413">
          <cell r="AA413">
            <v>405</v>
          </cell>
        </row>
        <row r="414">
          <cell r="AA414">
            <v>406</v>
          </cell>
        </row>
        <row r="415">
          <cell r="AA415">
            <v>407</v>
          </cell>
        </row>
        <row r="416">
          <cell r="AA416">
            <v>408</v>
          </cell>
        </row>
        <row r="417">
          <cell r="AA417">
            <v>409</v>
          </cell>
        </row>
        <row r="418">
          <cell r="AA418">
            <v>410</v>
          </cell>
        </row>
        <row r="419">
          <cell r="AA419">
            <v>411</v>
          </cell>
        </row>
        <row r="420">
          <cell r="AA420">
            <v>412</v>
          </cell>
        </row>
        <row r="421">
          <cell r="AA421">
            <v>413</v>
          </cell>
        </row>
        <row r="422">
          <cell r="AA422">
            <v>414</v>
          </cell>
        </row>
        <row r="423">
          <cell r="AA423">
            <v>415</v>
          </cell>
        </row>
        <row r="424">
          <cell r="AA424">
            <v>416</v>
          </cell>
        </row>
        <row r="425">
          <cell r="AA425">
            <v>417</v>
          </cell>
        </row>
        <row r="426">
          <cell r="AA426">
            <v>418</v>
          </cell>
        </row>
        <row r="427">
          <cell r="AA427">
            <v>419</v>
          </cell>
        </row>
        <row r="428">
          <cell r="AA428">
            <v>420</v>
          </cell>
        </row>
        <row r="429">
          <cell r="AA429">
            <v>421</v>
          </cell>
        </row>
        <row r="430">
          <cell r="AA430">
            <v>422</v>
          </cell>
        </row>
        <row r="431">
          <cell r="AA431">
            <v>423</v>
          </cell>
        </row>
        <row r="432">
          <cell r="AA432">
            <v>424</v>
          </cell>
        </row>
        <row r="433">
          <cell r="AA433">
            <v>425</v>
          </cell>
        </row>
        <row r="434">
          <cell r="AA434">
            <v>426</v>
          </cell>
        </row>
        <row r="435">
          <cell r="AA435">
            <v>427</v>
          </cell>
        </row>
        <row r="436">
          <cell r="AA436">
            <v>428</v>
          </cell>
        </row>
        <row r="437">
          <cell r="AA437">
            <v>429</v>
          </cell>
        </row>
        <row r="438">
          <cell r="AA438">
            <v>430</v>
          </cell>
        </row>
        <row r="439">
          <cell r="AA439">
            <v>431</v>
          </cell>
        </row>
        <row r="440">
          <cell r="AA440">
            <v>432</v>
          </cell>
        </row>
        <row r="441">
          <cell r="AA441">
            <v>433</v>
          </cell>
        </row>
        <row r="442">
          <cell r="AA442">
            <v>434</v>
          </cell>
        </row>
        <row r="443">
          <cell r="AA443">
            <v>435</v>
          </cell>
        </row>
        <row r="444">
          <cell r="AA444">
            <v>436</v>
          </cell>
        </row>
        <row r="445">
          <cell r="AA445">
            <v>437</v>
          </cell>
        </row>
        <row r="446">
          <cell r="AA446">
            <v>438</v>
          </cell>
        </row>
        <row r="447">
          <cell r="AA447">
            <v>439</v>
          </cell>
        </row>
        <row r="448">
          <cell r="AA448">
            <v>440</v>
          </cell>
        </row>
        <row r="449">
          <cell r="AA449">
            <v>441</v>
          </cell>
        </row>
        <row r="450">
          <cell r="AA450">
            <v>442</v>
          </cell>
        </row>
        <row r="451">
          <cell r="AA451">
            <v>443</v>
          </cell>
        </row>
        <row r="452">
          <cell r="AA452">
            <v>444</v>
          </cell>
        </row>
        <row r="453">
          <cell r="AA453">
            <v>445</v>
          </cell>
        </row>
        <row r="454">
          <cell r="AA454">
            <v>446</v>
          </cell>
        </row>
        <row r="455">
          <cell r="AA455">
            <v>447</v>
          </cell>
        </row>
        <row r="456">
          <cell r="AA456">
            <v>448</v>
          </cell>
        </row>
        <row r="457">
          <cell r="AA457">
            <v>449</v>
          </cell>
        </row>
        <row r="458">
          <cell r="AA458">
            <v>450</v>
          </cell>
        </row>
        <row r="459">
          <cell r="AA459">
            <v>451</v>
          </cell>
        </row>
        <row r="460">
          <cell r="AA460">
            <v>452</v>
          </cell>
        </row>
        <row r="461">
          <cell r="AA461">
            <v>453</v>
          </cell>
        </row>
        <row r="462">
          <cell r="AA462">
            <v>454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bor View"/>
      <sheetName val="variance"/>
    </sheetNames>
    <sheetDataSet>
      <sheetData sheetId="0"/>
      <sheetData sheetId="1" refreshError="1">
        <row r="2">
          <cell r="A2" t="str">
            <v>6216041010</v>
          </cell>
          <cell r="B2">
            <v>62160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6216041040</v>
          </cell>
          <cell r="B3">
            <v>62160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6216041050</v>
          </cell>
          <cell r="B4">
            <v>62160</v>
          </cell>
          <cell r="C4">
            <v>41050</v>
          </cell>
          <cell r="D4" t="str">
            <v>Rental Income - Fixed</v>
          </cell>
          <cell r="E4">
            <v>-159871.72</v>
          </cell>
          <cell r="F4">
            <v>-156441.43</v>
          </cell>
          <cell r="G4">
            <v>-3430.29000000001</v>
          </cell>
          <cell r="H4">
            <v>-1881369.24</v>
          </cell>
          <cell r="I4">
            <v>-1881369.24</v>
          </cell>
          <cell r="J4">
            <v>-30578.829999999802</v>
          </cell>
        </row>
        <row r="5">
          <cell r="A5" t="str">
            <v>6216041074</v>
          </cell>
          <cell r="B5">
            <v>62160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-56053</v>
          </cell>
          <cell r="I5">
            <v>-56053</v>
          </cell>
          <cell r="J5">
            <v>4727.96</v>
          </cell>
        </row>
        <row r="6">
          <cell r="A6" t="str">
            <v>6216041082</v>
          </cell>
          <cell r="B6">
            <v>62160</v>
          </cell>
          <cell r="C6">
            <v>41082</v>
          </cell>
          <cell r="D6" t="str">
            <v>Rental Income - Operating Exp</v>
          </cell>
          <cell r="E6">
            <v>-19116.73</v>
          </cell>
          <cell r="F6">
            <v>-32714.09</v>
          </cell>
          <cell r="G6">
            <v>13597.36</v>
          </cell>
          <cell r="H6">
            <v>-392569.08</v>
          </cell>
          <cell r="I6">
            <v>-392569.08</v>
          </cell>
          <cell r="J6">
            <v>5978.75</v>
          </cell>
        </row>
        <row r="7">
          <cell r="A7" t="str">
            <v>6216044610</v>
          </cell>
          <cell r="B7">
            <v>62160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6216045071</v>
          </cell>
          <cell r="B8">
            <v>62160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6216045010</v>
          </cell>
          <cell r="B9">
            <v>62160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6216045046</v>
          </cell>
          <cell r="B10">
            <v>62160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6216045070</v>
          </cell>
          <cell r="B11">
            <v>62160</v>
          </cell>
          <cell r="C11">
            <v>45070</v>
          </cell>
          <cell r="D11" t="str">
            <v>Other Income</v>
          </cell>
          <cell r="E11">
            <v>0</v>
          </cell>
          <cell r="F11">
            <v>-120.6</v>
          </cell>
          <cell r="G11">
            <v>120.6</v>
          </cell>
          <cell r="H11">
            <v>-958</v>
          </cell>
          <cell r="I11">
            <v>-958</v>
          </cell>
          <cell r="J11">
            <v>92.25</v>
          </cell>
        </row>
        <row r="12">
          <cell r="A12" t="str">
            <v>6216041060</v>
          </cell>
          <cell r="B12">
            <v>62160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1941.67</v>
          </cell>
          <cell r="G12">
            <v>-1941.67</v>
          </cell>
          <cell r="H12">
            <v>23300</v>
          </cell>
          <cell r="I12">
            <v>23300</v>
          </cell>
          <cell r="J12">
            <v>27952</v>
          </cell>
        </row>
        <row r="13">
          <cell r="A13" t="str">
            <v>6216044870</v>
          </cell>
          <cell r="B13">
            <v>62160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6216052542</v>
          </cell>
          <cell r="B14">
            <v>62160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6216072710</v>
          </cell>
          <cell r="B15">
            <v>62160</v>
          </cell>
          <cell r="C15">
            <v>72710</v>
          </cell>
          <cell r="D15" t="str">
            <v>Utilities - Electricity</v>
          </cell>
          <cell r="E15">
            <v>483</v>
          </cell>
          <cell r="F15">
            <v>762.44</v>
          </cell>
          <cell r="G15">
            <v>-279.44</v>
          </cell>
          <cell r="H15">
            <v>10665.01</v>
          </cell>
          <cell r="I15">
            <v>10665.01</v>
          </cell>
          <cell r="J15">
            <v>-1125.8900000000001</v>
          </cell>
        </row>
        <row r="16">
          <cell r="A16" t="str">
            <v>6216072740</v>
          </cell>
          <cell r="B16">
            <v>62160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6216072770</v>
          </cell>
          <cell r="B17">
            <v>62160</v>
          </cell>
          <cell r="C17">
            <v>72770</v>
          </cell>
          <cell r="D17" t="str">
            <v>Utilities - Water</v>
          </cell>
          <cell r="E17">
            <v>500</v>
          </cell>
          <cell r="F17">
            <v>610.25</v>
          </cell>
          <cell r="G17">
            <v>-110.25</v>
          </cell>
          <cell r="H17">
            <v>2947.3</v>
          </cell>
          <cell r="I17">
            <v>2947.3</v>
          </cell>
          <cell r="J17">
            <v>-52.929999999999801</v>
          </cell>
        </row>
        <row r="18">
          <cell r="A18" t="str">
            <v>6216076000</v>
          </cell>
          <cell r="B18">
            <v>62160</v>
          </cell>
          <cell r="C18">
            <v>76000</v>
          </cell>
          <cell r="D18" t="str">
            <v>Bldg Maintenance &amp; Repair</v>
          </cell>
          <cell r="E18">
            <v>847.99</v>
          </cell>
          <cell r="F18">
            <v>2922.73</v>
          </cell>
          <cell r="G18">
            <v>-2074.7399999999998</v>
          </cell>
          <cell r="H18">
            <v>18893.93</v>
          </cell>
          <cell r="I18">
            <v>18893.93</v>
          </cell>
          <cell r="J18">
            <v>-994.26</v>
          </cell>
        </row>
        <row r="19">
          <cell r="A19" t="str">
            <v>6216076020</v>
          </cell>
          <cell r="B19">
            <v>62160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6216076034</v>
          </cell>
          <cell r="B20">
            <v>62160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6216076050</v>
          </cell>
          <cell r="B21">
            <v>62160</v>
          </cell>
          <cell r="C21">
            <v>76050</v>
          </cell>
          <cell r="D21" t="str">
            <v>Cleaning Expense</v>
          </cell>
          <cell r="E21">
            <v>2847.94</v>
          </cell>
          <cell r="F21">
            <v>3394.02</v>
          </cell>
          <cell r="G21">
            <v>-546.08000000000004</v>
          </cell>
          <cell r="H21">
            <v>37474.94</v>
          </cell>
          <cell r="I21">
            <v>37474.94</v>
          </cell>
          <cell r="J21">
            <v>-1821.59</v>
          </cell>
        </row>
        <row r="22">
          <cell r="A22" t="str">
            <v>6216076056</v>
          </cell>
          <cell r="B22">
            <v>62160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6216076070</v>
          </cell>
          <cell r="B23">
            <v>62160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6216076091</v>
          </cell>
          <cell r="B24">
            <v>62160</v>
          </cell>
          <cell r="C24">
            <v>76091</v>
          </cell>
          <cell r="D24" t="str">
            <v>Parking Maintenance</v>
          </cell>
          <cell r="E24">
            <v>1910</v>
          </cell>
          <cell r="F24">
            <v>2406.75</v>
          </cell>
          <cell r="G24">
            <v>-496.75</v>
          </cell>
          <cell r="H24">
            <v>34403.480000000003</v>
          </cell>
          <cell r="I24">
            <v>34403.480000000003</v>
          </cell>
          <cell r="J24">
            <v>-1703.54</v>
          </cell>
        </row>
        <row r="25">
          <cell r="A25" t="str">
            <v>6216077000</v>
          </cell>
          <cell r="B25">
            <v>62160</v>
          </cell>
          <cell r="C25">
            <v>77000</v>
          </cell>
          <cell r="D25" t="str">
            <v>Grounds Maintenance</v>
          </cell>
          <cell r="E25">
            <v>309.58</v>
          </cell>
          <cell r="F25">
            <v>18348.990000000002</v>
          </cell>
          <cell r="G25">
            <v>-18039.41</v>
          </cell>
          <cell r="H25">
            <v>42805.83</v>
          </cell>
          <cell r="I25">
            <v>42805.83</v>
          </cell>
          <cell r="J25">
            <v>-2730.84</v>
          </cell>
        </row>
        <row r="26">
          <cell r="A26" t="str">
            <v>6216077053</v>
          </cell>
          <cell r="B26">
            <v>62160</v>
          </cell>
          <cell r="C26">
            <v>77053</v>
          </cell>
          <cell r="D26" t="str">
            <v>Landscaping</v>
          </cell>
          <cell r="E26">
            <v>1150</v>
          </cell>
          <cell r="F26">
            <v>1394.17</v>
          </cell>
          <cell r="G26">
            <v>-244.17</v>
          </cell>
          <cell r="H26">
            <v>35884.699999999997</v>
          </cell>
          <cell r="I26">
            <v>35884.699999999997</v>
          </cell>
          <cell r="J26">
            <v>7106.42</v>
          </cell>
        </row>
        <row r="27">
          <cell r="A27" t="str">
            <v>6216078020</v>
          </cell>
          <cell r="B27">
            <v>62160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1388.92</v>
          </cell>
          <cell r="G27">
            <v>-1388.92</v>
          </cell>
          <cell r="H27">
            <v>16667</v>
          </cell>
          <cell r="I27">
            <v>16667</v>
          </cell>
          <cell r="J27">
            <v>0</v>
          </cell>
        </row>
        <row r="28">
          <cell r="A28" t="str">
            <v>6216084264</v>
          </cell>
          <cell r="B28">
            <v>62160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6216085555</v>
          </cell>
          <cell r="B29">
            <v>62160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6216085584</v>
          </cell>
          <cell r="B30">
            <v>62160</v>
          </cell>
          <cell r="C30">
            <v>85584</v>
          </cell>
          <cell r="D30" t="str">
            <v>Bldg Admin-Office Costs</v>
          </cell>
          <cell r="E30">
            <v>441.78</v>
          </cell>
          <cell r="F30">
            <v>686.92</v>
          </cell>
          <cell r="G30">
            <v>-245.14</v>
          </cell>
          <cell r="H30">
            <v>8243</v>
          </cell>
          <cell r="I30">
            <v>8243</v>
          </cell>
          <cell r="J30">
            <v>-1879.65</v>
          </cell>
        </row>
        <row r="31">
          <cell r="A31" t="str">
            <v>6216085582</v>
          </cell>
          <cell r="B31">
            <v>62160</v>
          </cell>
          <cell r="C31">
            <v>85582</v>
          </cell>
          <cell r="D31" t="str">
            <v>Bldg Admin-Salaries</v>
          </cell>
          <cell r="E31">
            <v>3976.06</v>
          </cell>
          <cell r="F31">
            <v>3975.92</v>
          </cell>
          <cell r="G31">
            <v>0.139999999999873</v>
          </cell>
          <cell r="H31">
            <v>50883.199999999997</v>
          </cell>
          <cell r="I31">
            <v>50883.199999999997</v>
          </cell>
          <cell r="J31">
            <v>4875.3</v>
          </cell>
        </row>
        <row r="32">
          <cell r="A32" t="str">
            <v>6216086564</v>
          </cell>
          <cell r="B32">
            <v>62160</v>
          </cell>
          <cell r="C32">
            <v>86564</v>
          </cell>
          <cell r="D32" t="str">
            <v>Insurance</v>
          </cell>
          <cell r="E32">
            <v>2283</v>
          </cell>
          <cell r="F32">
            <v>2283.75</v>
          </cell>
          <cell r="G32">
            <v>-0.75</v>
          </cell>
          <cell r="H32">
            <v>27405</v>
          </cell>
          <cell r="I32">
            <v>27405</v>
          </cell>
          <cell r="J32">
            <v>7521</v>
          </cell>
        </row>
        <row r="33">
          <cell r="A33" t="str">
            <v>6216088846</v>
          </cell>
          <cell r="B33">
            <v>62160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6216088890</v>
          </cell>
          <cell r="B34">
            <v>62160</v>
          </cell>
          <cell r="C34">
            <v>88890</v>
          </cell>
          <cell r="D34" t="str">
            <v>Security/Safety</v>
          </cell>
          <cell r="E34">
            <v>0</v>
          </cell>
          <cell r="F34">
            <v>828.08</v>
          </cell>
          <cell r="G34">
            <v>-828.08</v>
          </cell>
          <cell r="H34">
            <v>12936.92</v>
          </cell>
          <cell r="I34">
            <v>12936.92</v>
          </cell>
          <cell r="J34">
            <v>4976</v>
          </cell>
        </row>
        <row r="35">
          <cell r="A35" t="str">
            <v>6216089775</v>
          </cell>
          <cell r="B35">
            <v>62160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6216089729</v>
          </cell>
          <cell r="B36">
            <v>62160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6216089786</v>
          </cell>
          <cell r="B37">
            <v>62160</v>
          </cell>
          <cell r="C37">
            <v>89786</v>
          </cell>
          <cell r="D37" t="str">
            <v>Property Tax Exp</v>
          </cell>
          <cell r="E37">
            <v>7456</v>
          </cell>
          <cell r="F37">
            <v>7456</v>
          </cell>
          <cell r="G37">
            <v>0</v>
          </cell>
          <cell r="H37">
            <v>89472</v>
          </cell>
          <cell r="I37">
            <v>89472</v>
          </cell>
          <cell r="J37">
            <v>-2074</v>
          </cell>
        </row>
        <row r="38">
          <cell r="A38" t="str">
            <v>6216071040</v>
          </cell>
          <cell r="B38">
            <v>62160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6216072701</v>
          </cell>
          <cell r="B39">
            <v>62160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530.36</v>
          </cell>
          <cell r="I39">
            <v>530.36</v>
          </cell>
          <cell r="J39">
            <v>-514.91</v>
          </cell>
        </row>
        <row r="40">
          <cell r="A40" t="str">
            <v>6216072855</v>
          </cell>
          <cell r="B40">
            <v>62160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6216072870</v>
          </cell>
          <cell r="B41">
            <v>62160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6216076010</v>
          </cell>
          <cell r="B42">
            <v>62160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1000</v>
          </cell>
        </row>
        <row r="43">
          <cell r="A43" t="str">
            <v>6216076040</v>
          </cell>
          <cell r="B43">
            <v>62160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6216076051</v>
          </cell>
          <cell r="B44">
            <v>62160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6216076054</v>
          </cell>
          <cell r="B45">
            <v>62160</v>
          </cell>
          <cell r="C45">
            <v>76054</v>
          </cell>
          <cell r="D45" t="str">
            <v>Bldg Maintenance &amp; Repair</v>
          </cell>
          <cell r="E45">
            <v>29.25</v>
          </cell>
          <cell r="F45">
            <v>0</v>
          </cell>
          <cell r="G45">
            <v>29.25</v>
          </cell>
          <cell r="H45">
            <v>309.08999999999997</v>
          </cell>
          <cell r="I45">
            <v>309.08999999999997</v>
          </cell>
          <cell r="J45">
            <v>-300.08</v>
          </cell>
        </row>
        <row r="46">
          <cell r="A46" t="str">
            <v>6216076060</v>
          </cell>
          <cell r="B46">
            <v>62160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6216076071</v>
          </cell>
          <cell r="B47">
            <v>62160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87540</v>
          </cell>
          <cell r="I47">
            <v>87540</v>
          </cell>
          <cell r="J47">
            <v>-9600</v>
          </cell>
        </row>
        <row r="48">
          <cell r="A48" t="str">
            <v>6216076090</v>
          </cell>
          <cell r="B48">
            <v>62160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6216077001</v>
          </cell>
          <cell r="B49">
            <v>62160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6216077022</v>
          </cell>
          <cell r="B50">
            <v>62160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6216084200</v>
          </cell>
          <cell r="B51">
            <v>62160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6216084240</v>
          </cell>
          <cell r="B52">
            <v>62160</v>
          </cell>
          <cell r="C52">
            <v>84240</v>
          </cell>
          <cell r="D52" t="str">
            <v>Marketing Leasing</v>
          </cell>
          <cell r="E52">
            <v>13.32</v>
          </cell>
          <cell r="F52">
            <v>163.83000000000001</v>
          </cell>
          <cell r="G52">
            <v>-150.51</v>
          </cell>
          <cell r="H52">
            <v>1966</v>
          </cell>
          <cell r="I52">
            <v>1966</v>
          </cell>
          <cell r="J52">
            <v>-244.68</v>
          </cell>
        </row>
        <row r="53">
          <cell r="A53" t="str">
            <v>6216084242</v>
          </cell>
          <cell r="B53">
            <v>62160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6216084243</v>
          </cell>
          <cell r="B54">
            <v>62160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6216084244</v>
          </cell>
          <cell r="B55">
            <v>62160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6216084265</v>
          </cell>
          <cell r="B56">
            <v>62160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6216088037</v>
          </cell>
          <cell r="B57">
            <v>62160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6216085016</v>
          </cell>
          <cell r="B58">
            <v>62160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0</v>
          </cell>
          <cell r="G58">
            <v>0</v>
          </cell>
          <cell r="H58">
            <v>2453.4699999999998</v>
          </cell>
          <cell r="I58">
            <v>2453.4699999999998</v>
          </cell>
          <cell r="J58">
            <v>-382</v>
          </cell>
        </row>
        <row r="59">
          <cell r="A59" t="str">
            <v>6216085022</v>
          </cell>
          <cell r="B59">
            <v>62160</v>
          </cell>
          <cell r="C59">
            <v>85022</v>
          </cell>
          <cell r="D59" t="str">
            <v>Prof Svc-Audit/Acctng</v>
          </cell>
          <cell r="E59">
            <v>1022.58</v>
          </cell>
          <cell r="F59">
            <v>0</v>
          </cell>
          <cell r="G59">
            <v>1022.58</v>
          </cell>
          <cell r="H59">
            <v>2133.4899999999998</v>
          </cell>
          <cell r="I59">
            <v>2133.4899999999998</v>
          </cell>
          <cell r="J59">
            <v>-199.35</v>
          </cell>
        </row>
        <row r="60">
          <cell r="A60" t="str">
            <v>6216085065</v>
          </cell>
          <cell r="B60">
            <v>62160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6216085500</v>
          </cell>
          <cell r="B61">
            <v>62160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345</v>
          </cell>
          <cell r="I61">
            <v>345</v>
          </cell>
          <cell r="J61">
            <v>465</v>
          </cell>
        </row>
        <row r="62">
          <cell r="A62" t="str">
            <v>6216085566</v>
          </cell>
          <cell r="B62">
            <v>62160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0.23999999999796301</v>
          </cell>
        </row>
        <row r="63">
          <cell r="A63" t="str">
            <v>6216085581</v>
          </cell>
          <cell r="B63">
            <v>62160</v>
          </cell>
          <cell r="C63">
            <v>85581</v>
          </cell>
          <cell r="D63" t="str">
            <v>Bldg Admin- Salaries</v>
          </cell>
          <cell r="E63">
            <v>3425.48</v>
          </cell>
          <cell r="F63">
            <v>3426</v>
          </cell>
          <cell r="G63">
            <v>3426</v>
          </cell>
          <cell r="H63">
            <v>42947</v>
          </cell>
          <cell r="I63">
            <v>42947</v>
          </cell>
          <cell r="J63">
            <v>0</v>
          </cell>
        </row>
        <row r="64">
          <cell r="A64" t="str">
            <v>6216085583</v>
          </cell>
          <cell r="B64">
            <v>62160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6216085530</v>
          </cell>
          <cell r="B65">
            <v>62160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6216086012</v>
          </cell>
          <cell r="B66">
            <v>62160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6216086037</v>
          </cell>
          <cell r="B67">
            <v>62160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6216083050</v>
          </cell>
          <cell r="B68">
            <v>62160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6216086510</v>
          </cell>
          <cell r="B69">
            <v>62160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6216086537</v>
          </cell>
          <cell r="B70">
            <v>62160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6216086566</v>
          </cell>
          <cell r="B71">
            <v>62160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6216086955</v>
          </cell>
          <cell r="B72">
            <v>62160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6216086985</v>
          </cell>
          <cell r="B73">
            <v>62160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6216086880</v>
          </cell>
          <cell r="B74">
            <v>62160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6216088710</v>
          </cell>
          <cell r="B75">
            <v>62160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0.08</v>
          </cell>
          <cell r="G75">
            <v>-0.08</v>
          </cell>
          <cell r="H75">
            <v>23308.639999999999</v>
          </cell>
          <cell r="I75">
            <v>23308.639999999999</v>
          </cell>
          <cell r="J75">
            <v>39437.72</v>
          </cell>
        </row>
        <row r="76">
          <cell r="A76" t="str">
            <v>6216088711</v>
          </cell>
          <cell r="B76">
            <v>62160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6216088785</v>
          </cell>
          <cell r="B77">
            <v>62160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6216088847</v>
          </cell>
          <cell r="B78">
            <v>62160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6216088866</v>
          </cell>
          <cell r="B79">
            <v>62160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6216088870</v>
          </cell>
          <cell r="B80">
            <v>62160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6216088889</v>
          </cell>
          <cell r="B81">
            <v>62160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6216089776</v>
          </cell>
          <cell r="B82">
            <v>62160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6216089787</v>
          </cell>
          <cell r="B83">
            <v>62160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6216089510</v>
          </cell>
          <cell r="B84">
            <v>62160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190266</v>
          </cell>
        </row>
        <row r="85">
          <cell r="A85" t="str">
            <v>6216089511</v>
          </cell>
          <cell r="B85">
            <v>62160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6216089512</v>
          </cell>
          <cell r="B86">
            <v>62160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6216089528</v>
          </cell>
          <cell r="B87">
            <v>62160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6216089529</v>
          </cell>
          <cell r="B88">
            <v>62160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3550</v>
          </cell>
        </row>
        <row r="89">
          <cell r="A89" t="str">
            <v>6216089567</v>
          </cell>
          <cell r="B89">
            <v>62160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6216085058</v>
          </cell>
          <cell r="B90">
            <v>62160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6216086513</v>
          </cell>
          <cell r="B91">
            <v>62160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142.94999999999999</v>
          </cell>
          <cell r="G91">
            <v>-142.94999999999999</v>
          </cell>
          <cell r="H91">
            <v>1715.4</v>
          </cell>
          <cell r="I91">
            <v>1715.4</v>
          </cell>
          <cell r="J91">
            <v>4522.66</v>
          </cell>
        </row>
        <row r="92">
          <cell r="A92" t="str">
            <v>6216086519</v>
          </cell>
          <cell r="B92">
            <v>62160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6216088770</v>
          </cell>
          <cell r="B93">
            <v>62160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6216088862</v>
          </cell>
          <cell r="B94">
            <v>62160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6216088874</v>
          </cell>
          <cell r="B95">
            <v>62160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6216089910</v>
          </cell>
          <cell r="B96">
            <v>62160</v>
          </cell>
          <cell r="C96">
            <v>89910</v>
          </cell>
          <cell r="D96" t="str">
            <v>Depreciation</v>
          </cell>
          <cell r="E96">
            <v>0</v>
          </cell>
          <cell r="F96">
            <v>8342.4500000000007</v>
          </cell>
          <cell r="G96">
            <v>-8342.4500000000007</v>
          </cell>
          <cell r="H96">
            <v>99045.58</v>
          </cell>
          <cell r="I96">
            <v>99045.58</v>
          </cell>
          <cell r="J96">
            <v>-4377.5199999999904</v>
          </cell>
        </row>
        <row r="97">
          <cell r="A97" t="str">
            <v>6216089548</v>
          </cell>
          <cell r="B97">
            <v>62160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bor View"/>
      <sheetName val="variance"/>
    </sheetNames>
    <sheetDataSet>
      <sheetData sheetId="0"/>
      <sheetData sheetId="1" refreshError="1">
        <row r="2">
          <cell r="A2" t="str">
            <v>6216041010</v>
          </cell>
          <cell r="B2">
            <v>62160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6216041040</v>
          </cell>
          <cell r="B3">
            <v>62160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6216041050</v>
          </cell>
          <cell r="B4">
            <v>62160</v>
          </cell>
          <cell r="C4">
            <v>41050</v>
          </cell>
          <cell r="D4" t="str">
            <v>Rental Income - Fixed</v>
          </cell>
          <cell r="E4">
            <v>-159871.72</v>
          </cell>
          <cell r="F4">
            <v>-156441.43</v>
          </cell>
          <cell r="G4">
            <v>-3430.29000000001</v>
          </cell>
          <cell r="H4">
            <v>-1881369.24</v>
          </cell>
          <cell r="I4">
            <v>-1881369.24</v>
          </cell>
          <cell r="J4">
            <v>-30578.829999999802</v>
          </cell>
        </row>
        <row r="5">
          <cell r="A5" t="str">
            <v>6216041074</v>
          </cell>
          <cell r="B5">
            <v>62160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-56053</v>
          </cell>
          <cell r="I5">
            <v>-56053</v>
          </cell>
          <cell r="J5">
            <v>4727.96</v>
          </cell>
        </row>
        <row r="6">
          <cell r="A6" t="str">
            <v>6216041082</v>
          </cell>
          <cell r="B6">
            <v>62160</v>
          </cell>
          <cell r="C6">
            <v>41082</v>
          </cell>
          <cell r="D6" t="str">
            <v>Rental Income - Operating Exp</v>
          </cell>
          <cell r="E6">
            <v>-19116.73</v>
          </cell>
          <cell r="F6">
            <v>-32714.09</v>
          </cell>
          <cell r="G6">
            <v>13597.36</v>
          </cell>
          <cell r="H6">
            <v>-392569.08</v>
          </cell>
          <cell r="I6">
            <v>-392569.08</v>
          </cell>
          <cell r="J6">
            <v>5978.75</v>
          </cell>
        </row>
        <row r="7">
          <cell r="A7" t="str">
            <v>6216044610</v>
          </cell>
          <cell r="B7">
            <v>62160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6216045071</v>
          </cell>
          <cell r="B8">
            <v>62160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6216045010</v>
          </cell>
          <cell r="B9">
            <v>62160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6216045046</v>
          </cell>
          <cell r="B10">
            <v>62160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6216045070</v>
          </cell>
          <cell r="B11">
            <v>62160</v>
          </cell>
          <cell r="C11">
            <v>45070</v>
          </cell>
          <cell r="D11" t="str">
            <v>Other Income</v>
          </cell>
          <cell r="E11">
            <v>0</v>
          </cell>
          <cell r="F11">
            <v>-120.6</v>
          </cell>
          <cell r="G11">
            <v>120.6</v>
          </cell>
          <cell r="H11">
            <v>-958</v>
          </cell>
          <cell r="I11">
            <v>-958</v>
          </cell>
          <cell r="J11">
            <v>92.25</v>
          </cell>
        </row>
        <row r="12">
          <cell r="A12" t="str">
            <v>6216041060</v>
          </cell>
          <cell r="B12">
            <v>62160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1941.67</v>
          </cell>
          <cell r="G12">
            <v>-1941.67</v>
          </cell>
          <cell r="H12">
            <v>23300</v>
          </cell>
          <cell r="I12">
            <v>23300</v>
          </cell>
          <cell r="J12">
            <v>27952</v>
          </cell>
        </row>
        <row r="13">
          <cell r="A13" t="str">
            <v>6216044870</v>
          </cell>
          <cell r="B13">
            <v>62160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6216052542</v>
          </cell>
          <cell r="B14">
            <v>62160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6216072710</v>
          </cell>
          <cell r="B15">
            <v>62160</v>
          </cell>
          <cell r="C15">
            <v>72710</v>
          </cell>
          <cell r="D15" t="str">
            <v>Utilities - Electricity</v>
          </cell>
          <cell r="E15">
            <v>483</v>
          </cell>
          <cell r="F15">
            <v>762.44</v>
          </cell>
          <cell r="G15">
            <v>-279.44</v>
          </cell>
          <cell r="H15">
            <v>10665.01</v>
          </cell>
          <cell r="I15">
            <v>10665.01</v>
          </cell>
          <cell r="J15">
            <v>-1125.8900000000001</v>
          </cell>
        </row>
        <row r="16">
          <cell r="A16" t="str">
            <v>6216072740</v>
          </cell>
          <cell r="B16">
            <v>62160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6216072770</v>
          </cell>
          <cell r="B17">
            <v>62160</v>
          </cell>
          <cell r="C17">
            <v>72770</v>
          </cell>
          <cell r="D17" t="str">
            <v>Utilities - Water</v>
          </cell>
          <cell r="E17">
            <v>500</v>
          </cell>
          <cell r="F17">
            <v>610.25</v>
          </cell>
          <cell r="G17">
            <v>-110.25</v>
          </cell>
          <cell r="H17">
            <v>2947.3</v>
          </cell>
          <cell r="I17">
            <v>2947.3</v>
          </cell>
          <cell r="J17">
            <v>-52.929999999999801</v>
          </cell>
        </row>
        <row r="18">
          <cell r="A18" t="str">
            <v>6216076000</v>
          </cell>
          <cell r="B18">
            <v>62160</v>
          </cell>
          <cell r="C18">
            <v>76000</v>
          </cell>
          <cell r="D18" t="str">
            <v>Bldg Maintenance &amp; Repair</v>
          </cell>
          <cell r="E18">
            <v>847.99</v>
          </cell>
          <cell r="F18">
            <v>2922.73</v>
          </cell>
          <cell r="G18">
            <v>-2074.7399999999998</v>
          </cell>
          <cell r="H18">
            <v>18893.93</v>
          </cell>
          <cell r="I18">
            <v>18893.93</v>
          </cell>
          <cell r="J18">
            <v>-994.26</v>
          </cell>
        </row>
        <row r="19">
          <cell r="A19" t="str">
            <v>6216076020</v>
          </cell>
          <cell r="B19">
            <v>62160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6216076034</v>
          </cell>
          <cell r="B20">
            <v>62160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6216076050</v>
          </cell>
          <cell r="B21">
            <v>62160</v>
          </cell>
          <cell r="C21">
            <v>76050</v>
          </cell>
          <cell r="D21" t="str">
            <v>Cleaning Expense</v>
          </cell>
          <cell r="E21">
            <v>2847.94</v>
          </cell>
          <cell r="F21">
            <v>3394.02</v>
          </cell>
          <cell r="G21">
            <v>-546.08000000000004</v>
          </cell>
          <cell r="H21">
            <v>37474.94</v>
          </cell>
          <cell r="I21">
            <v>37474.94</v>
          </cell>
          <cell r="J21">
            <v>-1821.59</v>
          </cell>
        </row>
        <row r="22">
          <cell r="A22" t="str">
            <v>6216076056</v>
          </cell>
          <cell r="B22">
            <v>62160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6216076070</v>
          </cell>
          <cell r="B23">
            <v>62160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6216076091</v>
          </cell>
          <cell r="B24">
            <v>62160</v>
          </cell>
          <cell r="C24">
            <v>76091</v>
          </cell>
          <cell r="D24" t="str">
            <v>Parking Maintenance</v>
          </cell>
          <cell r="E24">
            <v>1910</v>
          </cell>
          <cell r="F24">
            <v>2406.75</v>
          </cell>
          <cell r="G24">
            <v>-496.75</v>
          </cell>
          <cell r="H24">
            <v>34403.480000000003</v>
          </cell>
          <cell r="I24">
            <v>34403.480000000003</v>
          </cell>
          <cell r="J24">
            <v>-1703.54</v>
          </cell>
        </row>
        <row r="25">
          <cell r="A25" t="str">
            <v>6216077000</v>
          </cell>
          <cell r="B25">
            <v>62160</v>
          </cell>
          <cell r="C25">
            <v>77000</v>
          </cell>
          <cell r="D25" t="str">
            <v>Grounds Maintenance</v>
          </cell>
          <cell r="E25">
            <v>309.58</v>
          </cell>
          <cell r="F25">
            <v>18348.990000000002</v>
          </cell>
          <cell r="G25">
            <v>-18039.41</v>
          </cell>
          <cell r="H25">
            <v>42805.83</v>
          </cell>
          <cell r="I25">
            <v>42805.83</v>
          </cell>
          <cell r="J25">
            <v>-2730.84</v>
          </cell>
        </row>
        <row r="26">
          <cell r="A26" t="str">
            <v>6216077053</v>
          </cell>
          <cell r="B26">
            <v>62160</v>
          </cell>
          <cell r="C26">
            <v>77053</v>
          </cell>
          <cell r="D26" t="str">
            <v>Landscaping</v>
          </cell>
          <cell r="E26">
            <v>1150</v>
          </cell>
          <cell r="F26">
            <v>1394.17</v>
          </cell>
          <cell r="G26">
            <v>-244.17</v>
          </cell>
          <cell r="H26">
            <v>35884.699999999997</v>
          </cell>
          <cell r="I26">
            <v>35884.699999999997</v>
          </cell>
          <cell r="J26">
            <v>7106.42</v>
          </cell>
        </row>
        <row r="27">
          <cell r="A27" t="str">
            <v>6216078020</v>
          </cell>
          <cell r="B27">
            <v>62160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1388.92</v>
          </cell>
          <cell r="G27">
            <v>-1388.92</v>
          </cell>
          <cell r="H27">
            <v>16667</v>
          </cell>
          <cell r="I27">
            <v>16667</v>
          </cell>
          <cell r="J27">
            <v>0</v>
          </cell>
        </row>
        <row r="28">
          <cell r="A28" t="str">
            <v>6216084264</v>
          </cell>
          <cell r="B28">
            <v>62160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6216085555</v>
          </cell>
          <cell r="B29">
            <v>62160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6216085584</v>
          </cell>
          <cell r="B30">
            <v>62160</v>
          </cell>
          <cell r="C30">
            <v>85584</v>
          </cell>
          <cell r="D30" t="str">
            <v>Bldg Admin-Office Costs</v>
          </cell>
          <cell r="E30">
            <v>441.78</v>
          </cell>
          <cell r="F30">
            <v>686.92</v>
          </cell>
          <cell r="G30">
            <v>-245.14</v>
          </cell>
          <cell r="H30">
            <v>8243</v>
          </cell>
          <cell r="I30">
            <v>8243</v>
          </cell>
          <cell r="J30">
            <v>-1879.65</v>
          </cell>
        </row>
        <row r="31">
          <cell r="A31" t="str">
            <v>6216085582</v>
          </cell>
          <cell r="B31">
            <v>62160</v>
          </cell>
          <cell r="C31">
            <v>85582</v>
          </cell>
          <cell r="D31" t="str">
            <v>Bldg Admin-Salaries</v>
          </cell>
          <cell r="E31">
            <v>3976.06</v>
          </cell>
          <cell r="F31">
            <v>3975.92</v>
          </cell>
          <cell r="G31">
            <v>0.139999999999873</v>
          </cell>
          <cell r="H31">
            <v>50883.199999999997</v>
          </cell>
          <cell r="I31">
            <v>50883.199999999997</v>
          </cell>
          <cell r="J31">
            <v>4875.3</v>
          </cell>
        </row>
        <row r="32">
          <cell r="A32" t="str">
            <v>6216086564</v>
          </cell>
          <cell r="B32">
            <v>62160</v>
          </cell>
          <cell r="C32">
            <v>86564</v>
          </cell>
          <cell r="D32" t="str">
            <v>Insurance</v>
          </cell>
          <cell r="E32">
            <v>2283</v>
          </cell>
          <cell r="F32">
            <v>2283.75</v>
          </cell>
          <cell r="G32">
            <v>-0.75</v>
          </cell>
          <cell r="H32">
            <v>27405</v>
          </cell>
          <cell r="I32">
            <v>27405</v>
          </cell>
          <cell r="J32">
            <v>7521</v>
          </cell>
        </row>
        <row r="33">
          <cell r="A33" t="str">
            <v>6216088846</v>
          </cell>
          <cell r="B33">
            <v>62160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6216088890</v>
          </cell>
          <cell r="B34">
            <v>62160</v>
          </cell>
          <cell r="C34">
            <v>88890</v>
          </cell>
          <cell r="D34" t="str">
            <v>Security/Safety</v>
          </cell>
          <cell r="E34">
            <v>0</v>
          </cell>
          <cell r="F34">
            <v>828.08</v>
          </cell>
          <cell r="G34">
            <v>-828.08</v>
          </cell>
          <cell r="H34">
            <v>12936.92</v>
          </cell>
          <cell r="I34">
            <v>12936.92</v>
          </cell>
          <cell r="J34">
            <v>4976</v>
          </cell>
        </row>
        <row r="35">
          <cell r="A35" t="str">
            <v>6216089775</v>
          </cell>
          <cell r="B35">
            <v>62160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6216089729</v>
          </cell>
          <cell r="B36">
            <v>62160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6216089786</v>
          </cell>
          <cell r="B37">
            <v>62160</v>
          </cell>
          <cell r="C37">
            <v>89786</v>
          </cell>
          <cell r="D37" t="str">
            <v>Property Tax Exp</v>
          </cell>
          <cell r="E37">
            <v>7456</v>
          </cell>
          <cell r="F37">
            <v>7456</v>
          </cell>
          <cell r="G37">
            <v>0</v>
          </cell>
          <cell r="H37">
            <v>89472</v>
          </cell>
          <cell r="I37">
            <v>89472</v>
          </cell>
          <cell r="J37">
            <v>-2074</v>
          </cell>
        </row>
        <row r="38">
          <cell r="A38" t="str">
            <v>6216071040</v>
          </cell>
          <cell r="B38">
            <v>62160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6216072701</v>
          </cell>
          <cell r="B39">
            <v>62160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530.36</v>
          </cell>
          <cell r="I39">
            <v>530.36</v>
          </cell>
          <cell r="J39">
            <v>-514.91</v>
          </cell>
        </row>
        <row r="40">
          <cell r="A40" t="str">
            <v>6216072855</v>
          </cell>
          <cell r="B40">
            <v>62160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6216072870</v>
          </cell>
          <cell r="B41">
            <v>62160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6216076010</v>
          </cell>
          <cell r="B42">
            <v>62160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1000</v>
          </cell>
        </row>
        <row r="43">
          <cell r="A43" t="str">
            <v>6216076040</v>
          </cell>
          <cell r="B43">
            <v>62160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6216076051</v>
          </cell>
          <cell r="B44">
            <v>62160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6216076054</v>
          </cell>
          <cell r="B45">
            <v>62160</v>
          </cell>
          <cell r="C45">
            <v>76054</v>
          </cell>
          <cell r="D45" t="str">
            <v>Bldg Maintenance &amp; Repair</v>
          </cell>
          <cell r="E45">
            <v>29.25</v>
          </cell>
          <cell r="F45">
            <v>0</v>
          </cell>
          <cell r="G45">
            <v>29.25</v>
          </cell>
          <cell r="H45">
            <v>309.08999999999997</v>
          </cell>
          <cell r="I45">
            <v>309.08999999999997</v>
          </cell>
          <cell r="J45">
            <v>-300.08</v>
          </cell>
        </row>
        <row r="46">
          <cell r="A46" t="str">
            <v>6216076060</v>
          </cell>
          <cell r="B46">
            <v>62160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6216076071</v>
          </cell>
          <cell r="B47">
            <v>62160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87540</v>
          </cell>
          <cell r="I47">
            <v>87540</v>
          </cell>
          <cell r="J47">
            <v>-9600</v>
          </cell>
        </row>
        <row r="48">
          <cell r="A48" t="str">
            <v>6216076090</v>
          </cell>
          <cell r="B48">
            <v>62160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6216077001</v>
          </cell>
          <cell r="B49">
            <v>62160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6216077022</v>
          </cell>
          <cell r="B50">
            <v>62160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6216084200</v>
          </cell>
          <cell r="B51">
            <v>62160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6216084240</v>
          </cell>
          <cell r="B52">
            <v>62160</v>
          </cell>
          <cell r="C52">
            <v>84240</v>
          </cell>
          <cell r="D52" t="str">
            <v>Marketing Leasing</v>
          </cell>
          <cell r="E52">
            <v>13.32</v>
          </cell>
          <cell r="F52">
            <v>163.83000000000001</v>
          </cell>
          <cell r="G52">
            <v>-150.51</v>
          </cell>
          <cell r="H52">
            <v>1966</v>
          </cell>
          <cell r="I52">
            <v>1966</v>
          </cell>
          <cell r="J52">
            <v>-244.68</v>
          </cell>
        </row>
        <row r="53">
          <cell r="A53" t="str">
            <v>6216084242</v>
          </cell>
          <cell r="B53">
            <v>62160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6216084243</v>
          </cell>
          <cell r="B54">
            <v>62160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6216084244</v>
          </cell>
          <cell r="B55">
            <v>62160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6216084265</v>
          </cell>
          <cell r="B56">
            <v>62160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6216088037</v>
          </cell>
          <cell r="B57">
            <v>62160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6216085016</v>
          </cell>
          <cell r="B58">
            <v>62160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0</v>
          </cell>
          <cell r="G58">
            <v>0</v>
          </cell>
          <cell r="H58">
            <v>2453.4699999999998</v>
          </cell>
          <cell r="I58">
            <v>2453.4699999999998</v>
          </cell>
          <cell r="J58">
            <v>-382</v>
          </cell>
        </row>
        <row r="59">
          <cell r="A59" t="str">
            <v>6216085022</v>
          </cell>
          <cell r="B59">
            <v>62160</v>
          </cell>
          <cell r="C59">
            <v>85022</v>
          </cell>
          <cell r="D59" t="str">
            <v>Prof Svc-Audit/Acctng</v>
          </cell>
          <cell r="E59">
            <v>1022.58</v>
          </cell>
          <cell r="F59">
            <v>0</v>
          </cell>
          <cell r="G59">
            <v>1022.58</v>
          </cell>
          <cell r="H59">
            <v>2133.4899999999998</v>
          </cell>
          <cell r="I59">
            <v>2133.4899999999998</v>
          </cell>
          <cell r="J59">
            <v>-199.35</v>
          </cell>
        </row>
        <row r="60">
          <cell r="A60" t="str">
            <v>6216085065</v>
          </cell>
          <cell r="B60">
            <v>62160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6216085500</v>
          </cell>
          <cell r="B61">
            <v>62160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345</v>
          </cell>
          <cell r="I61">
            <v>345</v>
          </cell>
          <cell r="J61">
            <v>465</v>
          </cell>
        </row>
        <row r="62">
          <cell r="A62" t="str">
            <v>6216085566</v>
          </cell>
          <cell r="B62">
            <v>62160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0.23999999999796301</v>
          </cell>
        </row>
        <row r="63">
          <cell r="A63" t="str">
            <v>6216085581</v>
          </cell>
          <cell r="B63">
            <v>62160</v>
          </cell>
          <cell r="C63">
            <v>85581</v>
          </cell>
          <cell r="D63" t="str">
            <v>Bldg Admin- Salaries</v>
          </cell>
          <cell r="E63">
            <v>3425.48</v>
          </cell>
          <cell r="F63">
            <v>3426</v>
          </cell>
          <cell r="G63">
            <v>3426</v>
          </cell>
          <cell r="H63">
            <v>42947</v>
          </cell>
          <cell r="I63">
            <v>42947</v>
          </cell>
          <cell r="J63">
            <v>0</v>
          </cell>
        </row>
        <row r="64">
          <cell r="A64" t="str">
            <v>6216085583</v>
          </cell>
          <cell r="B64">
            <v>62160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6216085530</v>
          </cell>
          <cell r="B65">
            <v>62160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6216086012</v>
          </cell>
          <cell r="B66">
            <v>62160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6216086037</v>
          </cell>
          <cell r="B67">
            <v>62160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6216083050</v>
          </cell>
          <cell r="B68">
            <v>62160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6216086510</v>
          </cell>
          <cell r="B69">
            <v>62160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6216086537</v>
          </cell>
          <cell r="B70">
            <v>62160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6216086566</v>
          </cell>
          <cell r="B71">
            <v>62160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6216086955</v>
          </cell>
          <cell r="B72">
            <v>62160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6216086985</v>
          </cell>
          <cell r="B73">
            <v>62160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6216086880</v>
          </cell>
          <cell r="B74">
            <v>62160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6216088710</v>
          </cell>
          <cell r="B75">
            <v>62160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0.08</v>
          </cell>
          <cell r="G75">
            <v>-0.08</v>
          </cell>
          <cell r="H75">
            <v>23308.639999999999</v>
          </cell>
          <cell r="I75">
            <v>23308.639999999999</v>
          </cell>
          <cell r="J75">
            <v>39437.72</v>
          </cell>
        </row>
        <row r="76">
          <cell r="A76" t="str">
            <v>6216088711</v>
          </cell>
          <cell r="B76">
            <v>62160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6216088785</v>
          </cell>
          <cell r="B77">
            <v>62160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6216088847</v>
          </cell>
          <cell r="B78">
            <v>62160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6216088866</v>
          </cell>
          <cell r="B79">
            <v>62160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6216088870</v>
          </cell>
          <cell r="B80">
            <v>62160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6216088889</v>
          </cell>
          <cell r="B81">
            <v>62160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6216089776</v>
          </cell>
          <cell r="B82">
            <v>62160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6216089787</v>
          </cell>
          <cell r="B83">
            <v>62160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6216089510</v>
          </cell>
          <cell r="B84">
            <v>62160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190266</v>
          </cell>
        </row>
        <row r="85">
          <cell r="A85" t="str">
            <v>6216089511</v>
          </cell>
          <cell r="B85">
            <v>62160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6216089512</v>
          </cell>
          <cell r="B86">
            <v>62160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6216089528</v>
          </cell>
          <cell r="B87">
            <v>62160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6216089529</v>
          </cell>
          <cell r="B88">
            <v>62160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3550</v>
          </cell>
        </row>
        <row r="89">
          <cell r="A89" t="str">
            <v>6216089567</v>
          </cell>
          <cell r="B89">
            <v>62160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6216085058</v>
          </cell>
          <cell r="B90">
            <v>62160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6216086513</v>
          </cell>
          <cell r="B91">
            <v>62160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142.94999999999999</v>
          </cell>
          <cell r="G91">
            <v>-142.94999999999999</v>
          </cell>
          <cell r="H91">
            <v>1715.4</v>
          </cell>
          <cell r="I91">
            <v>1715.4</v>
          </cell>
          <cell r="J91">
            <v>4522.66</v>
          </cell>
        </row>
        <row r="92">
          <cell r="A92" t="str">
            <v>6216086519</v>
          </cell>
          <cell r="B92">
            <v>62160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6216088770</v>
          </cell>
          <cell r="B93">
            <v>62160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6216088862</v>
          </cell>
          <cell r="B94">
            <v>62160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6216088874</v>
          </cell>
          <cell r="B95">
            <v>62160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6216089910</v>
          </cell>
          <cell r="B96">
            <v>62160</v>
          </cell>
          <cell r="C96">
            <v>89910</v>
          </cell>
          <cell r="D96" t="str">
            <v>Depreciation</v>
          </cell>
          <cell r="E96">
            <v>0</v>
          </cell>
          <cell r="F96">
            <v>8342.4500000000007</v>
          </cell>
          <cell r="G96">
            <v>-8342.4500000000007</v>
          </cell>
          <cell r="H96">
            <v>99045.58</v>
          </cell>
          <cell r="I96">
            <v>99045.58</v>
          </cell>
          <cell r="J96">
            <v>-4377.5199999999904</v>
          </cell>
        </row>
        <row r="97">
          <cell r="A97" t="str">
            <v>6216089548</v>
          </cell>
          <cell r="B97">
            <v>62160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yside"/>
      <sheetName val="Bluffs"/>
      <sheetName val="Eastbluff"/>
      <sheetName val="Newport North"/>
      <sheetName val="Square (The)"/>
      <sheetName val="Westcliff"/>
      <sheetName val="data"/>
    </sheetNames>
    <sheetDataSet>
      <sheetData sheetId="0"/>
      <sheetData sheetId="1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Twelve Months Ended June 2005</v>
          </cell>
        </row>
        <row r="7">
          <cell r="G7" t="str">
            <v>Budget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</row>
        <row r="10">
          <cell r="B10">
            <v>62145</v>
          </cell>
          <cell r="C10" t="str">
            <v>Bluffs</v>
          </cell>
        </row>
        <row r="12">
          <cell r="D12" t="str">
            <v>REVENUE</v>
          </cell>
        </row>
        <row r="13">
          <cell r="A13" t="str">
            <v>6214541050</v>
          </cell>
          <cell r="B13">
            <v>41050</v>
          </cell>
          <cell r="D13" t="str">
            <v>Rental Income - Fixed</v>
          </cell>
          <cell r="F13">
            <v>1593213.44</v>
          </cell>
          <cell r="G13">
            <v>1598743.06</v>
          </cell>
          <cell r="H13">
            <v>-5529.6200000001118</v>
          </cell>
          <cell r="I13">
            <v>-3.4587296347670222E-3</v>
          </cell>
        </row>
        <row r="14">
          <cell r="A14" t="str">
            <v>6214541074</v>
          </cell>
          <cell r="B14">
            <v>41074</v>
          </cell>
          <cell r="D14" t="str">
            <v>Rental Income - Percentage</v>
          </cell>
          <cell r="F14">
            <v>0</v>
          </cell>
          <cell r="G14">
            <v>0</v>
          </cell>
          <cell r="H14">
            <v>0</v>
          </cell>
          <cell r="I14" t="str">
            <v>N/A</v>
          </cell>
        </row>
        <row r="15">
          <cell r="A15" t="str">
            <v>6214541082</v>
          </cell>
          <cell r="B15">
            <v>41082</v>
          </cell>
          <cell r="D15" t="str">
            <v>Rental Income - Operating Expense Recoveries</v>
          </cell>
          <cell r="F15">
            <v>571447.65</v>
          </cell>
          <cell r="G15">
            <v>542890.4</v>
          </cell>
          <cell r="H15">
            <v>28557.25</v>
          </cell>
          <cell r="I15">
            <v>5.260223794710682E-2</v>
          </cell>
        </row>
        <row r="16">
          <cell r="A16" t="str">
            <v>6214545071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</row>
        <row r="17">
          <cell r="A17" t="str">
            <v>6214545070</v>
          </cell>
          <cell r="B17">
            <v>45070</v>
          </cell>
          <cell r="D17" t="str">
            <v>Other Income</v>
          </cell>
          <cell r="F17">
            <v>-0.01</v>
          </cell>
          <cell r="G17">
            <v>106.09</v>
          </cell>
          <cell r="H17">
            <v>-106.10000000000001</v>
          </cell>
          <cell r="I17">
            <v>-1.0000942595909135</v>
          </cell>
        </row>
        <row r="18">
          <cell r="A18" t="str">
            <v>6214541060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-21524.2</v>
          </cell>
          <cell r="H18">
            <v>21524.2</v>
          </cell>
          <cell r="I18">
            <v>-1</v>
          </cell>
        </row>
        <row r="19">
          <cell r="A19" t="str">
            <v>6214544870</v>
          </cell>
          <cell r="B19">
            <v>44870</v>
          </cell>
          <cell r="D19" t="str">
            <v>Late Fees</v>
          </cell>
          <cell r="F19">
            <v>4000</v>
          </cell>
          <cell r="G19">
            <v>0</v>
          </cell>
          <cell r="H19">
            <v>4000</v>
          </cell>
          <cell r="I19" t="str">
            <v>N/A</v>
          </cell>
        </row>
        <row r="20">
          <cell r="D20" t="str">
            <v>TOTAL REVENUE</v>
          </cell>
          <cell r="F20">
            <v>2168661.08</v>
          </cell>
          <cell r="G20">
            <v>2120215.3499999996</v>
          </cell>
          <cell r="H20">
            <v>48445.729999999894</v>
          </cell>
          <cell r="I20">
            <v>2.2849438383699988E-2</v>
          </cell>
        </row>
        <row r="22">
          <cell r="D22" t="str">
            <v>Exclusion to CAM True Up</v>
          </cell>
          <cell r="F22">
            <v>68855</v>
          </cell>
        </row>
        <row r="23">
          <cell r="D23" t="str">
            <v>CAM Rev Excluding PY, HVAC</v>
          </cell>
          <cell r="F23">
            <v>502592.65</v>
          </cell>
          <cell r="G23">
            <v>542890.4</v>
          </cell>
        </row>
        <row r="24">
          <cell r="D24" t="str">
            <v>CAM Recovery Ratio</v>
          </cell>
          <cell r="F24">
            <v>1.0729977720346391</v>
          </cell>
          <cell r="G24">
            <v>0.97133849501490943</v>
          </cell>
          <cell r="H24">
            <v>0.10165927701972965</v>
          </cell>
          <cell r="I24">
            <v>0.10465896033304975</v>
          </cell>
        </row>
        <row r="26">
          <cell r="D26" t="str">
            <v>REIMBURSABLE EXPENSES</v>
          </cell>
        </row>
        <row r="27">
          <cell r="A27" t="str">
            <v>6214572710</v>
          </cell>
          <cell r="B27">
            <v>72710</v>
          </cell>
          <cell r="D27" t="str">
            <v>Utilities - Electricity</v>
          </cell>
          <cell r="F27">
            <v>26533.58</v>
          </cell>
          <cell r="G27">
            <v>34684</v>
          </cell>
          <cell r="H27">
            <v>8150.4199999999983</v>
          </cell>
          <cell r="I27">
            <v>0.23499077384384726</v>
          </cell>
          <cell r="J27" t="str">
            <v>High budget in October and January based on historical data.</v>
          </cell>
        </row>
        <row r="28">
          <cell r="A28" t="str">
            <v>6214572770</v>
          </cell>
          <cell r="B28">
            <v>72770</v>
          </cell>
          <cell r="D28" t="str">
            <v>Utilities - Water</v>
          </cell>
          <cell r="F28">
            <v>6888.38</v>
          </cell>
          <cell r="G28">
            <v>4830.12</v>
          </cell>
          <cell r="H28">
            <v>-2058.2600000000002</v>
          </cell>
          <cell r="I28">
            <v>-0.42613019966377652</v>
          </cell>
          <cell r="J28" t="str">
            <v>Account is underbudgeted. Adjusted in forecast.</v>
          </cell>
        </row>
        <row r="29">
          <cell r="A29" t="str">
            <v>6214576000</v>
          </cell>
          <cell r="B29">
            <v>76000</v>
          </cell>
          <cell r="D29" t="str">
            <v>Bldg Maintenance &amp; Repair</v>
          </cell>
          <cell r="F29">
            <v>49110.09</v>
          </cell>
          <cell r="G29">
            <v>40028.21</v>
          </cell>
          <cell r="H29">
            <v>-9081.8799999999974</v>
          </cell>
          <cell r="I29">
            <v>-0.22688698795174697</v>
          </cell>
          <cell r="J29" t="str">
            <v>Plumbing rprs to move pipes underground ($8,263K) not anticipated in the budget. Window/Awning cleaning of $2K will be used in 05/05. Add'tl grease removal svcs not anticipated ($5K). Backflow repairs not anticipated ($1,332)</v>
          </cell>
        </row>
        <row r="30">
          <cell r="A30" t="str">
            <v>6214576020</v>
          </cell>
          <cell r="B30">
            <v>76020</v>
          </cell>
          <cell r="D30" t="str">
            <v>Food Court Expenses</v>
          </cell>
          <cell r="F30">
            <v>4349</v>
          </cell>
          <cell r="G30">
            <v>0</v>
          </cell>
          <cell r="H30">
            <v>-4349</v>
          </cell>
          <cell r="I30" t="str">
            <v>N/A</v>
          </cell>
          <cell r="J30">
            <v>1</v>
          </cell>
        </row>
        <row r="31">
          <cell r="A31" t="str">
            <v>6214576050</v>
          </cell>
          <cell r="B31">
            <v>76050</v>
          </cell>
          <cell r="D31" t="str">
            <v>Cleaning Expense</v>
          </cell>
          <cell r="F31">
            <v>71145.8</v>
          </cell>
          <cell r="G31">
            <v>77648.52</v>
          </cell>
          <cell r="H31">
            <v>6502.7200000000012</v>
          </cell>
          <cell r="I31">
            <v>8.3745575575683878E-2</v>
          </cell>
        </row>
        <row r="32">
          <cell r="A32" t="str">
            <v>6214576091</v>
          </cell>
          <cell r="B32">
            <v>76091</v>
          </cell>
          <cell r="D32" t="str">
            <v>Parking Maintenance</v>
          </cell>
          <cell r="F32">
            <v>74397.100000000006</v>
          </cell>
          <cell r="G32">
            <v>34718.120000000003</v>
          </cell>
          <cell r="H32">
            <v>-39678.980000000003</v>
          </cell>
          <cell r="I32">
            <v>-1.1428896495547569</v>
          </cell>
          <cell r="J32" t="str">
            <v>Valet parking program started, not accounted for in the budget.</v>
          </cell>
        </row>
        <row r="33">
          <cell r="A33" t="str">
            <v>6214577000</v>
          </cell>
          <cell r="B33">
            <v>77000</v>
          </cell>
          <cell r="D33" t="str">
            <v>Grounds Maintenance</v>
          </cell>
          <cell r="F33">
            <v>34725.279999999999</v>
          </cell>
          <cell r="G33">
            <v>37077.82</v>
          </cell>
          <cell r="H33">
            <v>2352.5400000000009</v>
          </cell>
          <cell r="I33">
            <v>6.34487140829747E-2</v>
          </cell>
          <cell r="J33" t="str">
            <v>Misc Rpr and Common Area Seating Account has budget, but no expenses. (PERM).</v>
          </cell>
        </row>
        <row r="34">
          <cell r="A34" t="str">
            <v>6214577053</v>
          </cell>
          <cell r="B34">
            <v>77053</v>
          </cell>
          <cell r="D34" t="str">
            <v>Landscaping</v>
          </cell>
          <cell r="F34">
            <v>64480</v>
          </cell>
          <cell r="G34">
            <v>42203.27</v>
          </cell>
          <cell r="H34">
            <v>-22276.730000000003</v>
          </cell>
          <cell r="I34">
            <v>-0.52784369552406729</v>
          </cell>
          <cell r="J34" t="str">
            <v>Canary Palm expensed (instead of amortizing it). ($16,500).</v>
          </cell>
        </row>
        <row r="35">
          <cell r="A35" t="str">
            <v>6214578020</v>
          </cell>
          <cell r="B35">
            <v>78020</v>
          </cell>
          <cell r="D35" t="str">
            <v>Amortized CAM Exp</v>
          </cell>
          <cell r="F35">
            <v>0</v>
          </cell>
          <cell r="G35">
            <v>0.8</v>
          </cell>
          <cell r="H35">
            <v>0.8</v>
          </cell>
          <cell r="I35">
            <v>1</v>
          </cell>
        </row>
        <row r="36">
          <cell r="A36" t="str">
            <v>6214585584</v>
          </cell>
          <cell r="B36">
            <v>85584</v>
          </cell>
          <cell r="D36" t="str">
            <v>Bldg Admin-Office Costs</v>
          </cell>
          <cell r="F36">
            <v>3582.95</v>
          </cell>
          <cell r="G36">
            <v>5088.3</v>
          </cell>
          <cell r="H36">
            <v>1505.3500000000004</v>
          </cell>
          <cell r="I36">
            <v>0.29584537075251072</v>
          </cell>
          <cell r="J36" t="str">
            <v>Actual expenses are lower than anticipated in budget.</v>
          </cell>
        </row>
        <row r="37">
          <cell r="A37" t="str">
            <v>6214585582</v>
          </cell>
          <cell r="B37">
            <v>85582</v>
          </cell>
          <cell r="D37" t="str">
            <v>Bldg Admin-Salaries</v>
          </cell>
          <cell r="F37">
            <v>19700.68</v>
          </cell>
          <cell r="G37">
            <v>28695.47</v>
          </cell>
          <cell r="H37">
            <v>8994.7900000000009</v>
          </cell>
          <cell r="I37">
            <v>0.3134567930060041</v>
          </cell>
          <cell r="J37" t="str">
            <v>Actual expenses are lower than anticipated in budget.</v>
          </cell>
        </row>
        <row r="38">
          <cell r="A38" t="str">
            <v>6214586564</v>
          </cell>
          <cell r="B38">
            <v>86564</v>
          </cell>
          <cell r="D38" t="str">
            <v>Insurance</v>
          </cell>
          <cell r="F38">
            <v>22840</v>
          </cell>
          <cell r="G38">
            <v>19170.8</v>
          </cell>
          <cell r="H38">
            <v>-3669.2000000000007</v>
          </cell>
          <cell r="I38">
            <v>-0.19139524693805166</v>
          </cell>
          <cell r="J38" t="str">
            <v>Actual expenses are higher than anticipated in budget.</v>
          </cell>
        </row>
        <row r="39">
          <cell r="A39" t="str">
            <v>6214588890</v>
          </cell>
          <cell r="B39">
            <v>88890</v>
          </cell>
          <cell r="D39" t="str">
            <v>Security/Safety</v>
          </cell>
          <cell r="F39">
            <v>24883.18</v>
          </cell>
          <cell r="G39">
            <v>47965.86</v>
          </cell>
          <cell r="H39">
            <v>23082.68</v>
          </cell>
          <cell r="I39">
            <v>0.48123144253016625</v>
          </cell>
          <cell r="J39" t="str">
            <v>Bills have been reduced. Budget is higher than expenses (Perm).</v>
          </cell>
        </row>
        <row r="40">
          <cell r="A40" t="str">
            <v>6214589786</v>
          </cell>
          <cell r="B40">
            <v>89786</v>
          </cell>
          <cell r="D40" t="str">
            <v>Property Tax Exp</v>
          </cell>
          <cell r="F40">
            <v>65764.42</v>
          </cell>
          <cell r="G40">
            <v>186798.3</v>
          </cell>
          <cell r="H40">
            <v>121033.87999999999</v>
          </cell>
          <cell r="I40">
            <v>0.64793887310537623</v>
          </cell>
          <cell r="J40" t="str">
            <v>New center. Tax bill estimates are a lot higher than actual.</v>
          </cell>
        </row>
        <row r="41">
          <cell r="D41" t="str">
            <v>Total Reimbursable</v>
          </cell>
          <cell r="F41">
            <v>468400.45999999996</v>
          </cell>
          <cell r="G41">
            <v>558909.59</v>
          </cell>
          <cell r="H41">
            <v>90509.129999999976</v>
          </cell>
          <cell r="I41">
            <v>0.1619387672342498</v>
          </cell>
        </row>
        <row r="43">
          <cell r="D43" t="str">
            <v>NON-REIMBURSABLE EXPENSES</v>
          </cell>
        </row>
        <row r="44">
          <cell r="A44" t="str">
            <v>6214572701</v>
          </cell>
          <cell r="B44">
            <v>72701</v>
          </cell>
          <cell r="D44" t="str">
            <v>Utilities</v>
          </cell>
          <cell r="F44">
            <v>0</v>
          </cell>
          <cell r="G44">
            <v>0</v>
          </cell>
          <cell r="H44">
            <v>0</v>
          </cell>
          <cell r="I44" t="str">
            <v>N/A</v>
          </cell>
        </row>
        <row r="45">
          <cell r="A45" t="str">
            <v>6214576010</v>
          </cell>
          <cell r="B45">
            <v>76010</v>
          </cell>
          <cell r="D45" t="str">
            <v>Tenant Alterations</v>
          </cell>
          <cell r="F45">
            <v>2.11</v>
          </cell>
          <cell r="G45">
            <v>0</v>
          </cell>
          <cell r="H45">
            <v>-2.11</v>
          </cell>
          <cell r="I45" t="str">
            <v>N/A</v>
          </cell>
        </row>
        <row r="46">
          <cell r="A46" t="str">
            <v>6214576054</v>
          </cell>
          <cell r="B46">
            <v>76054</v>
          </cell>
          <cell r="D46" t="str">
            <v>Bldg Maintenance &amp; Repair</v>
          </cell>
          <cell r="F46">
            <v>48603.44</v>
          </cell>
          <cell r="G46">
            <v>467.64</v>
          </cell>
          <cell r="H46">
            <v>-48135.8</v>
          </cell>
          <cell r="I46">
            <v>-102.93345308356857</v>
          </cell>
          <cell r="J46" t="str">
            <v xml:space="preserve">Variance due to add'tl grease services and grease trap pump to control odor. </v>
          </cell>
        </row>
        <row r="47">
          <cell r="A47" t="str">
            <v>6214584240</v>
          </cell>
          <cell r="B47">
            <v>84240</v>
          </cell>
          <cell r="D47" t="str">
            <v>Marketing Leasing</v>
          </cell>
          <cell r="F47">
            <v>60.52</v>
          </cell>
          <cell r="G47">
            <v>1213.3</v>
          </cell>
          <cell r="H47">
            <v>1152.78</v>
          </cell>
          <cell r="I47">
            <v>0.95011950877771367</v>
          </cell>
        </row>
        <row r="48">
          <cell r="A48" t="str">
            <v>6214584242</v>
          </cell>
          <cell r="B48">
            <v>84242</v>
          </cell>
          <cell r="D48" t="str">
            <v>Marketing-Subsidy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6214585016</v>
          </cell>
          <cell r="B49">
            <v>85016</v>
          </cell>
          <cell r="D49" t="str">
            <v>Prof Svc-Attorney Outside</v>
          </cell>
          <cell r="F49">
            <v>-1000</v>
          </cell>
          <cell r="G49">
            <v>202.91</v>
          </cell>
          <cell r="H49">
            <v>1202.9100000000001</v>
          </cell>
          <cell r="I49">
            <v>5.9282933320191225</v>
          </cell>
        </row>
        <row r="50">
          <cell r="A50" t="str">
            <v>6214585022</v>
          </cell>
          <cell r="B50">
            <v>85022</v>
          </cell>
          <cell r="D50" t="str">
            <v>Prof Svc-Audit/Acctng</v>
          </cell>
          <cell r="F50">
            <v>0</v>
          </cell>
          <cell r="G50">
            <v>205.33</v>
          </cell>
          <cell r="H50">
            <v>205.33</v>
          </cell>
          <cell r="I50">
            <v>1</v>
          </cell>
        </row>
        <row r="51">
          <cell r="A51" t="str">
            <v>6214585500</v>
          </cell>
          <cell r="B51">
            <v>85500</v>
          </cell>
          <cell r="D51" t="str">
            <v>Consulting Services</v>
          </cell>
          <cell r="F51">
            <v>2390.88</v>
          </cell>
          <cell r="G51">
            <v>1565</v>
          </cell>
          <cell r="H51">
            <v>-825.88000000000011</v>
          </cell>
          <cell r="I51">
            <v>-0.52771884984025563</v>
          </cell>
        </row>
        <row r="52">
          <cell r="A52" t="str">
            <v>6214585566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6214585581</v>
          </cell>
          <cell r="B53">
            <v>85581</v>
          </cell>
          <cell r="D53" t="str">
            <v>Bldg Admin- Salaries</v>
          </cell>
          <cell r="F53">
            <v>14479.82</v>
          </cell>
          <cell r="G53">
            <v>30087.22</v>
          </cell>
          <cell r="H53">
            <v>15607.400000000001</v>
          </cell>
          <cell r="I53">
            <v>0.51873852087364669</v>
          </cell>
        </row>
        <row r="54">
          <cell r="A54" t="str">
            <v>6214585583</v>
          </cell>
          <cell r="B54">
            <v>85583</v>
          </cell>
          <cell r="D54" t="str">
            <v>Bldg Admin - Office Exp</v>
          </cell>
          <cell r="F54">
            <v>1953.15</v>
          </cell>
          <cell r="G54">
            <v>0</v>
          </cell>
          <cell r="H54">
            <v>-1953.15</v>
          </cell>
          <cell r="I54" t="str">
            <v>N/A</v>
          </cell>
        </row>
        <row r="55">
          <cell r="A55" t="str">
            <v>6214586985</v>
          </cell>
          <cell r="B55">
            <v>86985</v>
          </cell>
          <cell r="D55" t="str">
            <v>Purchased Svcs-Other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A56" t="str">
            <v>6214588710</v>
          </cell>
          <cell r="B56">
            <v>88710</v>
          </cell>
          <cell r="D56" t="str">
            <v>Losses-Bad Debts</v>
          </cell>
          <cell r="F56">
            <v>0</v>
          </cell>
          <cell r="G56">
            <v>19371</v>
          </cell>
          <cell r="H56">
            <v>19371</v>
          </cell>
          <cell r="I56">
            <v>1</v>
          </cell>
        </row>
        <row r="57">
          <cell r="D57" t="str">
            <v>Total Non-Reimbursable</v>
          </cell>
          <cell r="F57">
            <v>66489.919999999998</v>
          </cell>
          <cell r="G57">
            <v>53112.4</v>
          </cell>
          <cell r="H57">
            <v>-13377.519999999997</v>
          </cell>
          <cell r="I57">
            <v>-0.25187187925983379</v>
          </cell>
        </row>
        <row r="59">
          <cell r="D59" t="str">
            <v>TOTAL OPERATING EXPENSES</v>
          </cell>
          <cell r="F59">
            <v>534890.38</v>
          </cell>
          <cell r="G59">
            <v>612021.99</v>
          </cell>
          <cell r="H59">
            <v>77131.609999999986</v>
          </cell>
          <cell r="I59">
            <v>0.12602751414209803</v>
          </cell>
        </row>
        <row r="61">
          <cell r="D61" t="str">
            <v>NET INCOME (Excluding NRO)</v>
          </cell>
          <cell r="F61">
            <v>1633770.7000000002</v>
          </cell>
          <cell r="G61">
            <v>1508193.3599999996</v>
          </cell>
          <cell r="H61">
            <v>125577.33999999988</v>
          </cell>
          <cell r="I61">
            <v>8.3263421873174079E-2</v>
          </cell>
        </row>
        <row r="62">
          <cell r="A62" t="str">
            <v>6214576071</v>
          </cell>
          <cell r="B62">
            <v>76071</v>
          </cell>
          <cell r="D62" t="str">
            <v>Reimaging Maintenance</v>
          </cell>
          <cell r="F62">
            <v>0</v>
          </cell>
          <cell r="G62">
            <v>0</v>
          </cell>
          <cell r="H62">
            <v>0</v>
          </cell>
          <cell r="I62" t="str">
            <v>N/A</v>
          </cell>
        </row>
        <row r="63">
          <cell r="D63" t="str">
            <v xml:space="preserve">NET INCOME </v>
          </cell>
          <cell r="F63">
            <v>1633770.7000000002</v>
          </cell>
          <cell r="G63">
            <v>1508193.3599999996</v>
          </cell>
          <cell r="H63">
            <v>125577.33999999988</v>
          </cell>
          <cell r="I63">
            <v>8.3263421873174079E-2</v>
          </cell>
        </row>
        <row r="66">
          <cell r="C66" t="str">
            <v>Forecasted Variances:</v>
          </cell>
        </row>
        <row r="67">
          <cell r="C67" t="str">
            <v xml:space="preserve">l  </v>
          </cell>
          <cell r="D67" t="str">
            <v>Rental Income - Operating Exp Recoveries:  Although we are trying to save tenants some money, we did not adjust the budget numbers. Therefore forecast reflects original budget numbers.</v>
          </cell>
        </row>
        <row r="68">
          <cell r="C68" t="str">
            <v xml:space="preserve">l  </v>
          </cell>
          <cell r="D68" t="str">
            <v>Utilities - Electricity:  Actuals are just a bit lower than forecast.</v>
          </cell>
        </row>
        <row r="69">
          <cell r="C69" t="str">
            <v xml:space="preserve">l  </v>
          </cell>
          <cell r="D69" t="str">
            <v>Bldg Maintenance &amp; Repair:  Window/Awning Cleaning and Gutter/Downspouts service expense will occur in 03/05.</v>
          </cell>
        </row>
        <row r="70">
          <cell r="C70" t="str">
            <v xml:space="preserve">l  </v>
          </cell>
          <cell r="D70" t="str">
            <v>Parking Maintenance:  Parking lot strip/seal expense $2,800 scheduled for 03/05.Valet Parking has a positive variance due to a high accrual in 03/04. Budget of $2K for Parking Maint-Reimb will not be expensed (PERM).</v>
          </cell>
        </row>
        <row r="71">
          <cell r="C71" t="str">
            <v xml:space="preserve">l  </v>
          </cell>
          <cell r="D71" t="str">
            <v>Landscaping:  Canary Palm Tree has been expensed (instead of amortizing it $16,500).</v>
          </cell>
        </row>
        <row r="72">
          <cell r="C72" t="str">
            <v xml:space="preserve">l  </v>
          </cell>
          <cell r="D72" t="str">
            <v>Bldg Admin - Office Costs:  To be updated.</v>
          </cell>
        </row>
        <row r="73">
          <cell r="C73" t="str">
            <v xml:space="preserve">l  </v>
          </cell>
          <cell r="D73" t="str">
            <v>Bldg Admin - Salaries:  To be updated.</v>
          </cell>
        </row>
        <row r="74">
          <cell r="C74" t="str">
            <v xml:space="preserve">l  </v>
          </cell>
          <cell r="D74" t="str">
            <v>Bldg Maintenance &amp; Repair:  Forecast of $49,410. Will check with G.M.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Fixed:  Due to occupancy percentage increase in current year.</v>
          </cell>
        </row>
        <row r="79">
          <cell r="C79" t="str">
            <v xml:space="preserve">l  </v>
          </cell>
          <cell r="D79" t="str">
            <v>Utilities - Electricity:  High budget in current year based on historical data.</v>
          </cell>
        </row>
        <row r="80">
          <cell r="C80" t="str">
            <v xml:space="preserve">l  </v>
          </cell>
          <cell r="D80" t="str">
            <v>Utilities - Water:  Timing variance, low budget for July, high budget for October.</v>
          </cell>
        </row>
        <row r="81">
          <cell r="C81" t="str">
            <v xml:space="preserve">l  </v>
          </cell>
          <cell r="D81" t="str">
            <v>Parking Maintenance:  Valet parking program started in current year.</v>
          </cell>
        </row>
        <row r="82">
          <cell r="C82" t="str">
            <v xml:space="preserve">l  </v>
          </cell>
          <cell r="D82" t="str">
            <v>Grounds Maintenance:  Last year was the center's first X-mas.  PY expense is higher than current year's due to new lightline and extension cords ($9k)_. In Common Area Seating, umbrellas and bases, trash receptacles had to be purchased, accounting for $6K</v>
          </cell>
        </row>
        <row r="83">
          <cell r="C83" t="str">
            <v xml:space="preserve">l  </v>
          </cell>
          <cell r="D83" t="str">
            <v>Landscaping:  Canary Palm tree was expensed this year $18k  .Negative budget for Landscaping Contractor due to warranty period in August.</v>
          </cell>
        </row>
        <row r="84">
          <cell r="C84" t="str">
            <v xml:space="preserve">l  </v>
          </cell>
          <cell r="D84" t="str">
            <v>Security/Safety:  Bills have been reduced. Budget is higher than expenses (Perm).</v>
          </cell>
        </row>
        <row r="85">
          <cell r="C85" t="str">
            <v xml:space="preserve">l  </v>
          </cell>
          <cell r="D85" t="str">
            <v>Bldg Maintenance &amp; Repair:  Due to odor remediation (grease) in the center in the current year.</v>
          </cell>
        </row>
        <row r="86">
          <cell r="C86" t="str">
            <v xml:space="preserve">l  </v>
          </cell>
          <cell r="D86" t="str">
            <v>Consulting Services:  Due to mitigation monitoring expense in current year.</v>
          </cell>
        </row>
        <row r="87">
          <cell r="C87" t="str">
            <v xml:space="preserve">l  </v>
          </cell>
          <cell r="D87" t="str">
            <v>Management Fee:  3rd Party Management Company not used in the current year.</v>
          </cell>
        </row>
      </sheetData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yside"/>
      <sheetName val="Bluffs"/>
      <sheetName val="Eastbluff"/>
      <sheetName val="Newport North"/>
      <sheetName val="Square (The)"/>
      <sheetName val="Westcliff"/>
      <sheetName val="data"/>
    </sheetNames>
    <sheetDataSet>
      <sheetData sheetId="0"/>
      <sheetData sheetId="1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Twelve Months Ended June 2005</v>
          </cell>
        </row>
        <row r="7">
          <cell r="G7" t="str">
            <v>Budget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</row>
        <row r="10">
          <cell r="B10">
            <v>62145</v>
          </cell>
          <cell r="C10" t="str">
            <v>Bluffs</v>
          </cell>
        </row>
        <row r="12">
          <cell r="D12" t="str">
            <v>REVENUE</v>
          </cell>
        </row>
        <row r="13">
          <cell r="A13" t="str">
            <v>6214541050</v>
          </cell>
          <cell r="B13">
            <v>41050</v>
          </cell>
          <cell r="D13" t="str">
            <v>Rental Income - Fixed</v>
          </cell>
          <cell r="F13">
            <v>1593213.44</v>
          </cell>
          <cell r="G13">
            <v>1598743.06</v>
          </cell>
          <cell r="H13">
            <v>-5529.6200000001118</v>
          </cell>
          <cell r="I13">
            <v>-3.4587296347670222E-3</v>
          </cell>
        </row>
        <row r="14">
          <cell r="A14" t="str">
            <v>6214541074</v>
          </cell>
          <cell r="B14">
            <v>41074</v>
          </cell>
          <cell r="D14" t="str">
            <v>Rental Income - Percentage</v>
          </cell>
          <cell r="F14">
            <v>0</v>
          </cell>
          <cell r="G14">
            <v>0</v>
          </cell>
          <cell r="H14">
            <v>0</v>
          </cell>
          <cell r="I14" t="str">
            <v>N/A</v>
          </cell>
        </row>
        <row r="15">
          <cell r="A15" t="str">
            <v>6214541082</v>
          </cell>
          <cell r="B15">
            <v>41082</v>
          </cell>
          <cell r="D15" t="str">
            <v>Rental Income - Operating Expense Recoveries</v>
          </cell>
          <cell r="F15">
            <v>571447.65</v>
          </cell>
          <cell r="G15">
            <v>542890.4</v>
          </cell>
          <cell r="H15">
            <v>28557.25</v>
          </cell>
          <cell r="I15">
            <v>5.260223794710682E-2</v>
          </cell>
        </row>
        <row r="16">
          <cell r="A16" t="str">
            <v>6214545071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</row>
        <row r="17">
          <cell r="A17" t="str">
            <v>6214545070</v>
          </cell>
          <cell r="B17">
            <v>45070</v>
          </cell>
          <cell r="D17" t="str">
            <v>Other Income</v>
          </cell>
          <cell r="F17">
            <v>-0.01</v>
          </cell>
          <cell r="G17">
            <v>106.09</v>
          </cell>
          <cell r="H17">
            <v>-106.10000000000001</v>
          </cell>
          <cell r="I17">
            <v>-1.0000942595909135</v>
          </cell>
        </row>
        <row r="18">
          <cell r="A18" t="str">
            <v>6214541060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-21524.2</v>
          </cell>
          <cell r="H18">
            <v>21524.2</v>
          </cell>
          <cell r="I18">
            <v>-1</v>
          </cell>
        </row>
        <row r="19">
          <cell r="A19" t="str">
            <v>6214544870</v>
          </cell>
          <cell r="B19">
            <v>44870</v>
          </cell>
          <cell r="D19" t="str">
            <v>Late Fees</v>
          </cell>
          <cell r="F19">
            <v>4000</v>
          </cell>
          <cell r="G19">
            <v>0</v>
          </cell>
          <cell r="H19">
            <v>4000</v>
          </cell>
          <cell r="I19" t="str">
            <v>N/A</v>
          </cell>
        </row>
        <row r="20">
          <cell r="D20" t="str">
            <v>TOTAL REVENUE</v>
          </cell>
          <cell r="F20">
            <v>2168661.08</v>
          </cell>
          <cell r="G20">
            <v>2120215.3499999996</v>
          </cell>
          <cell r="H20">
            <v>48445.729999999894</v>
          </cell>
          <cell r="I20">
            <v>2.2849438383699988E-2</v>
          </cell>
        </row>
        <row r="22">
          <cell r="D22" t="str">
            <v>Exclusion to CAM True Up</v>
          </cell>
          <cell r="F22">
            <v>68855</v>
          </cell>
        </row>
        <row r="23">
          <cell r="D23" t="str">
            <v>CAM Rev Excluding PY, HVAC</v>
          </cell>
          <cell r="F23">
            <v>502592.65</v>
          </cell>
          <cell r="G23">
            <v>542890.4</v>
          </cell>
        </row>
        <row r="24">
          <cell r="D24" t="str">
            <v>CAM Recovery Ratio</v>
          </cell>
          <cell r="F24">
            <v>1.0729977720346391</v>
          </cell>
          <cell r="G24">
            <v>0.97133849501490943</v>
          </cell>
          <cell r="H24">
            <v>0.10165927701972965</v>
          </cell>
          <cell r="I24">
            <v>0.10465896033304975</v>
          </cell>
        </row>
        <row r="26">
          <cell r="D26" t="str">
            <v>REIMBURSABLE EXPENSES</v>
          </cell>
        </row>
        <row r="27">
          <cell r="A27" t="str">
            <v>6214572710</v>
          </cell>
          <cell r="B27">
            <v>72710</v>
          </cell>
          <cell r="D27" t="str">
            <v>Utilities - Electricity</v>
          </cell>
          <cell r="F27">
            <v>26533.58</v>
          </cell>
          <cell r="G27">
            <v>34684</v>
          </cell>
          <cell r="H27">
            <v>8150.4199999999983</v>
          </cell>
          <cell r="I27">
            <v>0.23499077384384726</v>
          </cell>
          <cell r="J27" t="str">
            <v>High budget in October and January based on historical data.</v>
          </cell>
        </row>
        <row r="28">
          <cell r="A28" t="str">
            <v>6214572770</v>
          </cell>
          <cell r="B28">
            <v>72770</v>
          </cell>
          <cell r="D28" t="str">
            <v>Utilities - Water</v>
          </cell>
          <cell r="F28">
            <v>6888.38</v>
          </cell>
          <cell r="G28">
            <v>4830.12</v>
          </cell>
          <cell r="H28">
            <v>-2058.2600000000002</v>
          </cell>
          <cell r="I28">
            <v>-0.42613019966377652</v>
          </cell>
          <cell r="J28" t="str">
            <v>Account is underbudgeted. Adjusted in forecast.</v>
          </cell>
        </row>
        <row r="29">
          <cell r="A29" t="str">
            <v>6214576000</v>
          </cell>
          <cell r="B29">
            <v>76000</v>
          </cell>
          <cell r="D29" t="str">
            <v>Bldg Maintenance &amp; Repair</v>
          </cell>
          <cell r="F29">
            <v>49110.09</v>
          </cell>
          <cell r="G29">
            <v>40028.21</v>
          </cell>
          <cell r="H29">
            <v>-9081.8799999999974</v>
          </cell>
          <cell r="I29">
            <v>-0.22688698795174697</v>
          </cell>
          <cell r="J29" t="str">
            <v>Plumbing rprs to move pipes underground ($8,263K) not anticipated in the budget. Window/Awning cleaning of $2K will be used in 05/05. Add'tl grease removal svcs not anticipated ($5K). Backflow repairs not anticipated ($1,332)</v>
          </cell>
        </row>
        <row r="30">
          <cell r="A30" t="str">
            <v>6214576020</v>
          </cell>
          <cell r="B30">
            <v>76020</v>
          </cell>
          <cell r="D30" t="str">
            <v>Food Court Expenses</v>
          </cell>
          <cell r="F30">
            <v>4349</v>
          </cell>
          <cell r="G30">
            <v>0</v>
          </cell>
          <cell r="H30">
            <v>-4349</v>
          </cell>
          <cell r="I30" t="str">
            <v>N/A</v>
          </cell>
          <cell r="J30">
            <v>1</v>
          </cell>
        </row>
        <row r="31">
          <cell r="A31" t="str">
            <v>6214576050</v>
          </cell>
          <cell r="B31">
            <v>76050</v>
          </cell>
          <cell r="D31" t="str">
            <v>Cleaning Expense</v>
          </cell>
          <cell r="F31">
            <v>71145.8</v>
          </cell>
          <cell r="G31">
            <v>77648.52</v>
          </cell>
          <cell r="H31">
            <v>6502.7200000000012</v>
          </cell>
          <cell r="I31">
            <v>8.3745575575683878E-2</v>
          </cell>
        </row>
        <row r="32">
          <cell r="A32" t="str">
            <v>6214576091</v>
          </cell>
          <cell r="B32">
            <v>76091</v>
          </cell>
          <cell r="D32" t="str">
            <v>Parking Maintenance</v>
          </cell>
          <cell r="F32">
            <v>74397.100000000006</v>
          </cell>
          <cell r="G32">
            <v>34718.120000000003</v>
          </cell>
          <cell r="H32">
            <v>-39678.980000000003</v>
          </cell>
          <cell r="I32">
            <v>-1.1428896495547569</v>
          </cell>
          <cell r="J32" t="str">
            <v>Valet parking program started, not accounted for in the budget.</v>
          </cell>
        </row>
        <row r="33">
          <cell r="A33" t="str">
            <v>6214577000</v>
          </cell>
          <cell r="B33">
            <v>77000</v>
          </cell>
          <cell r="D33" t="str">
            <v>Grounds Maintenance</v>
          </cell>
          <cell r="F33">
            <v>34725.279999999999</v>
          </cell>
          <cell r="G33">
            <v>37077.82</v>
          </cell>
          <cell r="H33">
            <v>2352.5400000000009</v>
          </cell>
          <cell r="I33">
            <v>6.34487140829747E-2</v>
          </cell>
          <cell r="J33" t="str">
            <v>Misc Rpr and Common Area Seating Account has budget, but no expenses. (PERM).</v>
          </cell>
        </row>
        <row r="34">
          <cell r="A34" t="str">
            <v>6214577053</v>
          </cell>
          <cell r="B34">
            <v>77053</v>
          </cell>
          <cell r="D34" t="str">
            <v>Landscaping</v>
          </cell>
          <cell r="F34">
            <v>64480</v>
          </cell>
          <cell r="G34">
            <v>42203.27</v>
          </cell>
          <cell r="H34">
            <v>-22276.730000000003</v>
          </cell>
          <cell r="I34">
            <v>-0.52784369552406729</v>
          </cell>
          <cell r="J34" t="str">
            <v>Canary Palm expensed (instead of amortizing it). ($16,500).</v>
          </cell>
        </row>
        <row r="35">
          <cell r="A35" t="str">
            <v>6214578020</v>
          </cell>
          <cell r="B35">
            <v>78020</v>
          </cell>
          <cell r="D35" t="str">
            <v>Amortized CAM Exp</v>
          </cell>
          <cell r="F35">
            <v>0</v>
          </cell>
          <cell r="G35">
            <v>0.8</v>
          </cell>
          <cell r="H35">
            <v>0.8</v>
          </cell>
          <cell r="I35">
            <v>1</v>
          </cell>
        </row>
        <row r="36">
          <cell r="A36" t="str">
            <v>6214585584</v>
          </cell>
          <cell r="B36">
            <v>85584</v>
          </cell>
          <cell r="D36" t="str">
            <v>Bldg Admin-Office Costs</v>
          </cell>
          <cell r="F36">
            <v>3582.95</v>
          </cell>
          <cell r="G36">
            <v>5088.3</v>
          </cell>
          <cell r="H36">
            <v>1505.3500000000004</v>
          </cell>
          <cell r="I36">
            <v>0.29584537075251072</v>
          </cell>
          <cell r="J36" t="str">
            <v>Actual expenses are lower than anticipated in budget.</v>
          </cell>
        </row>
        <row r="37">
          <cell r="A37" t="str">
            <v>6214585582</v>
          </cell>
          <cell r="B37">
            <v>85582</v>
          </cell>
          <cell r="D37" t="str">
            <v>Bldg Admin-Salaries</v>
          </cell>
          <cell r="F37">
            <v>19700.68</v>
          </cell>
          <cell r="G37">
            <v>28695.47</v>
          </cell>
          <cell r="H37">
            <v>8994.7900000000009</v>
          </cell>
          <cell r="I37">
            <v>0.3134567930060041</v>
          </cell>
          <cell r="J37" t="str">
            <v>Actual expenses are lower than anticipated in budget.</v>
          </cell>
        </row>
        <row r="38">
          <cell r="A38" t="str">
            <v>6214586564</v>
          </cell>
          <cell r="B38">
            <v>86564</v>
          </cell>
          <cell r="D38" t="str">
            <v>Insurance</v>
          </cell>
          <cell r="F38">
            <v>22840</v>
          </cell>
          <cell r="G38">
            <v>19170.8</v>
          </cell>
          <cell r="H38">
            <v>-3669.2000000000007</v>
          </cell>
          <cell r="I38">
            <v>-0.19139524693805166</v>
          </cell>
          <cell r="J38" t="str">
            <v>Actual expenses are higher than anticipated in budget.</v>
          </cell>
        </row>
        <row r="39">
          <cell r="A39" t="str">
            <v>6214588890</v>
          </cell>
          <cell r="B39">
            <v>88890</v>
          </cell>
          <cell r="D39" t="str">
            <v>Security/Safety</v>
          </cell>
          <cell r="F39">
            <v>24883.18</v>
          </cell>
          <cell r="G39">
            <v>47965.86</v>
          </cell>
          <cell r="H39">
            <v>23082.68</v>
          </cell>
          <cell r="I39">
            <v>0.48123144253016625</v>
          </cell>
          <cell r="J39" t="str">
            <v>Bills have been reduced. Budget is higher than expenses (Perm).</v>
          </cell>
        </row>
        <row r="40">
          <cell r="A40" t="str">
            <v>6214589786</v>
          </cell>
          <cell r="B40">
            <v>89786</v>
          </cell>
          <cell r="D40" t="str">
            <v>Property Tax Exp</v>
          </cell>
          <cell r="F40">
            <v>65764.42</v>
          </cell>
          <cell r="G40">
            <v>186798.3</v>
          </cell>
          <cell r="H40">
            <v>121033.87999999999</v>
          </cell>
          <cell r="I40">
            <v>0.64793887310537623</v>
          </cell>
          <cell r="J40" t="str">
            <v>New center. Tax bill estimates are a lot higher than actual.</v>
          </cell>
        </row>
        <row r="41">
          <cell r="D41" t="str">
            <v>Total Reimbursable</v>
          </cell>
          <cell r="F41">
            <v>468400.45999999996</v>
          </cell>
          <cell r="G41">
            <v>558909.59</v>
          </cell>
          <cell r="H41">
            <v>90509.129999999976</v>
          </cell>
          <cell r="I41">
            <v>0.1619387672342498</v>
          </cell>
        </row>
        <row r="43">
          <cell r="D43" t="str">
            <v>NON-REIMBURSABLE EXPENSES</v>
          </cell>
        </row>
        <row r="44">
          <cell r="A44" t="str">
            <v>6214572701</v>
          </cell>
          <cell r="B44">
            <v>72701</v>
          </cell>
          <cell r="D44" t="str">
            <v>Utilities</v>
          </cell>
          <cell r="F44">
            <v>0</v>
          </cell>
          <cell r="G44">
            <v>0</v>
          </cell>
          <cell r="H44">
            <v>0</v>
          </cell>
          <cell r="I44" t="str">
            <v>N/A</v>
          </cell>
        </row>
        <row r="45">
          <cell r="A45" t="str">
            <v>6214576010</v>
          </cell>
          <cell r="B45">
            <v>76010</v>
          </cell>
          <cell r="D45" t="str">
            <v>Tenant Alterations</v>
          </cell>
          <cell r="F45">
            <v>2.11</v>
          </cell>
          <cell r="G45">
            <v>0</v>
          </cell>
          <cell r="H45">
            <v>-2.11</v>
          </cell>
          <cell r="I45" t="str">
            <v>N/A</v>
          </cell>
        </row>
        <row r="46">
          <cell r="A46" t="str">
            <v>6214576054</v>
          </cell>
          <cell r="B46">
            <v>76054</v>
          </cell>
          <cell r="D46" t="str">
            <v>Bldg Maintenance &amp; Repair</v>
          </cell>
          <cell r="F46">
            <v>48603.44</v>
          </cell>
          <cell r="G46">
            <v>467.64</v>
          </cell>
          <cell r="H46">
            <v>-48135.8</v>
          </cell>
          <cell r="I46">
            <v>-102.93345308356857</v>
          </cell>
          <cell r="J46" t="str">
            <v xml:space="preserve">Variance due to add'tl grease services and grease trap pump to control odor. </v>
          </cell>
        </row>
        <row r="47">
          <cell r="A47" t="str">
            <v>6214584240</v>
          </cell>
          <cell r="B47">
            <v>84240</v>
          </cell>
          <cell r="D47" t="str">
            <v>Marketing Leasing</v>
          </cell>
          <cell r="F47">
            <v>60.52</v>
          </cell>
          <cell r="G47">
            <v>1213.3</v>
          </cell>
          <cell r="H47">
            <v>1152.78</v>
          </cell>
          <cell r="I47">
            <v>0.95011950877771367</v>
          </cell>
        </row>
        <row r="48">
          <cell r="A48" t="str">
            <v>6214584242</v>
          </cell>
          <cell r="B48">
            <v>84242</v>
          </cell>
          <cell r="D48" t="str">
            <v>Marketing-Subsidy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6214585016</v>
          </cell>
          <cell r="B49">
            <v>85016</v>
          </cell>
          <cell r="D49" t="str">
            <v>Prof Svc-Attorney Outside</v>
          </cell>
          <cell r="F49">
            <v>-1000</v>
          </cell>
          <cell r="G49">
            <v>202.91</v>
          </cell>
          <cell r="H49">
            <v>1202.9100000000001</v>
          </cell>
          <cell r="I49">
            <v>5.9282933320191225</v>
          </cell>
        </row>
        <row r="50">
          <cell r="A50" t="str">
            <v>6214585022</v>
          </cell>
          <cell r="B50">
            <v>85022</v>
          </cell>
          <cell r="D50" t="str">
            <v>Prof Svc-Audit/Acctng</v>
          </cell>
          <cell r="F50">
            <v>0</v>
          </cell>
          <cell r="G50">
            <v>205.33</v>
          </cell>
          <cell r="H50">
            <v>205.33</v>
          </cell>
          <cell r="I50">
            <v>1</v>
          </cell>
        </row>
        <row r="51">
          <cell r="A51" t="str">
            <v>6214585500</v>
          </cell>
          <cell r="B51">
            <v>85500</v>
          </cell>
          <cell r="D51" t="str">
            <v>Consulting Services</v>
          </cell>
          <cell r="F51">
            <v>2390.88</v>
          </cell>
          <cell r="G51">
            <v>1565</v>
          </cell>
          <cell r="H51">
            <v>-825.88000000000011</v>
          </cell>
          <cell r="I51">
            <v>-0.52771884984025563</v>
          </cell>
        </row>
        <row r="52">
          <cell r="A52" t="str">
            <v>6214585566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6214585581</v>
          </cell>
          <cell r="B53">
            <v>85581</v>
          </cell>
          <cell r="D53" t="str">
            <v>Bldg Admin- Salaries</v>
          </cell>
          <cell r="F53">
            <v>14479.82</v>
          </cell>
          <cell r="G53">
            <v>30087.22</v>
          </cell>
          <cell r="H53">
            <v>15607.400000000001</v>
          </cell>
          <cell r="I53">
            <v>0.51873852087364669</v>
          </cell>
        </row>
        <row r="54">
          <cell r="A54" t="str">
            <v>6214585583</v>
          </cell>
          <cell r="B54">
            <v>85583</v>
          </cell>
          <cell r="D54" t="str">
            <v>Bldg Admin - Office Exp</v>
          </cell>
          <cell r="F54">
            <v>1953.15</v>
          </cell>
          <cell r="G54">
            <v>0</v>
          </cell>
          <cell r="H54">
            <v>-1953.15</v>
          </cell>
          <cell r="I54" t="str">
            <v>N/A</v>
          </cell>
        </row>
        <row r="55">
          <cell r="A55" t="str">
            <v>6214586985</v>
          </cell>
          <cell r="B55">
            <v>86985</v>
          </cell>
          <cell r="D55" t="str">
            <v>Purchased Svcs-Other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A56" t="str">
            <v>6214588710</v>
          </cell>
          <cell r="B56">
            <v>88710</v>
          </cell>
          <cell r="D56" t="str">
            <v>Losses-Bad Debts</v>
          </cell>
          <cell r="F56">
            <v>0</v>
          </cell>
          <cell r="G56">
            <v>19371</v>
          </cell>
          <cell r="H56">
            <v>19371</v>
          </cell>
          <cell r="I56">
            <v>1</v>
          </cell>
        </row>
        <row r="57">
          <cell r="D57" t="str">
            <v>Total Non-Reimbursable</v>
          </cell>
          <cell r="F57">
            <v>66489.919999999998</v>
          </cell>
          <cell r="G57">
            <v>53112.4</v>
          </cell>
          <cell r="H57">
            <v>-13377.519999999997</v>
          </cell>
          <cell r="I57">
            <v>-0.25187187925983379</v>
          </cell>
        </row>
        <row r="59">
          <cell r="D59" t="str">
            <v>TOTAL OPERATING EXPENSES</v>
          </cell>
          <cell r="F59">
            <v>534890.38</v>
          </cell>
          <cell r="G59">
            <v>612021.99</v>
          </cell>
          <cell r="H59">
            <v>77131.609999999986</v>
          </cell>
          <cell r="I59">
            <v>0.12602751414209803</v>
          </cell>
        </row>
        <row r="61">
          <cell r="D61" t="str">
            <v>NET INCOME (Excluding NRO)</v>
          </cell>
          <cell r="F61">
            <v>1633770.7000000002</v>
          </cell>
          <cell r="G61">
            <v>1508193.3599999996</v>
          </cell>
          <cell r="H61">
            <v>125577.33999999988</v>
          </cell>
          <cell r="I61">
            <v>8.3263421873174079E-2</v>
          </cell>
        </row>
        <row r="62">
          <cell r="A62" t="str">
            <v>6214576071</v>
          </cell>
          <cell r="B62">
            <v>76071</v>
          </cell>
          <cell r="D62" t="str">
            <v>Reimaging Maintenance</v>
          </cell>
          <cell r="F62">
            <v>0</v>
          </cell>
          <cell r="G62">
            <v>0</v>
          </cell>
          <cell r="H62">
            <v>0</v>
          </cell>
          <cell r="I62" t="str">
            <v>N/A</v>
          </cell>
        </row>
        <row r="63">
          <cell r="D63" t="str">
            <v xml:space="preserve">NET INCOME </v>
          </cell>
          <cell r="F63">
            <v>1633770.7000000002</v>
          </cell>
          <cell r="G63">
            <v>1508193.3599999996</v>
          </cell>
          <cell r="H63">
            <v>125577.33999999988</v>
          </cell>
          <cell r="I63">
            <v>8.3263421873174079E-2</v>
          </cell>
        </row>
        <row r="66">
          <cell r="C66" t="str">
            <v>Forecasted Variances:</v>
          </cell>
        </row>
        <row r="67">
          <cell r="C67" t="str">
            <v xml:space="preserve">l  </v>
          </cell>
          <cell r="D67" t="str">
            <v>Rental Income - Operating Exp Recoveries:  Although we are trying to save tenants some money, we did not adjust the budget numbers. Therefore forecast reflects original budget numbers.</v>
          </cell>
        </row>
        <row r="68">
          <cell r="C68" t="str">
            <v xml:space="preserve">l  </v>
          </cell>
          <cell r="D68" t="str">
            <v>Utilities - Electricity:  Actuals are just a bit lower than forecast.</v>
          </cell>
        </row>
        <row r="69">
          <cell r="C69" t="str">
            <v xml:space="preserve">l  </v>
          </cell>
          <cell r="D69" t="str">
            <v>Bldg Maintenance &amp; Repair:  Window/Awning Cleaning and Gutter/Downspouts service expense will occur in 03/05.</v>
          </cell>
        </row>
        <row r="70">
          <cell r="C70" t="str">
            <v xml:space="preserve">l  </v>
          </cell>
          <cell r="D70" t="str">
            <v>Parking Maintenance:  Parking lot strip/seal expense $2,800 scheduled for 03/05.Valet Parking has a positive variance due to a high accrual in 03/04. Budget of $2K for Parking Maint-Reimb will not be expensed (PERM).</v>
          </cell>
        </row>
        <row r="71">
          <cell r="C71" t="str">
            <v xml:space="preserve">l  </v>
          </cell>
          <cell r="D71" t="str">
            <v>Landscaping:  Canary Palm Tree has been expensed (instead of amortizing it $16,500).</v>
          </cell>
        </row>
        <row r="72">
          <cell r="C72" t="str">
            <v xml:space="preserve">l  </v>
          </cell>
          <cell r="D72" t="str">
            <v>Bldg Admin - Office Costs:  To be updated.</v>
          </cell>
        </row>
        <row r="73">
          <cell r="C73" t="str">
            <v xml:space="preserve">l  </v>
          </cell>
          <cell r="D73" t="str">
            <v>Bldg Admin - Salaries:  To be updated.</v>
          </cell>
        </row>
        <row r="74">
          <cell r="C74" t="str">
            <v xml:space="preserve">l  </v>
          </cell>
          <cell r="D74" t="str">
            <v>Bldg Maintenance &amp; Repair:  Forecast of $49,410. Will check with G.M.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Fixed:  Due to occupancy percentage increase in current year.</v>
          </cell>
        </row>
        <row r="79">
          <cell r="C79" t="str">
            <v xml:space="preserve">l  </v>
          </cell>
          <cell r="D79" t="str">
            <v>Utilities - Electricity:  High budget in current year based on historical data.</v>
          </cell>
        </row>
        <row r="80">
          <cell r="C80" t="str">
            <v xml:space="preserve">l  </v>
          </cell>
          <cell r="D80" t="str">
            <v>Utilities - Water:  Timing variance, low budget for July, high budget for October.</v>
          </cell>
        </row>
        <row r="81">
          <cell r="C81" t="str">
            <v xml:space="preserve">l  </v>
          </cell>
          <cell r="D81" t="str">
            <v>Parking Maintenance:  Valet parking program started in current year.</v>
          </cell>
        </row>
        <row r="82">
          <cell r="C82" t="str">
            <v xml:space="preserve">l  </v>
          </cell>
          <cell r="D82" t="str">
            <v>Grounds Maintenance:  Last year was the center's first X-mas.  PY expense is higher than current year's due to new lightline and extension cords ($9k)_. In Common Area Seating, umbrellas and bases, trash receptacles had to be purchased, accounting for $6K</v>
          </cell>
        </row>
        <row r="83">
          <cell r="C83" t="str">
            <v xml:space="preserve">l  </v>
          </cell>
          <cell r="D83" t="str">
            <v>Landscaping:  Canary Palm tree was expensed this year $18k  .Negative budget for Landscaping Contractor due to warranty period in August.</v>
          </cell>
        </row>
        <row r="84">
          <cell r="C84" t="str">
            <v xml:space="preserve">l  </v>
          </cell>
          <cell r="D84" t="str">
            <v>Security/Safety:  Bills have been reduced. Budget is higher than expenses (Perm).</v>
          </cell>
        </row>
        <row r="85">
          <cell r="C85" t="str">
            <v xml:space="preserve">l  </v>
          </cell>
          <cell r="D85" t="str">
            <v>Bldg Maintenance &amp; Repair:  Due to odor remediation (grease) in the center in the current year.</v>
          </cell>
        </row>
        <row r="86">
          <cell r="C86" t="str">
            <v xml:space="preserve">l  </v>
          </cell>
          <cell r="D86" t="str">
            <v>Consulting Services:  Due to mitigation monitoring expense in current year.</v>
          </cell>
        </row>
        <row r="87">
          <cell r="C87" t="str">
            <v xml:space="preserve">l  </v>
          </cell>
          <cell r="D87" t="str">
            <v>Management Fee:  3rd Party Management Company not used in the current year.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yside"/>
      <sheetName val="Bluffs"/>
      <sheetName val="Eastbluff"/>
      <sheetName val="Newport North"/>
      <sheetName val="Square (The)"/>
      <sheetName val="Westcliff"/>
      <sheetName val="data"/>
    </sheetNames>
    <sheetDataSet>
      <sheetData sheetId="0"/>
      <sheetData sheetId="1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Twelve Months Ended June 2005</v>
          </cell>
        </row>
        <row r="7">
          <cell r="G7" t="str">
            <v>Budget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</row>
        <row r="10">
          <cell r="B10">
            <v>62145</v>
          </cell>
          <cell r="C10" t="str">
            <v>Bluffs</v>
          </cell>
        </row>
        <row r="12">
          <cell r="D12" t="str">
            <v>REVENUE</v>
          </cell>
        </row>
        <row r="13">
          <cell r="A13" t="str">
            <v>6214541050</v>
          </cell>
          <cell r="B13">
            <v>41050</v>
          </cell>
          <cell r="D13" t="str">
            <v>Rental Income - Fixed</v>
          </cell>
          <cell r="F13">
            <v>1593213.44</v>
          </cell>
          <cell r="G13">
            <v>1598743.06</v>
          </cell>
          <cell r="H13">
            <v>-5529.6200000001118</v>
          </cell>
          <cell r="I13">
            <v>-3.4587296347670222E-3</v>
          </cell>
        </row>
        <row r="14">
          <cell r="A14" t="str">
            <v>6214541074</v>
          </cell>
          <cell r="B14">
            <v>41074</v>
          </cell>
          <cell r="D14" t="str">
            <v>Rental Income - Percentage</v>
          </cell>
          <cell r="F14">
            <v>0</v>
          </cell>
          <cell r="G14">
            <v>0</v>
          </cell>
          <cell r="H14">
            <v>0</v>
          </cell>
          <cell r="I14" t="str">
            <v>N/A</v>
          </cell>
        </row>
        <row r="15">
          <cell r="A15" t="str">
            <v>6214541082</v>
          </cell>
          <cell r="B15">
            <v>41082</v>
          </cell>
          <cell r="D15" t="str">
            <v>Rental Income - Operating Expense Recoveries</v>
          </cell>
          <cell r="F15">
            <v>571447.65</v>
          </cell>
          <cell r="G15">
            <v>542890.4</v>
          </cell>
          <cell r="H15">
            <v>28557.25</v>
          </cell>
          <cell r="I15">
            <v>5.260223794710682E-2</v>
          </cell>
        </row>
        <row r="16">
          <cell r="A16" t="str">
            <v>6214545071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</row>
        <row r="17">
          <cell r="A17" t="str">
            <v>6214545070</v>
          </cell>
          <cell r="B17">
            <v>45070</v>
          </cell>
          <cell r="D17" t="str">
            <v>Other Income</v>
          </cell>
          <cell r="F17">
            <v>-0.01</v>
          </cell>
          <cell r="G17">
            <v>106.09</v>
          </cell>
          <cell r="H17">
            <v>-106.10000000000001</v>
          </cell>
          <cell r="I17">
            <v>-1.0000942595909135</v>
          </cell>
        </row>
        <row r="18">
          <cell r="A18" t="str">
            <v>6214541060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-21524.2</v>
          </cell>
          <cell r="H18">
            <v>21524.2</v>
          </cell>
          <cell r="I18">
            <v>-1</v>
          </cell>
        </row>
        <row r="19">
          <cell r="A19" t="str">
            <v>6214544870</v>
          </cell>
          <cell r="B19">
            <v>44870</v>
          </cell>
          <cell r="D19" t="str">
            <v>Late Fees</v>
          </cell>
          <cell r="F19">
            <v>4000</v>
          </cell>
          <cell r="G19">
            <v>0</v>
          </cell>
          <cell r="H19">
            <v>4000</v>
          </cell>
          <cell r="I19" t="str">
            <v>N/A</v>
          </cell>
        </row>
        <row r="20">
          <cell r="D20" t="str">
            <v>TOTAL REVENUE</v>
          </cell>
          <cell r="F20">
            <v>2168661.08</v>
          </cell>
          <cell r="G20">
            <v>2120215.3499999996</v>
          </cell>
          <cell r="H20">
            <v>48445.729999999894</v>
          </cell>
          <cell r="I20">
            <v>2.2849438383699988E-2</v>
          </cell>
        </row>
        <row r="22">
          <cell r="D22" t="str">
            <v>Exclusion to CAM True Up</v>
          </cell>
          <cell r="F22">
            <v>68855</v>
          </cell>
        </row>
        <row r="23">
          <cell r="D23" t="str">
            <v>CAM Rev Excluding PY, HVAC</v>
          </cell>
          <cell r="F23">
            <v>502592.65</v>
          </cell>
          <cell r="G23">
            <v>542890.4</v>
          </cell>
        </row>
        <row r="24">
          <cell r="D24" t="str">
            <v>CAM Recovery Ratio</v>
          </cell>
          <cell r="F24">
            <v>1.0729977720346391</v>
          </cell>
          <cell r="G24">
            <v>0.97133849501490943</v>
          </cell>
          <cell r="H24">
            <v>0.10165927701972965</v>
          </cell>
          <cell r="I24">
            <v>0.10465896033304975</v>
          </cell>
        </row>
        <row r="26">
          <cell r="D26" t="str">
            <v>REIMBURSABLE EXPENSES</v>
          </cell>
        </row>
        <row r="27">
          <cell r="A27" t="str">
            <v>6214572710</v>
          </cell>
          <cell r="B27">
            <v>72710</v>
          </cell>
          <cell r="D27" t="str">
            <v>Utilities - Electricity</v>
          </cell>
          <cell r="F27">
            <v>26533.58</v>
          </cell>
          <cell r="G27">
            <v>34684</v>
          </cell>
          <cell r="H27">
            <v>8150.4199999999983</v>
          </cell>
          <cell r="I27">
            <v>0.23499077384384726</v>
          </cell>
          <cell r="J27" t="str">
            <v>High budget in October and January based on historical data.</v>
          </cell>
        </row>
        <row r="28">
          <cell r="A28" t="str">
            <v>6214572770</v>
          </cell>
          <cell r="B28">
            <v>72770</v>
          </cell>
          <cell r="D28" t="str">
            <v>Utilities - Water</v>
          </cell>
          <cell r="F28">
            <v>6888.38</v>
          </cell>
          <cell r="G28">
            <v>4830.12</v>
          </cell>
          <cell r="H28">
            <v>-2058.2600000000002</v>
          </cell>
          <cell r="I28">
            <v>-0.42613019966377652</v>
          </cell>
          <cell r="J28" t="str">
            <v>Account is underbudgeted. Adjusted in forecast.</v>
          </cell>
        </row>
        <row r="29">
          <cell r="A29" t="str">
            <v>6214576000</v>
          </cell>
          <cell r="B29">
            <v>76000</v>
          </cell>
          <cell r="D29" t="str">
            <v>Bldg Maintenance &amp; Repair</v>
          </cell>
          <cell r="F29">
            <v>49110.09</v>
          </cell>
          <cell r="G29">
            <v>40028.21</v>
          </cell>
          <cell r="H29">
            <v>-9081.8799999999974</v>
          </cell>
          <cell r="I29">
            <v>-0.22688698795174697</v>
          </cell>
          <cell r="J29" t="str">
            <v>Plumbing rprs to move pipes underground ($8,263K) not anticipated in the budget. Window/Awning cleaning of $2K will be used in 05/05. Add'tl grease removal svcs not anticipated ($5K). Backflow repairs not anticipated ($1,332)</v>
          </cell>
        </row>
        <row r="30">
          <cell r="A30" t="str">
            <v>6214576020</v>
          </cell>
          <cell r="B30">
            <v>76020</v>
          </cell>
          <cell r="D30" t="str">
            <v>Food Court Expenses</v>
          </cell>
          <cell r="F30">
            <v>4349</v>
          </cell>
          <cell r="G30">
            <v>0</v>
          </cell>
          <cell r="H30">
            <v>-4349</v>
          </cell>
          <cell r="I30" t="str">
            <v>N/A</v>
          </cell>
          <cell r="J30">
            <v>1</v>
          </cell>
        </row>
        <row r="31">
          <cell r="A31" t="str">
            <v>6214576050</v>
          </cell>
          <cell r="B31">
            <v>76050</v>
          </cell>
          <cell r="D31" t="str">
            <v>Cleaning Expense</v>
          </cell>
          <cell r="F31">
            <v>71145.8</v>
          </cell>
          <cell r="G31">
            <v>77648.52</v>
          </cell>
          <cell r="H31">
            <v>6502.7200000000012</v>
          </cell>
          <cell r="I31">
            <v>8.3745575575683878E-2</v>
          </cell>
        </row>
        <row r="32">
          <cell r="A32" t="str">
            <v>6214576091</v>
          </cell>
          <cell r="B32">
            <v>76091</v>
          </cell>
          <cell r="D32" t="str">
            <v>Parking Maintenance</v>
          </cell>
          <cell r="F32">
            <v>74397.100000000006</v>
          </cell>
          <cell r="G32">
            <v>34718.120000000003</v>
          </cell>
          <cell r="H32">
            <v>-39678.980000000003</v>
          </cell>
          <cell r="I32">
            <v>-1.1428896495547569</v>
          </cell>
          <cell r="J32" t="str">
            <v>Valet parking program started, not accounted for in the budget.</v>
          </cell>
        </row>
        <row r="33">
          <cell r="A33" t="str">
            <v>6214577000</v>
          </cell>
          <cell r="B33">
            <v>77000</v>
          </cell>
          <cell r="D33" t="str">
            <v>Grounds Maintenance</v>
          </cell>
          <cell r="F33">
            <v>34725.279999999999</v>
          </cell>
          <cell r="G33">
            <v>37077.82</v>
          </cell>
          <cell r="H33">
            <v>2352.5400000000009</v>
          </cell>
          <cell r="I33">
            <v>6.34487140829747E-2</v>
          </cell>
          <cell r="J33" t="str">
            <v>Misc Rpr and Common Area Seating Account has budget, but no expenses. (PERM).</v>
          </cell>
        </row>
        <row r="34">
          <cell r="A34" t="str">
            <v>6214577053</v>
          </cell>
          <cell r="B34">
            <v>77053</v>
          </cell>
          <cell r="D34" t="str">
            <v>Landscaping</v>
          </cell>
          <cell r="F34">
            <v>64480</v>
          </cell>
          <cell r="G34">
            <v>42203.27</v>
          </cell>
          <cell r="H34">
            <v>-22276.730000000003</v>
          </cell>
          <cell r="I34">
            <v>-0.52784369552406729</v>
          </cell>
          <cell r="J34" t="str">
            <v>Canary Palm expensed (instead of amortizing it). ($16,500).</v>
          </cell>
        </row>
        <row r="35">
          <cell r="A35" t="str">
            <v>6214578020</v>
          </cell>
          <cell r="B35">
            <v>78020</v>
          </cell>
          <cell r="D35" t="str">
            <v>Amortized CAM Exp</v>
          </cell>
          <cell r="F35">
            <v>0</v>
          </cell>
          <cell r="G35">
            <v>0.8</v>
          </cell>
          <cell r="H35">
            <v>0.8</v>
          </cell>
          <cell r="I35">
            <v>1</v>
          </cell>
        </row>
        <row r="36">
          <cell r="A36" t="str">
            <v>6214585584</v>
          </cell>
          <cell r="B36">
            <v>85584</v>
          </cell>
          <cell r="D36" t="str">
            <v>Bldg Admin-Office Costs</v>
          </cell>
          <cell r="F36">
            <v>3582.95</v>
          </cell>
          <cell r="G36">
            <v>5088.3</v>
          </cell>
          <cell r="H36">
            <v>1505.3500000000004</v>
          </cell>
          <cell r="I36">
            <v>0.29584537075251072</v>
          </cell>
          <cell r="J36" t="str">
            <v>Actual expenses are lower than anticipated in budget.</v>
          </cell>
        </row>
        <row r="37">
          <cell r="A37" t="str">
            <v>6214585582</v>
          </cell>
          <cell r="B37">
            <v>85582</v>
          </cell>
          <cell r="D37" t="str">
            <v>Bldg Admin-Salaries</v>
          </cell>
          <cell r="F37">
            <v>19700.68</v>
          </cell>
          <cell r="G37">
            <v>28695.47</v>
          </cell>
          <cell r="H37">
            <v>8994.7900000000009</v>
          </cell>
          <cell r="I37">
            <v>0.3134567930060041</v>
          </cell>
          <cell r="J37" t="str">
            <v>Actual expenses are lower than anticipated in budget.</v>
          </cell>
        </row>
        <row r="38">
          <cell r="A38" t="str">
            <v>6214586564</v>
          </cell>
          <cell r="B38">
            <v>86564</v>
          </cell>
          <cell r="D38" t="str">
            <v>Insurance</v>
          </cell>
          <cell r="F38">
            <v>22840</v>
          </cell>
          <cell r="G38">
            <v>19170.8</v>
          </cell>
          <cell r="H38">
            <v>-3669.2000000000007</v>
          </cell>
          <cell r="I38">
            <v>-0.19139524693805166</v>
          </cell>
          <cell r="J38" t="str">
            <v>Actual expenses are higher than anticipated in budget.</v>
          </cell>
        </row>
        <row r="39">
          <cell r="A39" t="str">
            <v>6214588890</v>
          </cell>
          <cell r="B39">
            <v>88890</v>
          </cell>
          <cell r="D39" t="str">
            <v>Security/Safety</v>
          </cell>
          <cell r="F39">
            <v>24883.18</v>
          </cell>
          <cell r="G39">
            <v>47965.86</v>
          </cell>
          <cell r="H39">
            <v>23082.68</v>
          </cell>
          <cell r="I39">
            <v>0.48123144253016625</v>
          </cell>
          <cell r="J39" t="str">
            <v>Bills have been reduced. Budget is higher than expenses (Perm).</v>
          </cell>
        </row>
        <row r="40">
          <cell r="A40" t="str">
            <v>6214589786</v>
          </cell>
          <cell r="B40">
            <v>89786</v>
          </cell>
          <cell r="D40" t="str">
            <v>Property Tax Exp</v>
          </cell>
          <cell r="F40">
            <v>65764.42</v>
          </cell>
          <cell r="G40">
            <v>186798.3</v>
          </cell>
          <cell r="H40">
            <v>121033.87999999999</v>
          </cell>
          <cell r="I40">
            <v>0.64793887310537623</v>
          </cell>
          <cell r="J40" t="str">
            <v>New center. Tax bill estimates are a lot higher than actual.</v>
          </cell>
        </row>
        <row r="41">
          <cell r="D41" t="str">
            <v>Total Reimbursable</v>
          </cell>
          <cell r="F41">
            <v>468400.45999999996</v>
          </cell>
          <cell r="G41">
            <v>558909.59</v>
          </cell>
          <cell r="H41">
            <v>90509.129999999976</v>
          </cell>
          <cell r="I41">
            <v>0.1619387672342498</v>
          </cell>
        </row>
        <row r="43">
          <cell r="D43" t="str">
            <v>NON-REIMBURSABLE EXPENSES</v>
          </cell>
        </row>
        <row r="44">
          <cell r="A44" t="str">
            <v>6214572701</v>
          </cell>
          <cell r="B44">
            <v>72701</v>
          </cell>
          <cell r="D44" t="str">
            <v>Utilities</v>
          </cell>
          <cell r="F44">
            <v>0</v>
          </cell>
          <cell r="G44">
            <v>0</v>
          </cell>
          <cell r="H44">
            <v>0</v>
          </cell>
          <cell r="I44" t="str">
            <v>N/A</v>
          </cell>
        </row>
        <row r="45">
          <cell r="A45" t="str">
            <v>6214576010</v>
          </cell>
          <cell r="B45">
            <v>76010</v>
          </cell>
          <cell r="D45" t="str">
            <v>Tenant Alterations</v>
          </cell>
          <cell r="F45">
            <v>2.11</v>
          </cell>
          <cell r="G45">
            <v>0</v>
          </cell>
          <cell r="H45">
            <v>-2.11</v>
          </cell>
          <cell r="I45" t="str">
            <v>N/A</v>
          </cell>
        </row>
        <row r="46">
          <cell r="A46" t="str">
            <v>6214576054</v>
          </cell>
          <cell r="B46">
            <v>76054</v>
          </cell>
          <cell r="D46" t="str">
            <v>Bldg Maintenance &amp; Repair</v>
          </cell>
          <cell r="F46">
            <v>48603.44</v>
          </cell>
          <cell r="G46">
            <v>467.64</v>
          </cell>
          <cell r="H46">
            <v>-48135.8</v>
          </cell>
          <cell r="I46">
            <v>-102.93345308356857</v>
          </cell>
          <cell r="J46" t="str">
            <v xml:space="preserve">Variance due to add'tl grease services and grease trap pump to control odor. </v>
          </cell>
        </row>
        <row r="47">
          <cell r="A47" t="str">
            <v>6214584240</v>
          </cell>
          <cell r="B47">
            <v>84240</v>
          </cell>
          <cell r="D47" t="str">
            <v>Marketing Leasing</v>
          </cell>
          <cell r="F47">
            <v>60.52</v>
          </cell>
          <cell r="G47">
            <v>1213.3</v>
          </cell>
          <cell r="H47">
            <v>1152.78</v>
          </cell>
          <cell r="I47">
            <v>0.95011950877771367</v>
          </cell>
        </row>
        <row r="48">
          <cell r="A48" t="str">
            <v>6214584242</v>
          </cell>
          <cell r="B48">
            <v>84242</v>
          </cell>
          <cell r="D48" t="str">
            <v>Marketing-Subsidy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6214585016</v>
          </cell>
          <cell r="B49">
            <v>85016</v>
          </cell>
          <cell r="D49" t="str">
            <v>Prof Svc-Attorney Outside</v>
          </cell>
          <cell r="F49">
            <v>-1000</v>
          </cell>
          <cell r="G49">
            <v>202.91</v>
          </cell>
          <cell r="H49">
            <v>1202.9100000000001</v>
          </cell>
          <cell r="I49">
            <v>5.9282933320191225</v>
          </cell>
        </row>
        <row r="50">
          <cell r="A50" t="str">
            <v>6214585022</v>
          </cell>
          <cell r="B50">
            <v>85022</v>
          </cell>
          <cell r="D50" t="str">
            <v>Prof Svc-Audit/Acctng</v>
          </cell>
          <cell r="F50">
            <v>0</v>
          </cell>
          <cell r="G50">
            <v>205.33</v>
          </cell>
          <cell r="H50">
            <v>205.33</v>
          </cell>
          <cell r="I50">
            <v>1</v>
          </cell>
        </row>
        <row r="51">
          <cell r="A51" t="str">
            <v>6214585500</v>
          </cell>
          <cell r="B51">
            <v>85500</v>
          </cell>
          <cell r="D51" t="str">
            <v>Consulting Services</v>
          </cell>
          <cell r="F51">
            <v>2390.88</v>
          </cell>
          <cell r="G51">
            <v>1565</v>
          </cell>
          <cell r="H51">
            <v>-825.88000000000011</v>
          </cell>
          <cell r="I51">
            <v>-0.52771884984025563</v>
          </cell>
        </row>
        <row r="52">
          <cell r="A52" t="str">
            <v>6214585566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6214585581</v>
          </cell>
          <cell r="B53">
            <v>85581</v>
          </cell>
          <cell r="D53" t="str">
            <v>Bldg Admin- Salaries</v>
          </cell>
          <cell r="F53">
            <v>14479.82</v>
          </cell>
          <cell r="G53">
            <v>30087.22</v>
          </cell>
          <cell r="H53">
            <v>15607.400000000001</v>
          </cell>
          <cell r="I53">
            <v>0.51873852087364669</v>
          </cell>
        </row>
        <row r="54">
          <cell r="A54" t="str">
            <v>6214585583</v>
          </cell>
          <cell r="B54">
            <v>85583</v>
          </cell>
          <cell r="D54" t="str">
            <v>Bldg Admin - Office Exp</v>
          </cell>
          <cell r="F54">
            <v>1953.15</v>
          </cell>
          <cell r="G54">
            <v>0</v>
          </cell>
          <cell r="H54">
            <v>-1953.15</v>
          </cell>
          <cell r="I54" t="str">
            <v>N/A</v>
          </cell>
        </row>
        <row r="55">
          <cell r="A55" t="str">
            <v>6214586985</v>
          </cell>
          <cell r="B55">
            <v>86985</v>
          </cell>
          <cell r="D55" t="str">
            <v>Purchased Svcs-Other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A56" t="str">
            <v>6214588710</v>
          </cell>
          <cell r="B56">
            <v>88710</v>
          </cell>
          <cell r="D56" t="str">
            <v>Losses-Bad Debts</v>
          </cell>
          <cell r="F56">
            <v>0</v>
          </cell>
          <cell r="G56">
            <v>19371</v>
          </cell>
          <cell r="H56">
            <v>19371</v>
          </cell>
          <cell r="I56">
            <v>1</v>
          </cell>
        </row>
        <row r="57">
          <cell r="D57" t="str">
            <v>Total Non-Reimbursable</v>
          </cell>
          <cell r="F57">
            <v>66489.919999999998</v>
          </cell>
          <cell r="G57">
            <v>53112.4</v>
          </cell>
          <cell r="H57">
            <v>-13377.519999999997</v>
          </cell>
          <cell r="I57">
            <v>-0.25187187925983379</v>
          </cell>
        </row>
        <row r="59">
          <cell r="D59" t="str">
            <v>TOTAL OPERATING EXPENSES</v>
          </cell>
          <cell r="F59">
            <v>534890.38</v>
          </cell>
          <cell r="G59">
            <v>612021.99</v>
          </cell>
          <cell r="H59">
            <v>77131.609999999986</v>
          </cell>
          <cell r="I59">
            <v>0.12602751414209803</v>
          </cell>
        </row>
        <row r="61">
          <cell r="D61" t="str">
            <v>NET INCOME (Excluding NRO)</v>
          </cell>
          <cell r="F61">
            <v>1633770.7000000002</v>
          </cell>
          <cell r="G61">
            <v>1508193.3599999996</v>
          </cell>
          <cell r="H61">
            <v>125577.33999999988</v>
          </cell>
          <cell r="I61">
            <v>8.3263421873174079E-2</v>
          </cell>
        </row>
        <row r="62">
          <cell r="A62" t="str">
            <v>6214576071</v>
          </cell>
          <cell r="B62">
            <v>76071</v>
          </cell>
          <cell r="D62" t="str">
            <v>Reimaging Maintenance</v>
          </cell>
          <cell r="F62">
            <v>0</v>
          </cell>
          <cell r="G62">
            <v>0</v>
          </cell>
          <cell r="H62">
            <v>0</v>
          </cell>
          <cell r="I62" t="str">
            <v>N/A</v>
          </cell>
        </row>
        <row r="63">
          <cell r="D63" t="str">
            <v xml:space="preserve">NET INCOME </v>
          </cell>
          <cell r="F63">
            <v>1633770.7000000002</v>
          </cell>
          <cell r="G63">
            <v>1508193.3599999996</v>
          </cell>
          <cell r="H63">
            <v>125577.33999999988</v>
          </cell>
          <cell r="I63">
            <v>8.3263421873174079E-2</v>
          </cell>
        </row>
        <row r="66">
          <cell r="C66" t="str">
            <v>Forecasted Variances:</v>
          </cell>
        </row>
        <row r="67">
          <cell r="C67" t="str">
            <v xml:space="preserve">l  </v>
          </cell>
          <cell r="D67" t="str">
            <v>Rental Income - Operating Exp Recoveries:  Although we are trying to save tenants some money, we did not adjust the budget numbers. Therefore forecast reflects original budget numbers.</v>
          </cell>
        </row>
        <row r="68">
          <cell r="C68" t="str">
            <v xml:space="preserve">l  </v>
          </cell>
          <cell r="D68" t="str">
            <v>Utilities - Electricity:  Actuals are just a bit lower than forecast.</v>
          </cell>
        </row>
        <row r="69">
          <cell r="C69" t="str">
            <v xml:space="preserve">l  </v>
          </cell>
          <cell r="D69" t="str">
            <v>Bldg Maintenance &amp; Repair:  Window/Awning Cleaning and Gutter/Downspouts service expense will occur in 03/05.</v>
          </cell>
        </row>
        <row r="70">
          <cell r="C70" t="str">
            <v xml:space="preserve">l  </v>
          </cell>
          <cell r="D70" t="str">
            <v>Parking Maintenance:  Parking lot strip/seal expense $2,800 scheduled for 03/05.Valet Parking has a positive variance due to a high accrual in 03/04. Budget of $2K for Parking Maint-Reimb will not be expensed (PERM).</v>
          </cell>
        </row>
        <row r="71">
          <cell r="C71" t="str">
            <v xml:space="preserve">l  </v>
          </cell>
          <cell r="D71" t="str">
            <v>Landscaping:  Canary Palm Tree has been expensed (instead of amortizing it $16,500).</v>
          </cell>
        </row>
        <row r="72">
          <cell r="C72" t="str">
            <v xml:space="preserve">l  </v>
          </cell>
          <cell r="D72" t="str">
            <v>Bldg Admin - Office Costs:  To be updated.</v>
          </cell>
        </row>
        <row r="73">
          <cell r="C73" t="str">
            <v xml:space="preserve">l  </v>
          </cell>
          <cell r="D73" t="str">
            <v>Bldg Admin - Salaries:  To be updated.</v>
          </cell>
        </row>
        <row r="74">
          <cell r="C74" t="str">
            <v xml:space="preserve">l  </v>
          </cell>
          <cell r="D74" t="str">
            <v>Bldg Maintenance &amp; Repair:  Forecast of $49,410. Will check with G.M.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Fixed:  Due to occupancy percentage increase in current year.</v>
          </cell>
        </row>
        <row r="79">
          <cell r="C79" t="str">
            <v xml:space="preserve">l  </v>
          </cell>
          <cell r="D79" t="str">
            <v>Utilities - Electricity:  High budget in current year based on historical data.</v>
          </cell>
        </row>
        <row r="80">
          <cell r="C80" t="str">
            <v xml:space="preserve">l  </v>
          </cell>
          <cell r="D80" t="str">
            <v>Utilities - Water:  Timing variance, low budget for July, high budget for October.</v>
          </cell>
        </row>
        <row r="81">
          <cell r="C81" t="str">
            <v xml:space="preserve">l  </v>
          </cell>
          <cell r="D81" t="str">
            <v>Parking Maintenance:  Valet parking program started in current year.</v>
          </cell>
        </row>
        <row r="82">
          <cell r="C82" t="str">
            <v xml:space="preserve">l  </v>
          </cell>
          <cell r="D82" t="str">
            <v>Grounds Maintenance:  Last year was the center's first X-mas.  PY expense is higher than current year's due to new lightline and extension cords ($9k)_. In Common Area Seating, umbrellas and bases, trash receptacles had to be purchased, accounting for $6K</v>
          </cell>
        </row>
        <row r="83">
          <cell r="C83" t="str">
            <v xml:space="preserve">l  </v>
          </cell>
          <cell r="D83" t="str">
            <v>Landscaping:  Canary Palm tree was expensed this year $18k  .Negative budget for Landscaping Contractor due to warranty period in August.</v>
          </cell>
        </row>
        <row r="84">
          <cell r="C84" t="str">
            <v xml:space="preserve">l  </v>
          </cell>
          <cell r="D84" t="str">
            <v>Security/Safety:  Bills have been reduced. Budget is higher than expenses (Perm).</v>
          </cell>
        </row>
        <row r="85">
          <cell r="C85" t="str">
            <v xml:space="preserve">l  </v>
          </cell>
          <cell r="D85" t="str">
            <v>Bldg Maintenance &amp; Repair:  Due to odor remediation (grease) in the center in the current year.</v>
          </cell>
        </row>
        <row r="86">
          <cell r="C86" t="str">
            <v xml:space="preserve">l  </v>
          </cell>
          <cell r="D86" t="str">
            <v>Consulting Services:  Due to mitigation monitoring expense in current year.</v>
          </cell>
        </row>
        <row r="87">
          <cell r="C87" t="str">
            <v xml:space="preserve">l  </v>
          </cell>
          <cell r="D87" t="str">
            <v>Management Fee:  3rd Party Management Company not used in the current year.</v>
          </cell>
        </row>
      </sheetData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yside"/>
      <sheetName val="Corona Del Mar"/>
      <sheetName val="Crytal Cove"/>
      <sheetName val="Eastbluff"/>
      <sheetName val="Harbor View"/>
      <sheetName val="Newport Coast"/>
      <sheetName val="Newport Hills"/>
      <sheetName val="Newport North"/>
      <sheetName val="Westcliff"/>
      <sheetName val="ISC"/>
      <sheetName val="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6211041010</v>
          </cell>
          <cell r="B2">
            <v>62110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6211041040</v>
          </cell>
          <cell r="B3">
            <v>62110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6211041050</v>
          </cell>
          <cell r="B4">
            <v>62110</v>
          </cell>
          <cell r="C4">
            <v>41050</v>
          </cell>
          <cell r="D4" t="str">
            <v>Rental Income - Fixed</v>
          </cell>
          <cell r="E4">
            <v>-239852.87</v>
          </cell>
          <cell r="F4">
            <v>-237174.07</v>
          </cell>
          <cell r="G4">
            <v>-2678.7999999999902</v>
          </cell>
          <cell r="H4">
            <v>-2895487.51</v>
          </cell>
          <cell r="I4">
            <v>-2895487.51</v>
          </cell>
          <cell r="J4">
            <v>0</v>
          </cell>
        </row>
        <row r="5">
          <cell r="A5" t="str">
            <v>6211041074</v>
          </cell>
          <cell r="B5">
            <v>62110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-48255</v>
          </cell>
          <cell r="I5">
            <v>-48255</v>
          </cell>
          <cell r="J5">
            <v>0</v>
          </cell>
        </row>
        <row r="6">
          <cell r="A6" t="str">
            <v>6211041082</v>
          </cell>
          <cell r="B6">
            <v>62110</v>
          </cell>
          <cell r="C6">
            <v>41082</v>
          </cell>
          <cell r="D6" t="str">
            <v>Rental Income - Operating Exp</v>
          </cell>
          <cell r="E6">
            <v>-32216.92</v>
          </cell>
          <cell r="F6">
            <v>-44603.67</v>
          </cell>
          <cell r="G6">
            <v>12386.75</v>
          </cell>
          <cell r="H6">
            <v>-535244.04</v>
          </cell>
          <cell r="I6">
            <v>-535244.04</v>
          </cell>
          <cell r="J6">
            <v>0</v>
          </cell>
        </row>
        <row r="7">
          <cell r="A7" t="str">
            <v>6211044610</v>
          </cell>
          <cell r="B7">
            <v>62110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6211045071</v>
          </cell>
          <cell r="B8">
            <v>62110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6211045010</v>
          </cell>
          <cell r="B9">
            <v>62110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6211045046</v>
          </cell>
          <cell r="B10">
            <v>62110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6211045070</v>
          </cell>
          <cell r="B11">
            <v>62110</v>
          </cell>
          <cell r="C11">
            <v>45070</v>
          </cell>
          <cell r="D11" t="str">
            <v>Other Income</v>
          </cell>
          <cell r="E11">
            <v>-25</v>
          </cell>
          <cell r="F11">
            <v>-75.28</v>
          </cell>
          <cell r="G11">
            <v>50.28</v>
          </cell>
          <cell r="H11">
            <v>-935.34</v>
          </cell>
          <cell r="I11">
            <v>-935.34</v>
          </cell>
          <cell r="J11">
            <v>0</v>
          </cell>
        </row>
        <row r="12">
          <cell r="A12" t="str">
            <v>6211041060</v>
          </cell>
          <cell r="B12">
            <v>62110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2899.17</v>
          </cell>
          <cell r="G12">
            <v>-2899.17</v>
          </cell>
          <cell r="H12">
            <v>34790</v>
          </cell>
          <cell r="I12">
            <v>34790</v>
          </cell>
          <cell r="J12">
            <v>0</v>
          </cell>
        </row>
        <row r="13">
          <cell r="A13" t="str">
            <v>6211044870</v>
          </cell>
          <cell r="B13">
            <v>62110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6211052542</v>
          </cell>
          <cell r="B14">
            <v>62110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6211072710</v>
          </cell>
          <cell r="B15">
            <v>62110</v>
          </cell>
          <cell r="C15">
            <v>72710</v>
          </cell>
          <cell r="D15" t="str">
            <v>Utilities - Electricity</v>
          </cell>
          <cell r="E15">
            <v>390.66</v>
          </cell>
          <cell r="F15">
            <v>2519.86</v>
          </cell>
          <cell r="G15">
            <v>-2129.1999999999998</v>
          </cell>
          <cell r="H15">
            <v>25369.24</v>
          </cell>
          <cell r="I15">
            <v>25369.24</v>
          </cell>
          <cell r="J15">
            <v>0</v>
          </cell>
        </row>
        <row r="16">
          <cell r="A16" t="str">
            <v>6211072740</v>
          </cell>
          <cell r="B16">
            <v>62110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6211072770</v>
          </cell>
          <cell r="B17">
            <v>62110</v>
          </cell>
          <cell r="C17">
            <v>72770</v>
          </cell>
          <cell r="D17" t="str">
            <v>Utilities - Water</v>
          </cell>
          <cell r="E17">
            <v>311.87</v>
          </cell>
          <cell r="F17">
            <v>234.26</v>
          </cell>
          <cell r="G17">
            <v>77.61</v>
          </cell>
          <cell r="H17">
            <v>5991.75</v>
          </cell>
          <cell r="I17">
            <v>5991.75</v>
          </cell>
          <cell r="J17">
            <v>0</v>
          </cell>
        </row>
        <row r="18">
          <cell r="A18" t="str">
            <v>6211076000</v>
          </cell>
          <cell r="B18">
            <v>62110</v>
          </cell>
          <cell r="C18">
            <v>76000</v>
          </cell>
          <cell r="D18" t="str">
            <v>Bldg Maintenance &amp; Repair</v>
          </cell>
          <cell r="E18">
            <v>866.23</v>
          </cell>
          <cell r="F18">
            <v>373.91</v>
          </cell>
          <cell r="G18">
            <v>492.32</v>
          </cell>
          <cell r="H18">
            <v>13755.11</v>
          </cell>
          <cell r="I18">
            <v>13755.11</v>
          </cell>
          <cell r="J18">
            <v>0</v>
          </cell>
        </row>
        <row r="19">
          <cell r="A19" t="str">
            <v>6211076020</v>
          </cell>
          <cell r="B19">
            <v>62110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6211076034</v>
          </cell>
          <cell r="B20">
            <v>62110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6211076050</v>
          </cell>
          <cell r="B21">
            <v>62110</v>
          </cell>
          <cell r="C21">
            <v>76050</v>
          </cell>
          <cell r="D21" t="str">
            <v>Cleaning Expense</v>
          </cell>
          <cell r="E21">
            <v>4491</v>
          </cell>
          <cell r="F21">
            <v>3947.84</v>
          </cell>
          <cell r="G21">
            <v>543.16</v>
          </cell>
          <cell r="H21">
            <v>54669.42</v>
          </cell>
          <cell r="I21">
            <v>54669.42</v>
          </cell>
          <cell r="J21">
            <v>0</v>
          </cell>
        </row>
        <row r="22">
          <cell r="A22" t="str">
            <v>6211076056</v>
          </cell>
          <cell r="B22">
            <v>62110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6211076070</v>
          </cell>
          <cell r="B23">
            <v>62110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6211076091</v>
          </cell>
          <cell r="B24">
            <v>62110</v>
          </cell>
          <cell r="C24">
            <v>76091</v>
          </cell>
          <cell r="D24" t="str">
            <v>Parking Maintenance</v>
          </cell>
          <cell r="E24">
            <v>3384.25</v>
          </cell>
          <cell r="F24">
            <v>3455.65</v>
          </cell>
          <cell r="G24">
            <v>-71.400000000000105</v>
          </cell>
          <cell r="H24">
            <v>55126.69</v>
          </cell>
          <cell r="I24">
            <v>55126.69</v>
          </cell>
          <cell r="J24">
            <v>0</v>
          </cell>
        </row>
        <row r="25">
          <cell r="A25" t="str">
            <v>6211077000</v>
          </cell>
          <cell r="B25">
            <v>62110</v>
          </cell>
          <cell r="C25">
            <v>77000</v>
          </cell>
          <cell r="D25" t="str">
            <v>Grounds Maintenance</v>
          </cell>
          <cell r="E25">
            <v>793.93</v>
          </cell>
          <cell r="F25">
            <v>9614.1299999999992</v>
          </cell>
          <cell r="G25">
            <v>-8820.2000000000007</v>
          </cell>
          <cell r="H25">
            <v>62302.97</v>
          </cell>
          <cell r="I25">
            <v>62302.97</v>
          </cell>
          <cell r="J25">
            <v>0</v>
          </cell>
        </row>
        <row r="26">
          <cell r="A26" t="str">
            <v>6211077053</v>
          </cell>
          <cell r="B26">
            <v>62110</v>
          </cell>
          <cell r="C26">
            <v>77053</v>
          </cell>
          <cell r="D26" t="str">
            <v>Landscaping</v>
          </cell>
          <cell r="E26">
            <v>1275</v>
          </cell>
          <cell r="F26">
            <v>2660.27</v>
          </cell>
          <cell r="G26">
            <v>-1385.27</v>
          </cell>
          <cell r="H26">
            <v>42474.71</v>
          </cell>
          <cell r="I26">
            <v>42474.71</v>
          </cell>
          <cell r="J26">
            <v>0</v>
          </cell>
        </row>
        <row r="27">
          <cell r="A27" t="str">
            <v>6211078020</v>
          </cell>
          <cell r="B27">
            <v>62110</v>
          </cell>
          <cell r="C27">
            <v>78020</v>
          </cell>
          <cell r="D27" t="str">
            <v>Amortized CAM Exp</v>
          </cell>
          <cell r="E27">
            <v>1571.08</v>
          </cell>
          <cell r="F27">
            <v>2513.92</v>
          </cell>
          <cell r="G27">
            <v>-942.84</v>
          </cell>
          <cell r="H27">
            <v>30167</v>
          </cell>
          <cell r="I27">
            <v>30167</v>
          </cell>
          <cell r="J27">
            <v>0</v>
          </cell>
        </row>
        <row r="28">
          <cell r="A28" t="str">
            <v>6211084264</v>
          </cell>
          <cell r="B28">
            <v>62110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6211085555</v>
          </cell>
          <cell r="B29">
            <v>62110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6211085584</v>
          </cell>
          <cell r="B30">
            <v>62110</v>
          </cell>
          <cell r="C30">
            <v>85584</v>
          </cell>
          <cell r="D30" t="str">
            <v>Bldg Admin-Office Costs</v>
          </cell>
          <cell r="E30">
            <v>694.05</v>
          </cell>
          <cell r="F30">
            <v>1069.5</v>
          </cell>
          <cell r="G30">
            <v>-375.45</v>
          </cell>
          <cell r="H30">
            <v>12834</v>
          </cell>
          <cell r="I30">
            <v>12834</v>
          </cell>
          <cell r="J30">
            <v>0</v>
          </cell>
        </row>
        <row r="31">
          <cell r="A31" t="str">
            <v>6211085582</v>
          </cell>
          <cell r="B31">
            <v>62110</v>
          </cell>
          <cell r="C31">
            <v>85582</v>
          </cell>
          <cell r="D31" t="str">
            <v>Bldg Admin-Salaries</v>
          </cell>
          <cell r="E31">
            <v>6035.79</v>
          </cell>
          <cell r="F31">
            <v>6019.83</v>
          </cell>
          <cell r="G31">
            <v>15.96</v>
          </cell>
          <cell r="H31">
            <v>77000.3</v>
          </cell>
          <cell r="I31">
            <v>77000.3</v>
          </cell>
          <cell r="J31">
            <v>0</v>
          </cell>
        </row>
        <row r="32">
          <cell r="A32" t="str">
            <v>6211086564</v>
          </cell>
          <cell r="B32">
            <v>62110</v>
          </cell>
          <cell r="C32">
            <v>86564</v>
          </cell>
          <cell r="D32" t="str">
            <v>Insurance</v>
          </cell>
          <cell r="E32">
            <v>3289</v>
          </cell>
          <cell r="F32">
            <v>3288.83</v>
          </cell>
          <cell r="G32">
            <v>0.17000000000007301</v>
          </cell>
          <cell r="H32">
            <v>39466</v>
          </cell>
          <cell r="I32">
            <v>39466</v>
          </cell>
          <cell r="J32">
            <v>0</v>
          </cell>
        </row>
        <row r="33">
          <cell r="A33" t="str">
            <v>6211088846</v>
          </cell>
          <cell r="B33">
            <v>62110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6211088890</v>
          </cell>
          <cell r="B34">
            <v>62110</v>
          </cell>
          <cell r="C34">
            <v>88890</v>
          </cell>
          <cell r="D34" t="str">
            <v>Security/Safety</v>
          </cell>
          <cell r="E34">
            <v>0</v>
          </cell>
          <cell r="F34">
            <v>877</v>
          </cell>
          <cell r="G34">
            <v>-877</v>
          </cell>
          <cell r="H34">
            <v>10524</v>
          </cell>
          <cell r="I34">
            <v>10524</v>
          </cell>
          <cell r="J34">
            <v>0</v>
          </cell>
        </row>
        <row r="35">
          <cell r="A35" t="str">
            <v>6211089775</v>
          </cell>
          <cell r="B35">
            <v>62110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6211089729</v>
          </cell>
          <cell r="B36">
            <v>62110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6211089786</v>
          </cell>
          <cell r="B37">
            <v>62110</v>
          </cell>
          <cell r="C37">
            <v>89786</v>
          </cell>
          <cell r="D37" t="str">
            <v>Property Tax Exp</v>
          </cell>
          <cell r="E37">
            <v>9940.58</v>
          </cell>
          <cell r="F37">
            <v>9940.58</v>
          </cell>
          <cell r="G37">
            <v>0</v>
          </cell>
          <cell r="H37">
            <v>119287</v>
          </cell>
          <cell r="I37">
            <v>119287</v>
          </cell>
          <cell r="J37">
            <v>0</v>
          </cell>
        </row>
        <row r="38">
          <cell r="A38" t="str">
            <v>6211071040</v>
          </cell>
          <cell r="B38">
            <v>62110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6211072701</v>
          </cell>
          <cell r="B39">
            <v>62110</v>
          </cell>
          <cell r="C39">
            <v>72701</v>
          </cell>
          <cell r="D39" t="str">
            <v>Utilities</v>
          </cell>
          <cell r="E39">
            <v>27.69</v>
          </cell>
          <cell r="F39">
            <v>0</v>
          </cell>
          <cell r="G39">
            <v>27.69</v>
          </cell>
          <cell r="H39">
            <v>88.42</v>
          </cell>
          <cell r="I39">
            <v>88.42</v>
          </cell>
          <cell r="J39">
            <v>0</v>
          </cell>
        </row>
        <row r="40">
          <cell r="A40" t="str">
            <v>6211072855</v>
          </cell>
          <cell r="B40">
            <v>62110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6211072870</v>
          </cell>
          <cell r="B41">
            <v>62110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6211076010</v>
          </cell>
          <cell r="B42">
            <v>62110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206</v>
          </cell>
          <cell r="I42">
            <v>206</v>
          </cell>
          <cell r="J42">
            <v>0</v>
          </cell>
        </row>
        <row r="43">
          <cell r="A43" t="str">
            <v>6211076040</v>
          </cell>
          <cell r="B43">
            <v>62110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6211076051</v>
          </cell>
          <cell r="B44">
            <v>62110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6211076054</v>
          </cell>
          <cell r="B45">
            <v>62110</v>
          </cell>
          <cell r="C45">
            <v>76054</v>
          </cell>
          <cell r="D45" t="str">
            <v>Bldg Maintenance &amp; Repair</v>
          </cell>
          <cell r="E45">
            <v>158.02000000000001</v>
          </cell>
          <cell r="F45">
            <v>25000</v>
          </cell>
          <cell r="G45">
            <v>-24841.98</v>
          </cell>
          <cell r="H45">
            <v>25011.93</v>
          </cell>
          <cell r="I45">
            <v>25011.93</v>
          </cell>
          <cell r="J45">
            <v>0</v>
          </cell>
        </row>
        <row r="46">
          <cell r="A46" t="str">
            <v>6211076060</v>
          </cell>
          <cell r="B46">
            <v>62110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6211076071</v>
          </cell>
          <cell r="B47">
            <v>62110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6211076090</v>
          </cell>
          <cell r="B48">
            <v>62110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6211077001</v>
          </cell>
          <cell r="B49">
            <v>62110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6211077022</v>
          </cell>
          <cell r="B50">
            <v>62110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6211084200</v>
          </cell>
          <cell r="B51">
            <v>62110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6211084240</v>
          </cell>
          <cell r="B52">
            <v>62110</v>
          </cell>
          <cell r="C52">
            <v>84240</v>
          </cell>
          <cell r="D52" t="str">
            <v>Marketing Leasing</v>
          </cell>
          <cell r="E52">
            <v>20.93</v>
          </cell>
          <cell r="F52">
            <v>255.08</v>
          </cell>
          <cell r="G52">
            <v>-234.15</v>
          </cell>
          <cell r="H52">
            <v>3061</v>
          </cell>
          <cell r="I52">
            <v>3061</v>
          </cell>
          <cell r="J52">
            <v>0</v>
          </cell>
        </row>
        <row r="53">
          <cell r="A53" t="str">
            <v>6211084242</v>
          </cell>
          <cell r="B53">
            <v>62110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6211084243</v>
          </cell>
          <cell r="B54">
            <v>62110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6211084244</v>
          </cell>
          <cell r="B55">
            <v>62110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6211084265</v>
          </cell>
          <cell r="B56">
            <v>62110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6211088037</v>
          </cell>
          <cell r="B57">
            <v>62110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6211085016</v>
          </cell>
          <cell r="B58">
            <v>62110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0</v>
          </cell>
          <cell r="G58">
            <v>0</v>
          </cell>
          <cell r="H58">
            <v>3772.89</v>
          </cell>
          <cell r="I58">
            <v>3772.89</v>
          </cell>
          <cell r="J58">
            <v>0</v>
          </cell>
        </row>
        <row r="59">
          <cell r="A59" t="str">
            <v>6211085022</v>
          </cell>
          <cell r="B59">
            <v>62110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3131.56</v>
          </cell>
          <cell r="I59">
            <v>3131.56</v>
          </cell>
          <cell r="J59">
            <v>0</v>
          </cell>
        </row>
        <row r="60">
          <cell r="A60" t="str">
            <v>6211085065</v>
          </cell>
          <cell r="B60">
            <v>62110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6211085500</v>
          </cell>
          <cell r="B61">
            <v>62110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551.04999999999995</v>
          </cell>
          <cell r="I61">
            <v>551.04999999999995</v>
          </cell>
          <cell r="J61">
            <v>0</v>
          </cell>
        </row>
        <row r="62">
          <cell r="A62" t="str">
            <v>6211085566</v>
          </cell>
          <cell r="B62">
            <v>62110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6211085581</v>
          </cell>
          <cell r="B63">
            <v>62110</v>
          </cell>
          <cell r="C63">
            <v>85581</v>
          </cell>
          <cell r="D63" t="str">
            <v>Bldg Admin- Salaries</v>
          </cell>
          <cell r="E63">
            <v>5258.93</v>
          </cell>
          <cell r="F63">
            <v>5255.08</v>
          </cell>
          <cell r="G63">
            <v>3.8500000000003598</v>
          </cell>
          <cell r="H63">
            <v>65951.8</v>
          </cell>
          <cell r="I63">
            <v>65951.8</v>
          </cell>
          <cell r="J63">
            <v>0</v>
          </cell>
        </row>
        <row r="64">
          <cell r="A64" t="str">
            <v>6211085583</v>
          </cell>
          <cell r="B64">
            <v>62110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6211085530</v>
          </cell>
          <cell r="B65">
            <v>62110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6211086012</v>
          </cell>
          <cell r="B66">
            <v>62110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6211086037</v>
          </cell>
          <cell r="B67">
            <v>62110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6211083050</v>
          </cell>
          <cell r="B68">
            <v>62110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6211086510</v>
          </cell>
          <cell r="B69">
            <v>62110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6211086537</v>
          </cell>
          <cell r="B70">
            <v>62110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6211086566</v>
          </cell>
          <cell r="B71">
            <v>62110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6211086955</v>
          </cell>
          <cell r="B72">
            <v>62110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6211086985</v>
          </cell>
          <cell r="B73">
            <v>62110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6211086880</v>
          </cell>
          <cell r="B74">
            <v>62110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6211088710</v>
          </cell>
          <cell r="B75">
            <v>62110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0.08</v>
          </cell>
          <cell r="G75">
            <v>-0.08</v>
          </cell>
          <cell r="H75">
            <v>34800.639999999999</v>
          </cell>
          <cell r="I75">
            <v>34800.639999999999</v>
          </cell>
          <cell r="J75">
            <v>0</v>
          </cell>
        </row>
        <row r="76">
          <cell r="A76" t="str">
            <v>6211088711</v>
          </cell>
          <cell r="B76">
            <v>62110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6211088785</v>
          </cell>
          <cell r="B77">
            <v>62110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6211088847</v>
          </cell>
          <cell r="B78">
            <v>62110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6211088866</v>
          </cell>
          <cell r="B79">
            <v>62110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6211088870</v>
          </cell>
          <cell r="B80">
            <v>62110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6211088889</v>
          </cell>
          <cell r="B81">
            <v>62110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6211089776</v>
          </cell>
          <cell r="B82">
            <v>62110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6211089787</v>
          </cell>
          <cell r="B83">
            <v>62110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6211089510</v>
          </cell>
          <cell r="B84">
            <v>62110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6211089511</v>
          </cell>
          <cell r="B85">
            <v>62110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6211089512</v>
          </cell>
          <cell r="B86">
            <v>62110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6211089528</v>
          </cell>
          <cell r="B87">
            <v>62110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6211089529</v>
          </cell>
          <cell r="B88">
            <v>62110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6211089567</v>
          </cell>
          <cell r="B89">
            <v>62110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6211085058</v>
          </cell>
          <cell r="B90">
            <v>62110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6211086513</v>
          </cell>
          <cell r="B91">
            <v>62110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371.4</v>
          </cell>
          <cell r="G91">
            <v>-371.4</v>
          </cell>
          <cell r="H91">
            <v>6382.19</v>
          </cell>
          <cell r="I91">
            <v>6382.19</v>
          </cell>
          <cell r="J91">
            <v>0</v>
          </cell>
        </row>
        <row r="92">
          <cell r="A92" t="str">
            <v>6211086519</v>
          </cell>
          <cell r="B92">
            <v>62110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6211088770</v>
          </cell>
          <cell r="B93">
            <v>62110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6211088862</v>
          </cell>
          <cell r="B94">
            <v>62110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6211088874</v>
          </cell>
          <cell r="B95">
            <v>62110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6211089910</v>
          </cell>
          <cell r="B96">
            <v>62110</v>
          </cell>
          <cell r="C96">
            <v>89910</v>
          </cell>
          <cell r="D96" t="str">
            <v>Depreciation</v>
          </cell>
          <cell r="E96">
            <v>0</v>
          </cell>
          <cell r="F96">
            <v>29906.39</v>
          </cell>
          <cell r="G96">
            <v>-29906.39</v>
          </cell>
          <cell r="H96">
            <v>359259.05</v>
          </cell>
          <cell r="I96">
            <v>359259.05</v>
          </cell>
          <cell r="J96">
            <v>0</v>
          </cell>
        </row>
        <row r="97">
          <cell r="A97" t="str">
            <v>6211089548</v>
          </cell>
          <cell r="B97">
            <v>62110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6212041010</v>
          </cell>
          <cell r="B98">
            <v>62120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6212041040</v>
          </cell>
          <cell r="B99">
            <v>62120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6212041050</v>
          </cell>
          <cell r="B100">
            <v>62120</v>
          </cell>
          <cell r="C100">
            <v>41050</v>
          </cell>
          <cell r="D100" t="str">
            <v>Rental Income - Fixed</v>
          </cell>
          <cell r="E100">
            <v>-118587.45</v>
          </cell>
          <cell r="F100">
            <v>-117063.13</v>
          </cell>
          <cell r="G100">
            <v>-1524.3199999999899</v>
          </cell>
          <cell r="H100">
            <v>-1418310.18</v>
          </cell>
          <cell r="I100">
            <v>-1418310.18</v>
          </cell>
          <cell r="J100">
            <v>0</v>
          </cell>
        </row>
        <row r="101">
          <cell r="A101" t="str">
            <v>6212041074</v>
          </cell>
          <cell r="B101">
            <v>62120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-49730</v>
          </cell>
          <cell r="I101">
            <v>-49730</v>
          </cell>
          <cell r="J101">
            <v>0</v>
          </cell>
        </row>
        <row r="102">
          <cell r="A102" t="str">
            <v>6212041082</v>
          </cell>
          <cell r="B102">
            <v>62120</v>
          </cell>
          <cell r="C102">
            <v>41082</v>
          </cell>
          <cell r="D102" t="str">
            <v>Rental Income - Operating Exp</v>
          </cell>
          <cell r="E102">
            <v>-25881.3</v>
          </cell>
          <cell r="F102">
            <v>-36651.14</v>
          </cell>
          <cell r="G102">
            <v>10769.84</v>
          </cell>
          <cell r="H102">
            <v>-439813.68</v>
          </cell>
          <cell r="I102">
            <v>-439813.68</v>
          </cell>
          <cell r="J102">
            <v>0</v>
          </cell>
        </row>
        <row r="103">
          <cell r="A103" t="str">
            <v>6212044610</v>
          </cell>
          <cell r="B103">
            <v>62120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6212045071</v>
          </cell>
          <cell r="B104">
            <v>62120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6212045010</v>
          </cell>
          <cell r="B105">
            <v>62120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6212045046</v>
          </cell>
          <cell r="B106">
            <v>62120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6212045070</v>
          </cell>
          <cell r="B107">
            <v>62120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-416.42</v>
          </cell>
          <cell r="I107">
            <v>-416.42</v>
          </cell>
          <cell r="J107">
            <v>0</v>
          </cell>
        </row>
        <row r="108">
          <cell r="A108" t="str">
            <v>6212041060</v>
          </cell>
          <cell r="B108">
            <v>62120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1589.92</v>
          </cell>
          <cell r="G108">
            <v>-1589.92</v>
          </cell>
          <cell r="H108">
            <v>19079</v>
          </cell>
          <cell r="I108">
            <v>19079</v>
          </cell>
          <cell r="J108">
            <v>0</v>
          </cell>
        </row>
        <row r="109">
          <cell r="A109" t="str">
            <v>6212044870</v>
          </cell>
          <cell r="B109">
            <v>62120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6212052542</v>
          </cell>
          <cell r="B110">
            <v>62120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6212072710</v>
          </cell>
          <cell r="B111">
            <v>62120</v>
          </cell>
          <cell r="C111">
            <v>72710</v>
          </cell>
          <cell r="D111" t="str">
            <v>Utilities - Electricity</v>
          </cell>
          <cell r="E111">
            <v>148.04</v>
          </cell>
          <cell r="F111">
            <v>393.17</v>
          </cell>
          <cell r="G111">
            <v>-245.13</v>
          </cell>
          <cell r="H111">
            <v>4718</v>
          </cell>
          <cell r="I111">
            <v>4718</v>
          </cell>
          <cell r="J111">
            <v>0</v>
          </cell>
        </row>
        <row r="112">
          <cell r="A112" t="str">
            <v>6212072740</v>
          </cell>
          <cell r="B112">
            <v>62120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6212072770</v>
          </cell>
          <cell r="B113">
            <v>62120</v>
          </cell>
          <cell r="C113">
            <v>72770</v>
          </cell>
          <cell r="D113" t="str">
            <v>Utilities - Water</v>
          </cell>
          <cell r="E113">
            <v>-6.39</v>
          </cell>
          <cell r="F113">
            <v>553.74</v>
          </cell>
          <cell r="G113">
            <v>-560.13</v>
          </cell>
          <cell r="H113">
            <v>5214.68</v>
          </cell>
          <cell r="I113">
            <v>5214.68</v>
          </cell>
          <cell r="J113">
            <v>0</v>
          </cell>
        </row>
        <row r="114">
          <cell r="A114" t="str">
            <v>6212076000</v>
          </cell>
          <cell r="B114">
            <v>62120</v>
          </cell>
          <cell r="C114">
            <v>76000</v>
          </cell>
          <cell r="D114" t="str">
            <v>Bldg Maintenance &amp; Repair</v>
          </cell>
          <cell r="E114">
            <v>292.44</v>
          </cell>
          <cell r="F114">
            <v>453.2</v>
          </cell>
          <cell r="G114">
            <v>-160.76</v>
          </cell>
          <cell r="H114">
            <v>19710.5</v>
          </cell>
          <cell r="I114">
            <v>19710.5</v>
          </cell>
          <cell r="J114">
            <v>0</v>
          </cell>
        </row>
        <row r="115">
          <cell r="A115" t="str">
            <v>6212076020</v>
          </cell>
          <cell r="B115">
            <v>62120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6212076034</v>
          </cell>
          <cell r="B116">
            <v>62120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6212076050</v>
          </cell>
          <cell r="B117">
            <v>62120</v>
          </cell>
          <cell r="C117">
            <v>76050</v>
          </cell>
          <cell r="D117" t="str">
            <v>Cleaning Expense</v>
          </cell>
          <cell r="E117">
            <v>2729.1</v>
          </cell>
          <cell r="F117">
            <v>1785.89</v>
          </cell>
          <cell r="G117">
            <v>943.21</v>
          </cell>
          <cell r="H117">
            <v>32507.37</v>
          </cell>
          <cell r="I117">
            <v>32507.37</v>
          </cell>
          <cell r="J117">
            <v>0</v>
          </cell>
        </row>
        <row r="118">
          <cell r="A118" t="str">
            <v>6212076056</v>
          </cell>
          <cell r="B118">
            <v>62120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6212076070</v>
          </cell>
          <cell r="B119">
            <v>62120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6212076091</v>
          </cell>
          <cell r="B120">
            <v>62120</v>
          </cell>
          <cell r="C120">
            <v>76091</v>
          </cell>
          <cell r="D120" t="str">
            <v>Parking Maintenance</v>
          </cell>
          <cell r="E120">
            <v>1740</v>
          </cell>
          <cell r="F120">
            <v>1740.7</v>
          </cell>
          <cell r="G120">
            <v>-0.70000000000004503</v>
          </cell>
          <cell r="H120">
            <v>26329.97</v>
          </cell>
          <cell r="I120">
            <v>26329.97</v>
          </cell>
          <cell r="J120">
            <v>0</v>
          </cell>
        </row>
        <row r="121">
          <cell r="A121" t="str">
            <v>6212077000</v>
          </cell>
          <cell r="B121">
            <v>62120</v>
          </cell>
          <cell r="C121">
            <v>77000</v>
          </cell>
          <cell r="D121" t="str">
            <v>Grounds Maintenance</v>
          </cell>
          <cell r="E121">
            <v>2138.91</v>
          </cell>
          <cell r="F121">
            <v>12956.23</v>
          </cell>
          <cell r="G121">
            <v>-10817.32</v>
          </cell>
          <cell r="H121">
            <v>39881.339999999997</v>
          </cell>
          <cell r="I121">
            <v>39881.339999999997</v>
          </cell>
          <cell r="J121">
            <v>0</v>
          </cell>
        </row>
        <row r="122">
          <cell r="A122" t="str">
            <v>6212077053</v>
          </cell>
          <cell r="B122">
            <v>62120</v>
          </cell>
          <cell r="C122">
            <v>77053</v>
          </cell>
          <cell r="D122" t="str">
            <v>Landscaping</v>
          </cell>
          <cell r="E122">
            <v>1250</v>
          </cell>
          <cell r="F122">
            <v>1983.32</v>
          </cell>
          <cell r="G122">
            <v>-733.32</v>
          </cell>
          <cell r="H122">
            <v>43191.05</v>
          </cell>
          <cell r="I122">
            <v>43191.05</v>
          </cell>
          <cell r="J122">
            <v>0</v>
          </cell>
        </row>
        <row r="123">
          <cell r="A123" t="str">
            <v>6212078020</v>
          </cell>
          <cell r="B123">
            <v>62120</v>
          </cell>
          <cell r="C123">
            <v>78020</v>
          </cell>
          <cell r="D123" t="str">
            <v>Amortized CAM Exp</v>
          </cell>
          <cell r="E123">
            <v>1883.33</v>
          </cell>
          <cell r="F123">
            <v>3816.67</v>
          </cell>
          <cell r="G123">
            <v>-1933.34</v>
          </cell>
          <cell r="H123">
            <v>45800</v>
          </cell>
          <cell r="I123">
            <v>45800</v>
          </cell>
          <cell r="J123">
            <v>0</v>
          </cell>
        </row>
        <row r="124">
          <cell r="A124" t="str">
            <v>6212084264</v>
          </cell>
          <cell r="B124">
            <v>62120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6212085555</v>
          </cell>
          <cell r="B125">
            <v>62120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6212085584</v>
          </cell>
          <cell r="B126">
            <v>62120</v>
          </cell>
          <cell r="C126">
            <v>85584</v>
          </cell>
          <cell r="D126" t="str">
            <v>Bldg Admin-Office Costs</v>
          </cell>
          <cell r="E126">
            <v>383.55</v>
          </cell>
          <cell r="F126">
            <v>604.41999999999996</v>
          </cell>
          <cell r="G126">
            <v>-220.87</v>
          </cell>
          <cell r="H126">
            <v>7253</v>
          </cell>
          <cell r="I126">
            <v>7253</v>
          </cell>
          <cell r="J126">
            <v>0</v>
          </cell>
        </row>
        <row r="127">
          <cell r="A127" t="str">
            <v>6212085582</v>
          </cell>
          <cell r="B127">
            <v>62120</v>
          </cell>
          <cell r="C127">
            <v>85582</v>
          </cell>
          <cell r="D127" t="str">
            <v>Bldg Admin-Salaries</v>
          </cell>
          <cell r="E127">
            <v>3506.69</v>
          </cell>
          <cell r="F127">
            <v>3498.08</v>
          </cell>
          <cell r="G127">
            <v>8.6100000000001309</v>
          </cell>
          <cell r="H127">
            <v>44767.8</v>
          </cell>
          <cell r="I127">
            <v>44767.8</v>
          </cell>
          <cell r="J127">
            <v>0</v>
          </cell>
        </row>
        <row r="128">
          <cell r="A128" t="str">
            <v>6212086564</v>
          </cell>
          <cell r="B128">
            <v>62120</v>
          </cell>
          <cell r="C128">
            <v>86564</v>
          </cell>
          <cell r="D128" t="str">
            <v>Insurance</v>
          </cell>
          <cell r="E128">
            <v>1997</v>
          </cell>
          <cell r="F128">
            <v>1997</v>
          </cell>
          <cell r="G128">
            <v>0</v>
          </cell>
          <cell r="H128">
            <v>23969</v>
          </cell>
          <cell r="I128">
            <v>23969</v>
          </cell>
          <cell r="J128">
            <v>0</v>
          </cell>
        </row>
        <row r="129">
          <cell r="A129" t="str">
            <v>6212088846</v>
          </cell>
          <cell r="B129">
            <v>62120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6212088890</v>
          </cell>
          <cell r="B130">
            <v>62120</v>
          </cell>
          <cell r="C130">
            <v>88890</v>
          </cell>
          <cell r="D130" t="str">
            <v>Security/Safety</v>
          </cell>
          <cell r="E130">
            <v>0</v>
          </cell>
          <cell r="F130">
            <v>790.75</v>
          </cell>
          <cell r="G130">
            <v>-790.75</v>
          </cell>
          <cell r="H130">
            <v>15104.75</v>
          </cell>
          <cell r="I130">
            <v>15104.75</v>
          </cell>
          <cell r="J130">
            <v>0</v>
          </cell>
        </row>
        <row r="131">
          <cell r="A131" t="str">
            <v>6212089775</v>
          </cell>
          <cell r="B131">
            <v>62120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6212089729</v>
          </cell>
          <cell r="B132">
            <v>62120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6212089786</v>
          </cell>
          <cell r="B133">
            <v>62120</v>
          </cell>
          <cell r="C133">
            <v>89786</v>
          </cell>
          <cell r="D133" t="str">
            <v>Property Tax Exp</v>
          </cell>
          <cell r="E133">
            <v>7108.17</v>
          </cell>
          <cell r="F133">
            <v>7108.17</v>
          </cell>
          <cell r="G133">
            <v>0</v>
          </cell>
          <cell r="H133">
            <v>85298</v>
          </cell>
          <cell r="I133">
            <v>85298</v>
          </cell>
          <cell r="J133">
            <v>0</v>
          </cell>
        </row>
        <row r="134">
          <cell r="A134" t="str">
            <v>6212071040</v>
          </cell>
          <cell r="B134">
            <v>62120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6212072701</v>
          </cell>
          <cell r="B135">
            <v>62120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256.3</v>
          </cell>
          <cell r="I135">
            <v>256.3</v>
          </cell>
          <cell r="J135">
            <v>0</v>
          </cell>
        </row>
        <row r="136">
          <cell r="A136" t="str">
            <v>6212072855</v>
          </cell>
          <cell r="B136">
            <v>62120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6212072870</v>
          </cell>
          <cell r="B137">
            <v>62120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6212076010</v>
          </cell>
          <cell r="B138">
            <v>62120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103</v>
          </cell>
          <cell r="I138">
            <v>103</v>
          </cell>
          <cell r="J138">
            <v>0</v>
          </cell>
        </row>
        <row r="139">
          <cell r="A139" t="str">
            <v>6212076040</v>
          </cell>
          <cell r="B139">
            <v>62120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6212076051</v>
          </cell>
          <cell r="B140">
            <v>62120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6212076054</v>
          </cell>
          <cell r="B141">
            <v>62120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6212076060</v>
          </cell>
          <cell r="B142">
            <v>62120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6212076071</v>
          </cell>
          <cell r="B143">
            <v>62120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10038</v>
          </cell>
          <cell r="I143">
            <v>10038</v>
          </cell>
          <cell r="J143">
            <v>0</v>
          </cell>
        </row>
        <row r="144">
          <cell r="A144" t="str">
            <v>6212076090</v>
          </cell>
          <cell r="B144">
            <v>62120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6212077001</v>
          </cell>
          <cell r="B145">
            <v>62120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6212077022</v>
          </cell>
          <cell r="B146">
            <v>62120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6212084200</v>
          </cell>
          <cell r="B147">
            <v>62120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6212084240</v>
          </cell>
          <cell r="B148">
            <v>62120</v>
          </cell>
          <cell r="C148">
            <v>84240</v>
          </cell>
          <cell r="D148" t="str">
            <v>Marketing Leasing</v>
          </cell>
          <cell r="E148">
            <v>11.57</v>
          </cell>
          <cell r="F148">
            <v>144.16999999999999</v>
          </cell>
          <cell r="G148">
            <v>-132.6</v>
          </cell>
          <cell r="H148">
            <v>1730</v>
          </cell>
          <cell r="I148">
            <v>1730</v>
          </cell>
          <cell r="J148">
            <v>0</v>
          </cell>
        </row>
        <row r="149">
          <cell r="A149" t="str">
            <v>6212084242</v>
          </cell>
          <cell r="B149">
            <v>62120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6212084243</v>
          </cell>
          <cell r="B150">
            <v>62120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6212084244</v>
          </cell>
          <cell r="B151">
            <v>62120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6212084265</v>
          </cell>
          <cell r="B152">
            <v>62120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6212088037</v>
          </cell>
          <cell r="B153">
            <v>62120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6212085016</v>
          </cell>
          <cell r="B154">
            <v>62120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0</v>
          </cell>
          <cell r="G154">
            <v>0</v>
          </cell>
          <cell r="H154">
            <v>515</v>
          </cell>
          <cell r="I154">
            <v>515</v>
          </cell>
          <cell r="J154">
            <v>0</v>
          </cell>
        </row>
        <row r="155">
          <cell r="A155" t="str">
            <v>6212085022</v>
          </cell>
          <cell r="B155">
            <v>62120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2731.92</v>
          </cell>
          <cell r="I155">
            <v>2731.92</v>
          </cell>
          <cell r="J155">
            <v>0</v>
          </cell>
        </row>
        <row r="156">
          <cell r="A156" t="str">
            <v>6212085065</v>
          </cell>
          <cell r="B156">
            <v>62120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6212085500</v>
          </cell>
          <cell r="B157">
            <v>62120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206</v>
          </cell>
          <cell r="I157">
            <v>206</v>
          </cell>
          <cell r="J157">
            <v>0</v>
          </cell>
        </row>
        <row r="158">
          <cell r="A158" t="str">
            <v>6212085566</v>
          </cell>
          <cell r="B158">
            <v>62120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6212085581</v>
          </cell>
          <cell r="B159">
            <v>62120</v>
          </cell>
          <cell r="C159">
            <v>85581</v>
          </cell>
          <cell r="D159" t="str">
            <v>Bldg Admin- Salaries</v>
          </cell>
          <cell r="E159">
            <v>2799.16</v>
          </cell>
          <cell r="F159">
            <v>2797.42</v>
          </cell>
          <cell r="G159">
            <v>1.7399999999997799</v>
          </cell>
          <cell r="H159">
            <v>35156.199999999997</v>
          </cell>
          <cell r="I159">
            <v>35156.199999999997</v>
          </cell>
          <cell r="J159">
            <v>0</v>
          </cell>
        </row>
        <row r="160">
          <cell r="A160" t="str">
            <v>6212085583</v>
          </cell>
          <cell r="B160">
            <v>62120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6212085530</v>
          </cell>
          <cell r="B161">
            <v>62120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6212086012</v>
          </cell>
          <cell r="B162">
            <v>62120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6212086037</v>
          </cell>
          <cell r="B163">
            <v>62120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6212083050</v>
          </cell>
          <cell r="B164">
            <v>62120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6212086510</v>
          </cell>
          <cell r="B165">
            <v>62120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6212086537</v>
          </cell>
          <cell r="B166">
            <v>62120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6212086566</v>
          </cell>
          <cell r="B167">
            <v>62120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6212086955</v>
          </cell>
          <cell r="B168">
            <v>62120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6212086985</v>
          </cell>
          <cell r="B169">
            <v>62120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6212086880</v>
          </cell>
          <cell r="B170">
            <v>62120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6212088710</v>
          </cell>
          <cell r="B171">
            <v>62120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19084</v>
          </cell>
          <cell r="I171">
            <v>19084</v>
          </cell>
          <cell r="J171">
            <v>0</v>
          </cell>
        </row>
        <row r="172">
          <cell r="A172" t="str">
            <v>6212088711</v>
          </cell>
          <cell r="B172">
            <v>62120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6212088785</v>
          </cell>
          <cell r="B173">
            <v>62120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6212088847</v>
          </cell>
          <cell r="B174">
            <v>62120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6212088866</v>
          </cell>
          <cell r="B175">
            <v>62120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6212088870</v>
          </cell>
          <cell r="B176">
            <v>62120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6212088889</v>
          </cell>
          <cell r="B177">
            <v>62120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6212089776</v>
          </cell>
          <cell r="B178">
            <v>62120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6212089787</v>
          </cell>
          <cell r="B179">
            <v>62120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6212089510</v>
          </cell>
          <cell r="B180">
            <v>62120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6212089511</v>
          </cell>
          <cell r="B181">
            <v>62120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6212089512</v>
          </cell>
          <cell r="B182">
            <v>62120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6212089528</v>
          </cell>
          <cell r="B183">
            <v>62120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6212089529</v>
          </cell>
          <cell r="B184">
            <v>62120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6212089567</v>
          </cell>
          <cell r="B185">
            <v>62120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6212085058</v>
          </cell>
          <cell r="B186">
            <v>62120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6212086513</v>
          </cell>
          <cell r="B187">
            <v>62120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322.62</v>
          </cell>
          <cell r="I187">
            <v>322.62</v>
          </cell>
          <cell r="J187">
            <v>0</v>
          </cell>
        </row>
        <row r="188">
          <cell r="A188" t="str">
            <v>6212086519</v>
          </cell>
          <cell r="B188">
            <v>62120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6212088770</v>
          </cell>
          <cell r="B189">
            <v>62120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6212088862</v>
          </cell>
          <cell r="B190">
            <v>62120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6212088874</v>
          </cell>
          <cell r="B191">
            <v>62120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6212089910</v>
          </cell>
          <cell r="B192">
            <v>62120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9203.68</v>
          </cell>
          <cell r="G192">
            <v>-9203.68</v>
          </cell>
          <cell r="H192">
            <v>110610.92</v>
          </cell>
          <cell r="I192">
            <v>110610.92</v>
          </cell>
          <cell r="J192">
            <v>0</v>
          </cell>
        </row>
        <row r="193">
          <cell r="A193" t="str">
            <v>6212089548</v>
          </cell>
          <cell r="B193">
            <v>62120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6213541010</v>
          </cell>
          <cell r="B194">
            <v>62135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6213541040</v>
          </cell>
          <cell r="B195">
            <v>62135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6213541050</v>
          </cell>
          <cell r="B196">
            <v>62135</v>
          </cell>
          <cell r="C196">
            <v>41050</v>
          </cell>
          <cell r="D196" t="str">
            <v>Rental Income - Fixed</v>
          </cell>
          <cell r="E196">
            <v>-264821.88</v>
          </cell>
          <cell r="F196">
            <v>-266282.21999999997</v>
          </cell>
          <cell r="G196">
            <v>1460.3399999999699</v>
          </cell>
          <cell r="H196">
            <v>-1637072.34</v>
          </cell>
          <cell r="I196">
            <v>-1637072.34</v>
          </cell>
          <cell r="J196">
            <v>0</v>
          </cell>
        </row>
        <row r="197">
          <cell r="A197" t="str">
            <v>6213541074</v>
          </cell>
          <cell r="B197">
            <v>62135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6213541082</v>
          </cell>
          <cell r="B198">
            <v>62135</v>
          </cell>
          <cell r="C198">
            <v>41082</v>
          </cell>
          <cell r="D198" t="str">
            <v>Rental Income - Operating Exp</v>
          </cell>
          <cell r="E198">
            <v>-63835.86</v>
          </cell>
          <cell r="F198">
            <v>-72781.02</v>
          </cell>
          <cell r="G198">
            <v>8945.16</v>
          </cell>
          <cell r="H198">
            <v>-436686.12</v>
          </cell>
          <cell r="I198">
            <v>-436686.12</v>
          </cell>
          <cell r="J198">
            <v>0</v>
          </cell>
        </row>
        <row r="199">
          <cell r="A199" t="str">
            <v>6213544610</v>
          </cell>
          <cell r="B199">
            <v>62135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6213545071</v>
          </cell>
          <cell r="B200">
            <v>62135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6213545010</v>
          </cell>
          <cell r="B201">
            <v>62135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6213545046</v>
          </cell>
          <cell r="B202">
            <v>62135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6213545070</v>
          </cell>
          <cell r="B203">
            <v>62135</v>
          </cell>
          <cell r="C203">
            <v>45070</v>
          </cell>
          <cell r="D203" t="str">
            <v>Other Income</v>
          </cell>
          <cell r="E203">
            <v>0</v>
          </cell>
          <cell r="F203">
            <v>0</v>
          </cell>
          <cell r="G203">
            <v>0</v>
          </cell>
          <cell r="H203">
            <v>-103</v>
          </cell>
          <cell r="I203">
            <v>-103</v>
          </cell>
          <cell r="J203">
            <v>0</v>
          </cell>
        </row>
        <row r="204">
          <cell r="A204" t="str">
            <v>6213541060</v>
          </cell>
          <cell r="B204">
            <v>62135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5184.34</v>
          </cell>
          <cell r="G204">
            <v>-5184.34</v>
          </cell>
          <cell r="H204">
            <v>31106</v>
          </cell>
          <cell r="I204">
            <v>31106</v>
          </cell>
          <cell r="J204">
            <v>0</v>
          </cell>
        </row>
        <row r="205">
          <cell r="A205" t="str">
            <v>6213544870</v>
          </cell>
          <cell r="B205">
            <v>62135</v>
          </cell>
          <cell r="C205">
            <v>44870</v>
          </cell>
          <cell r="D205" t="str">
            <v>Late Fees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6213552542</v>
          </cell>
          <cell r="B206">
            <v>62135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6213572710</v>
          </cell>
          <cell r="B207">
            <v>62135</v>
          </cell>
          <cell r="C207">
            <v>72710</v>
          </cell>
          <cell r="D207" t="str">
            <v>Utilities - Electricity</v>
          </cell>
          <cell r="E207">
            <v>2220.7399999999998</v>
          </cell>
          <cell r="F207">
            <v>2279.9299999999998</v>
          </cell>
          <cell r="G207">
            <v>-59.190000000000097</v>
          </cell>
          <cell r="H207">
            <v>18729.75</v>
          </cell>
          <cell r="I207">
            <v>18729.75</v>
          </cell>
          <cell r="J207">
            <v>0</v>
          </cell>
        </row>
        <row r="208">
          <cell r="A208" t="str">
            <v>6213572740</v>
          </cell>
          <cell r="B208">
            <v>62135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6213572770</v>
          </cell>
          <cell r="B209">
            <v>62135</v>
          </cell>
          <cell r="C209">
            <v>72770</v>
          </cell>
          <cell r="D209" t="str">
            <v>Utilities - Water</v>
          </cell>
          <cell r="E209">
            <v>2840.63</v>
          </cell>
          <cell r="F209">
            <v>127.52</v>
          </cell>
          <cell r="G209">
            <v>2713.11</v>
          </cell>
          <cell r="H209">
            <v>9675.6</v>
          </cell>
          <cell r="I209">
            <v>9675.6</v>
          </cell>
          <cell r="J209">
            <v>0</v>
          </cell>
        </row>
        <row r="210">
          <cell r="A210" t="str">
            <v>6213576000</v>
          </cell>
          <cell r="B210">
            <v>62135</v>
          </cell>
          <cell r="C210">
            <v>76000</v>
          </cell>
          <cell r="D210" t="str">
            <v>Bldg Maintenance &amp; Repair</v>
          </cell>
          <cell r="E210">
            <v>1152.8699999999999</v>
          </cell>
          <cell r="F210">
            <v>3058.31</v>
          </cell>
          <cell r="G210">
            <v>-1905.44</v>
          </cell>
          <cell r="H210">
            <v>39163.660000000003</v>
          </cell>
          <cell r="I210">
            <v>39163.660000000003</v>
          </cell>
          <cell r="J210">
            <v>0</v>
          </cell>
        </row>
        <row r="211">
          <cell r="A211" t="str">
            <v>6213576020</v>
          </cell>
          <cell r="B211">
            <v>62135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6213576034</v>
          </cell>
          <cell r="B212">
            <v>62135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6213576050</v>
          </cell>
          <cell r="B213">
            <v>62135</v>
          </cell>
          <cell r="C213">
            <v>76050</v>
          </cell>
          <cell r="D213" t="str">
            <v>Cleaning Expense</v>
          </cell>
          <cell r="E213">
            <v>4960</v>
          </cell>
          <cell r="F213">
            <v>5250.74</v>
          </cell>
          <cell r="G213">
            <v>-290.74</v>
          </cell>
          <cell r="H213">
            <v>31428.16</v>
          </cell>
          <cell r="I213">
            <v>31428.16</v>
          </cell>
          <cell r="J213">
            <v>0</v>
          </cell>
        </row>
        <row r="214">
          <cell r="A214" t="str">
            <v>6213576056</v>
          </cell>
          <cell r="B214">
            <v>62135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6213576070</v>
          </cell>
          <cell r="B215">
            <v>62135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6213576091</v>
          </cell>
          <cell r="B216">
            <v>62135</v>
          </cell>
          <cell r="C216">
            <v>76091</v>
          </cell>
          <cell r="D216" t="str">
            <v>Parking Maintenance</v>
          </cell>
          <cell r="E216">
            <v>4610</v>
          </cell>
          <cell r="F216">
            <v>4655.6000000000004</v>
          </cell>
          <cell r="G216">
            <v>-45.600000000000399</v>
          </cell>
          <cell r="H216">
            <v>40763.08</v>
          </cell>
          <cell r="I216">
            <v>40763.08</v>
          </cell>
          <cell r="J216">
            <v>0</v>
          </cell>
        </row>
        <row r="217">
          <cell r="A217" t="str">
            <v>6213577000</v>
          </cell>
          <cell r="B217">
            <v>62135</v>
          </cell>
          <cell r="C217">
            <v>77000</v>
          </cell>
          <cell r="D217" t="str">
            <v>Grounds Maintenance</v>
          </cell>
          <cell r="E217">
            <v>2418.21</v>
          </cell>
          <cell r="F217">
            <v>7495.92</v>
          </cell>
          <cell r="G217">
            <v>-5077.71</v>
          </cell>
          <cell r="H217">
            <v>51270.38</v>
          </cell>
          <cell r="I217">
            <v>51270.38</v>
          </cell>
          <cell r="J217">
            <v>0</v>
          </cell>
        </row>
        <row r="218">
          <cell r="A218" t="str">
            <v>6213577053</v>
          </cell>
          <cell r="B218">
            <v>62135</v>
          </cell>
          <cell r="C218">
            <v>77053</v>
          </cell>
          <cell r="D218" t="str">
            <v>Landscaping</v>
          </cell>
          <cell r="E218">
            <v>5772</v>
          </cell>
          <cell r="F218">
            <v>5618.52</v>
          </cell>
          <cell r="G218">
            <v>153.47999999999999</v>
          </cell>
          <cell r="H218">
            <v>40894.94</v>
          </cell>
          <cell r="I218">
            <v>40894.94</v>
          </cell>
          <cell r="J218">
            <v>0</v>
          </cell>
        </row>
        <row r="219">
          <cell r="A219" t="str">
            <v>6213578020</v>
          </cell>
          <cell r="B219">
            <v>62135</v>
          </cell>
          <cell r="C219">
            <v>78020</v>
          </cell>
          <cell r="D219" t="str">
            <v>Amortized CAM Exp</v>
          </cell>
          <cell r="E219">
            <v>3937.1</v>
          </cell>
          <cell r="F219">
            <v>3046.5</v>
          </cell>
          <cell r="G219">
            <v>890.6</v>
          </cell>
          <cell r="H219">
            <v>18279</v>
          </cell>
          <cell r="I219">
            <v>18279</v>
          </cell>
          <cell r="J219">
            <v>0</v>
          </cell>
        </row>
        <row r="220">
          <cell r="A220" t="str">
            <v>6213584264</v>
          </cell>
          <cell r="B220">
            <v>62135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6213585555</v>
          </cell>
          <cell r="B221">
            <v>62135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6213585584</v>
          </cell>
          <cell r="B222">
            <v>62135</v>
          </cell>
          <cell r="C222">
            <v>85584</v>
          </cell>
          <cell r="D222" t="str">
            <v>Bldg Admin-Office Costs</v>
          </cell>
          <cell r="E222">
            <v>1346.58</v>
          </cell>
          <cell r="F222">
            <v>1346.16</v>
          </cell>
          <cell r="G222">
            <v>0.419999999999845</v>
          </cell>
          <cell r="H222">
            <v>8077</v>
          </cell>
          <cell r="I222">
            <v>8077</v>
          </cell>
          <cell r="J222">
            <v>0</v>
          </cell>
        </row>
        <row r="223">
          <cell r="A223" t="str">
            <v>6213585582</v>
          </cell>
          <cell r="B223">
            <v>62135</v>
          </cell>
          <cell r="C223">
            <v>85582</v>
          </cell>
          <cell r="D223" t="str">
            <v>Bldg Admin-Salaries</v>
          </cell>
          <cell r="E223">
            <v>7577.49</v>
          </cell>
          <cell r="F223">
            <v>7577</v>
          </cell>
          <cell r="G223">
            <v>0.489999999999782</v>
          </cell>
          <cell r="H223">
            <v>48460</v>
          </cell>
          <cell r="I223">
            <v>48460</v>
          </cell>
          <cell r="J223">
            <v>0</v>
          </cell>
        </row>
        <row r="224">
          <cell r="A224" t="str">
            <v>6213586564</v>
          </cell>
          <cell r="B224">
            <v>62135</v>
          </cell>
          <cell r="C224">
            <v>86564</v>
          </cell>
          <cell r="D224" t="str">
            <v>Insurance</v>
          </cell>
          <cell r="E224">
            <v>4518</v>
          </cell>
          <cell r="F224">
            <v>4518</v>
          </cell>
          <cell r="G224">
            <v>0</v>
          </cell>
          <cell r="H224">
            <v>27108</v>
          </cell>
          <cell r="I224">
            <v>27108</v>
          </cell>
          <cell r="J224">
            <v>0</v>
          </cell>
        </row>
        <row r="225">
          <cell r="A225" t="str">
            <v>6213588846</v>
          </cell>
          <cell r="B225">
            <v>62135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6213588890</v>
          </cell>
          <cell r="B226">
            <v>62135</v>
          </cell>
          <cell r="C226">
            <v>88890</v>
          </cell>
          <cell r="D226" t="str">
            <v>Security/Safety</v>
          </cell>
          <cell r="E226">
            <v>6015.35</v>
          </cell>
          <cell r="F226">
            <v>502.7</v>
          </cell>
          <cell r="G226">
            <v>5512.65</v>
          </cell>
          <cell r="H226">
            <v>2976.06</v>
          </cell>
          <cell r="I226">
            <v>2976.06</v>
          </cell>
          <cell r="J226">
            <v>0</v>
          </cell>
        </row>
        <row r="227">
          <cell r="A227" t="str">
            <v>6213589775</v>
          </cell>
          <cell r="B227">
            <v>62135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6213589729</v>
          </cell>
          <cell r="B228">
            <v>62135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6213589786</v>
          </cell>
          <cell r="B229">
            <v>62135</v>
          </cell>
          <cell r="C229">
            <v>89786</v>
          </cell>
          <cell r="D229" t="str">
            <v>Property Tax Exp</v>
          </cell>
          <cell r="E229">
            <v>15216.34</v>
          </cell>
          <cell r="F229">
            <v>15216.34</v>
          </cell>
          <cell r="G229">
            <v>0</v>
          </cell>
          <cell r="H229">
            <v>91298</v>
          </cell>
          <cell r="I229">
            <v>91298</v>
          </cell>
          <cell r="J229">
            <v>0</v>
          </cell>
        </row>
        <row r="230">
          <cell r="A230" t="str">
            <v>6213571040</v>
          </cell>
          <cell r="B230">
            <v>62135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6213572701</v>
          </cell>
          <cell r="B231">
            <v>62135</v>
          </cell>
          <cell r="C231">
            <v>72701</v>
          </cell>
          <cell r="D231" t="str">
            <v>Utilities</v>
          </cell>
          <cell r="E231">
            <v>0</v>
          </cell>
          <cell r="F231">
            <v>0</v>
          </cell>
          <cell r="G231">
            <v>0</v>
          </cell>
          <cell r="H231">
            <v>51.5</v>
          </cell>
          <cell r="I231">
            <v>51.5</v>
          </cell>
          <cell r="J231">
            <v>0</v>
          </cell>
        </row>
        <row r="232">
          <cell r="A232" t="str">
            <v>6213572855</v>
          </cell>
          <cell r="B232">
            <v>62135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6213572870</v>
          </cell>
          <cell r="B233">
            <v>62135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6213576010</v>
          </cell>
          <cell r="B234">
            <v>62135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6213576040</v>
          </cell>
          <cell r="B235">
            <v>62135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6213576051</v>
          </cell>
          <cell r="B236">
            <v>62135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6213576054</v>
          </cell>
          <cell r="B237">
            <v>62135</v>
          </cell>
          <cell r="C237">
            <v>76054</v>
          </cell>
          <cell r="D237" t="str">
            <v>Bldg Maintenance &amp; Repair</v>
          </cell>
          <cell r="E237">
            <v>5.35</v>
          </cell>
          <cell r="F237">
            <v>375.13</v>
          </cell>
          <cell r="G237">
            <v>-369.78</v>
          </cell>
          <cell r="H237">
            <v>75837.59</v>
          </cell>
          <cell r="I237">
            <v>75837.59</v>
          </cell>
          <cell r="J237">
            <v>0</v>
          </cell>
        </row>
        <row r="238">
          <cell r="A238" t="str">
            <v>6213576060</v>
          </cell>
          <cell r="B238">
            <v>62135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6213576071</v>
          </cell>
          <cell r="B239">
            <v>62135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6213576090</v>
          </cell>
          <cell r="B240">
            <v>62135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6213577001</v>
          </cell>
          <cell r="B241">
            <v>62135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6213577022</v>
          </cell>
          <cell r="B242">
            <v>62135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6213584200</v>
          </cell>
          <cell r="B243">
            <v>62135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6213584240</v>
          </cell>
          <cell r="B244">
            <v>62135</v>
          </cell>
          <cell r="C244">
            <v>84240</v>
          </cell>
          <cell r="D244" t="str">
            <v>Marketing Leasing</v>
          </cell>
          <cell r="E244">
            <v>13.89</v>
          </cell>
          <cell r="F244">
            <v>321.16000000000003</v>
          </cell>
          <cell r="G244">
            <v>-307.27</v>
          </cell>
          <cell r="H244">
            <v>1927</v>
          </cell>
          <cell r="I244">
            <v>1927</v>
          </cell>
          <cell r="J244">
            <v>0</v>
          </cell>
        </row>
        <row r="245">
          <cell r="A245" t="str">
            <v>6213584242</v>
          </cell>
          <cell r="B245">
            <v>62135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6213584243</v>
          </cell>
          <cell r="B246">
            <v>62135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6213584244</v>
          </cell>
          <cell r="B247">
            <v>62135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6213584265</v>
          </cell>
          <cell r="B248">
            <v>62135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6213588037</v>
          </cell>
          <cell r="B249">
            <v>62135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6213585016</v>
          </cell>
          <cell r="B250">
            <v>62135</v>
          </cell>
          <cell r="C250">
            <v>85016</v>
          </cell>
          <cell r="D250" t="str">
            <v>Prof Svc-Attorney Outside</v>
          </cell>
          <cell r="E250">
            <v>0</v>
          </cell>
          <cell r="F250">
            <v>0</v>
          </cell>
          <cell r="G250">
            <v>0</v>
          </cell>
          <cell r="H250">
            <v>2210</v>
          </cell>
          <cell r="I250">
            <v>2210</v>
          </cell>
          <cell r="J250">
            <v>0</v>
          </cell>
        </row>
        <row r="251">
          <cell r="A251" t="str">
            <v>6213585022</v>
          </cell>
          <cell r="B251">
            <v>62135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2121.13</v>
          </cell>
          <cell r="I251">
            <v>2121.13</v>
          </cell>
          <cell r="J251">
            <v>0</v>
          </cell>
        </row>
        <row r="252">
          <cell r="A252" t="str">
            <v>6213585065</v>
          </cell>
          <cell r="B252">
            <v>62135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6213585500</v>
          </cell>
          <cell r="B253">
            <v>62135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208.58</v>
          </cell>
          <cell r="G253">
            <v>-208.58</v>
          </cell>
          <cell r="H253">
            <v>1238.58</v>
          </cell>
          <cell r="I253">
            <v>1238.58</v>
          </cell>
          <cell r="J253">
            <v>0</v>
          </cell>
        </row>
        <row r="254">
          <cell r="A254" t="str">
            <v>6213585566</v>
          </cell>
          <cell r="B254">
            <v>62135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6213585581</v>
          </cell>
          <cell r="B255">
            <v>62135</v>
          </cell>
          <cell r="C255">
            <v>85581</v>
          </cell>
          <cell r="D255" t="str">
            <v>Bldg Admin- Salaries</v>
          </cell>
          <cell r="E255">
            <v>6260.6</v>
          </cell>
          <cell r="F255">
            <v>6260.84</v>
          </cell>
          <cell r="G255">
            <v>-0.239999999999782</v>
          </cell>
          <cell r="H255">
            <v>39336.199999999997</v>
          </cell>
          <cell r="I255">
            <v>39336.199999999997</v>
          </cell>
          <cell r="J255">
            <v>0</v>
          </cell>
        </row>
        <row r="256">
          <cell r="A256" t="str">
            <v>6213585583</v>
          </cell>
          <cell r="B256">
            <v>62135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6213585530</v>
          </cell>
          <cell r="B257">
            <v>62135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6213586012</v>
          </cell>
          <cell r="B258">
            <v>62135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6213586037</v>
          </cell>
          <cell r="B259">
            <v>62135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6213583050</v>
          </cell>
          <cell r="B260">
            <v>62135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6213586510</v>
          </cell>
          <cell r="B261">
            <v>62135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6213586537</v>
          </cell>
          <cell r="B262">
            <v>62135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6213586566</v>
          </cell>
          <cell r="B263">
            <v>62135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6213586955</v>
          </cell>
          <cell r="B264">
            <v>62135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6213586985</v>
          </cell>
          <cell r="B265">
            <v>62135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6213586880</v>
          </cell>
          <cell r="B266">
            <v>62135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6213588710</v>
          </cell>
          <cell r="B267">
            <v>62135</v>
          </cell>
          <cell r="C267">
            <v>88710</v>
          </cell>
          <cell r="D267" t="str">
            <v>Losses-Bad Debts</v>
          </cell>
          <cell r="E267">
            <v>-1000</v>
          </cell>
          <cell r="F267">
            <v>0.16</v>
          </cell>
          <cell r="G267">
            <v>-1000.16</v>
          </cell>
          <cell r="H267">
            <v>31108.639999999999</v>
          </cell>
          <cell r="I267">
            <v>31108.639999999999</v>
          </cell>
          <cell r="J267">
            <v>0</v>
          </cell>
        </row>
        <row r="268">
          <cell r="A268" t="str">
            <v>6213588711</v>
          </cell>
          <cell r="B268">
            <v>62135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6213588785</v>
          </cell>
          <cell r="B269">
            <v>62135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6213588847</v>
          </cell>
          <cell r="B270">
            <v>62135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6213588866</v>
          </cell>
          <cell r="B271">
            <v>62135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6213588870</v>
          </cell>
          <cell r="B272">
            <v>62135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6213588889</v>
          </cell>
          <cell r="B273">
            <v>62135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6213589776</v>
          </cell>
          <cell r="B274">
            <v>62135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6213589787</v>
          </cell>
          <cell r="B275">
            <v>62135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6213589510</v>
          </cell>
          <cell r="B276">
            <v>62135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6213589511</v>
          </cell>
          <cell r="B277">
            <v>62135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6213589512</v>
          </cell>
          <cell r="B278">
            <v>62135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6213589528</v>
          </cell>
          <cell r="B279">
            <v>62135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6213589529</v>
          </cell>
          <cell r="B280">
            <v>62135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>6213589567</v>
          </cell>
          <cell r="B281">
            <v>62135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6213585058</v>
          </cell>
          <cell r="B282">
            <v>62135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6213586513</v>
          </cell>
          <cell r="B283">
            <v>62135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255.48</v>
          </cell>
          <cell r="G283">
            <v>-255.48</v>
          </cell>
          <cell r="H283">
            <v>1576.11</v>
          </cell>
          <cell r="I283">
            <v>1576.11</v>
          </cell>
          <cell r="J283">
            <v>0</v>
          </cell>
        </row>
        <row r="284">
          <cell r="A284" t="str">
            <v>6213586519</v>
          </cell>
          <cell r="B284">
            <v>62135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6213588770</v>
          </cell>
          <cell r="B285">
            <v>62135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6213588862</v>
          </cell>
          <cell r="B286">
            <v>62135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6213588874</v>
          </cell>
          <cell r="B287">
            <v>62135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6213589910</v>
          </cell>
          <cell r="B288">
            <v>62135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15785.31</v>
          </cell>
          <cell r="G288">
            <v>-15785.31</v>
          </cell>
          <cell r="H288">
            <v>93118.59</v>
          </cell>
          <cell r="I288">
            <v>93118.59</v>
          </cell>
          <cell r="J288">
            <v>0</v>
          </cell>
        </row>
        <row r="289">
          <cell r="A289" t="str">
            <v>6213589548</v>
          </cell>
          <cell r="B289">
            <v>62135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6214041010</v>
          </cell>
          <cell r="B290">
            <v>62140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6214041040</v>
          </cell>
          <cell r="B291">
            <v>62140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6214041050</v>
          </cell>
          <cell r="B292">
            <v>62140</v>
          </cell>
          <cell r="C292">
            <v>41050</v>
          </cell>
          <cell r="D292" t="str">
            <v>Rental Income - Fixed</v>
          </cell>
          <cell r="E292">
            <v>-74489.100000000006</v>
          </cell>
          <cell r="F292">
            <v>-77541.63</v>
          </cell>
          <cell r="G292">
            <v>3052.53</v>
          </cell>
          <cell r="H292">
            <v>-960440.68</v>
          </cell>
          <cell r="I292">
            <v>-960440.68</v>
          </cell>
          <cell r="J292">
            <v>0</v>
          </cell>
        </row>
        <row r="293">
          <cell r="A293" t="str">
            <v>6214041074</v>
          </cell>
          <cell r="B293">
            <v>62140</v>
          </cell>
          <cell r="C293">
            <v>41074</v>
          </cell>
          <cell r="D293" t="str">
            <v>Rental Income - Percentage</v>
          </cell>
          <cell r="E293">
            <v>-4181.25</v>
          </cell>
          <cell r="F293">
            <v>0</v>
          </cell>
          <cell r="G293">
            <v>-4181.25</v>
          </cell>
          <cell r="H293">
            <v>-81046</v>
          </cell>
          <cell r="I293">
            <v>-81046</v>
          </cell>
          <cell r="J293">
            <v>0</v>
          </cell>
        </row>
        <row r="294">
          <cell r="A294" t="str">
            <v>6214041082</v>
          </cell>
          <cell r="B294">
            <v>62140</v>
          </cell>
          <cell r="C294">
            <v>41082</v>
          </cell>
          <cell r="D294" t="str">
            <v>Rental Income - Operating Exp</v>
          </cell>
          <cell r="E294">
            <v>-22482.68</v>
          </cell>
          <cell r="F294">
            <v>-27574.04</v>
          </cell>
          <cell r="G294">
            <v>5091.3599999999997</v>
          </cell>
          <cell r="H294">
            <v>-330888.48</v>
          </cell>
          <cell r="I294">
            <v>-330888.48</v>
          </cell>
          <cell r="J294">
            <v>0</v>
          </cell>
        </row>
        <row r="295">
          <cell r="A295" t="str">
            <v>6214044610</v>
          </cell>
          <cell r="B295">
            <v>62140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6214045071</v>
          </cell>
          <cell r="B296">
            <v>62140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6214045010</v>
          </cell>
          <cell r="B297">
            <v>62140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6214045046</v>
          </cell>
          <cell r="B298">
            <v>62140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6214045070</v>
          </cell>
          <cell r="B299">
            <v>62140</v>
          </cell>
          <cell r="C299">
            <v>45070</v>
          </cell>
          <cell r="D299" t="str">
            <v>Other Income</v>
          </cell>
          <cell r="E299">
            <v>-3678.84</v>
          </cell>
          <cell r="F299">
            <v>-1000</v>
          </cell>
          <cell r="G299">
            <v>-2678.84</v>
          </cell>
          <cell r="H299">
            <v>-4000</v>
          </cell>
          <cell r="I299">
            <v>-4000</v>
          </cell>
          <cell r="J299">
            <v>0</v>
          </cell>
        </row>
        <row r="300">
          <cell r="A300" t="str">
            <v>6214041060</v>
          </cell>
          <cell r="B300">
            <v>62140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1715.5</v>
          </cell>
          <cell r="G300">
            <v>-1715.5</v>
          </cell>
          <cell r="H300">
            <v>20586</v>
          </cell>
          <cell r="I300">
            <v>20586</v>
          </cell>
          <cell r="J300">
            <v>0</v>
          </cell>
        </row>
        <row r="301">
          <cell r="A301" t="str">
            <v>6214044870</v>
          </cell>
          <cell r="B301">
            <v>62140</v>
          </cell>
          <cell r="C301">
            <v>44870</v>
          </cell>
          <cell r="D301" t="str">
            <v>Late Fees</v>
          </cell>
          <cell r="E301">
            <v>-1311.46</v>
          </cell>
          <cell r="F301">
            <v>0</v>
          </cell>
          <cell r="G301">
            <v>-1311.46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6214052542</v>
          </cell>
          <cell r="B302">
            <v>62140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6214072710</v>
          </cell>
          <cell r="B303">
            <v>62140</v>
          </cell>
          <cell r="C303">
            <v>72710</v>
          </cell>
          <cell r="D303" t="str">
            <v>Utilities - Electricity</v>
          </cell>
          <cell r="E303">
            <v>232.01</v>
          </cell>
          <cell r="F303">
            <v>277.06</v>
          </cell>
          <cell r="G303">
            <v>-45.05</v>
          </cell>
          <cell r="H303">
            <v>3799.67</v>
          </cell>
          <cell r="I303">
            <v>3799.67</v>
          </cell>
          <cell r="J303">
            <v>0</v>
          </cell>
        </row>
        <row r="304">
          <cell r="A304" t="str">
            <v>6214072740</v>
          </cell>
          <cell r="B304">
            <v>62140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6214072770</v>
          </cell>
          <cell r="B305">
            <v>62140</v>
          </cell>
          <cell r="C305">
            <v>72770</v>
          </cell>
          <cell r="D305" t="str">
            <v>Utilities - Water</v>
          </cell>
          <cell r="E305">
            <v>0</v>
          </cell>
          <cell r="F305">
            <v>-241.66</v>
          </cell>
          <cell r="G305">
            <v>241.66</v>
          </cell>
          <cell r="H305">
            <v>8656.2800000000007</v>
          </cell>
          <cell r="I305">
            <v>8656.2800000000007</v>
          </cell>
          <cell r="J305">
            <v>0</v>
          </cell>
        </row>
        <row r="306">
          <cell r="A306" t="str">
            <v>6214076000</v>
          </cell>
          <cell r="B306">
            <v>62140</v>
          </cell>
          <cell r="C306">
            <v>76000</v>
          </cell>
          <cell r="D306" t="str">
            <v>Bldg Maintenance &amp; Repair</v>
          </cell>
          <cell r="E306">
            <v>273.25</v>
          </cell>
          <cell r="F306">
            <v>412.19</v>
          </cell>
          <cell r="G306">
            <v>-138.94</v>
          </cell>
          <cell r="H306">
            <v>28885.14</v>
          </cell>
          <cell r="I306">
            <v>28885.14</v>
          </cell>
          <cell r="J306">
            <v>0</v>
          </cell>
        </row>
        <row r="307">
          <cell r="A307" t="str">
            <v>6214076020</v>
          </cell>
          <cell r="B307">
            <v>62140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6214076034</v>
          </cell>
          <cell r="B308">
            <v>62140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6214076050</v>
          </cell>
          <cell r="B309">
            <v>62140</v>
          </cell>
          <cell r="C309">
            <v>76050</v>
          </cell>
          <cell r="D309" t="str">
            <v>Cleaning Expense</v>
          </cell>
          <cell r="E309">
            <v>1993.8</v>
          </cell>
          <cell r="F309">
            <v>1799.2</v>
          </cell>
          <cell r="G309">
            <v>194.6</v>
          </cell>
          <cell r="H309">
            <v>22630.400000000001</v>
          </cell>
          <cell r="I309">
            <v>22630.400000000001</v>
          </cell>
          <cell r="J309">
            <v>0</v>
          </cell>
        </row>
        <row r="310">
          <cell r="A310" t="str">
            <v>6214076056</v>
          </cell>
          <cell r="B310">
            <v>62140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6214076070</v>
          </cell>
          <cell r="B311">
            <v>62140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6214076091</v>
          </cell>
          <cell r="B312">
            <v>62140</v>
          </cell>
          <cell r="C312">
            <v>76091</v>
          </cell>
          <cell r="D312" t="str">
            <v>Parking Maintenance</v>
          </cell>
          <cell r="E312">
            <v>1741.6</v>
          </cell>
          <cell r="F312">
            <v>1631.52</v>
          </cell>
          <cell r="G312">
            <v>110.08</v>
          </cell>
          <cell r="H312">
            <v>24620.06</v>
          </cell>
          <cell r="I312">
            <v>24620.06</v>
          </cell>
          <cell r="J312">
            <v>0</v>
          </cell>
        </row>
        <row r="313">
          <cell r="A313" t="str">
            <v>6214077000</v>
          </cell>
          <cell r="B313">
            <v>62140</v>
          </cell>
          <cell r="C313">
            <v>77000</v>
          </cell>
          <cell r="D313" t="str">
            <v>Grounds Maintenance</v>
          </cell>
          <cell r="E313">
            <v>406.01</v>
          </cell>
          <cell r="F313">
            <v>4318.83</v>
          </cell>
          <cell r="G313">
            <v>-3912.82</v>
          </cell>
          <cell r="H313">
            <v>23898.03</v>
          </cell>
          <cell r="I313">
            <v>23898.03</v>
          </cell>
          <cell r="J313">
            <v>0</v>
          </cell>
        </row>
        <row r="314">
          <cell r="A314" t="str">
            <v>6214077053</v>
          </cell>
          <cell r="B314">
            <v>62140</v>
          </cell>
          <cell r="C314">
            <v>77053</v>
          </cell>
          <cell r="D314" t="str">
            <v>Landscaping</v>
          </cell>
          <cell r="E314">
            <v>1915</v>
          </cell>
          <cell r="F314">
            <v>1902.7</v>
          </cell>
          <cell r="G314">
            <v>12.3</v>
          </cell>
          <cell r="H314">
            <v>45464.67</v>
          </cell>
          <cell r="I314">
            <v>45464.67</v>
          </cell>
          <cell r="J314">
            <v>0</v>
          </cell>
        </row>
        <row r="315">
          <cell r="A315" t="str">
            <v>6214078020</v>
          </cell>
          <cell r="B315">
            <v>62140</v>
          </cell>
          <cell r="C315">
            <v>78020</v>
          </cell>
          <cell r="D315" t="str">
            <v>Amortized CAM Exp</v>
          </cell>
          <cell r="E315">
            <v>1007.51</v>
          </cell>
          <cell r="F315">
            <v>607.01</v>
          </cell>
          <cell r="G315">
            <v>400.5</v>
          </cell>
          <cell r="H315">
            <v>11129</v>
          </cell>
          <cell r="I315">
            <v>11129</v>
          </cell>
          <cell r="J315">
            <v>0</v>
          </cell>
        </row>
        <row r="316">
          <cell r="A316" t="str">
            <v>6214084264</v>
          </cell>
          <cell r="B316">
            <v>62140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6214085555</v>
          </cell>
          <cell r="B317">
            <v>62140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6214085584</v>
          </cell>
          <cell r="B318">
            <v>62140</v>
          </cell>
          <cell r="C318">
            <v>85584</v>
          </cell>
          <cell r="D318" t="str">
            <v>Bldg Admin-Office Costs</v>
          </cell>
          <cell r="E318">
            <v>420.86</v>
          </cell>
          <cell r="F318">
            <v>653.91999999999996</v>
          </cell>
          <cell r="G318">
            <v>-233.06</v>
          </cell>
          <cell r="H318">
            <v>7847</v>
          </cell>
          <cell r="I318">
            <v>7847</v>
          </cell>
          <cell r="J318">
            <v>0</v>
          </cell>
        </row>
        <row r="319">
          <cell r="A319" t="str">
            <v>6214085582</v>
          </cell>
          <cell r="B319">
            <v>62140</v>
          </cell>
          <cell r="C319">
            <v>85582</v>
          </cell>
          <cell r="D319" t="str">
            <v>Bldg Admin-Salaries</v>
          </cell>
          <cell r="E319">
            <v>3550.45</v>
          </cell>
          <cell r="F319">
            <v>3550.33</v>
          </cell>
          <cell r="G319">
            <v>0.119999999999891</v>
          </cell>
          <cell r="H319">
            <v>45335.3</v>
          </cell>
          <cell r="I319">
            <v>45335.3</v>
          </cell>
          <cell r="J319">
            <v>0</v>
          </cell>
        </row>
        <row r="320">
          <cell r="A320" t="str">
            <v>6214086564</v>
          </cell>
          <cell r="B320">
            <v>62140</v>
          </cell>
          <cell r="C320">
            <v>86564</v>
          </cell>
          <cell r="D320" t="str">
            <v>Insurance</v>
          </cell>
          <cell r="E320">
            <v>1901</v>
          </cell>
          <cell r="F320">
            <v>1901.33</v>
          </cell>
          <cell r="G320">
            <v>-0.32999999999992702</v>
          </cell>
          <cell r="H320">
            <v>22816</v>
          </cell>
          <cell r="I320">
            <v>22816</v>
          </cell>
          <cell r="J320">
            <v>0</v>
          </cell>
        </row>
        <row r="321">
          <cell r="A321" t="str">
            <v>6214088846</v>
          </cell>
          <cell r="B321">
            <v>62140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6214088890</v>
          </cell>
          <cell r="B322">
            <v>62140</v>
          </cell>
          <cell r="C322">
            <v>88890</v>
          </cell>
          <cell r="D322" t="str">
            <v>Security/Safety</v>
          </cell>
          <cell r="E322">
            <v>4412.41</v>
          </cell>
          <cell r="F322">
            <v>2512.36</v>
          </cell>
          <cell r="G322">
            <v>1900.05</v>
          </cell>
          <cell r="H322">
            <v>30314.18</v>
          </cell>
          <cell r="I322">
            <v>30314.18</v>
          </cell>
          <cell r="J322">
            <v>0</v>
          </cell>
        </row>
        <row r="323">
          <cell r="A323" t="str">
            <v>6214089775</v>
          </cell>
          <cell r="B323">
            <v>62140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6214089729</v>
          </cell>
          <cell r="B324">
            <v>62140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6214089786</v>
          </cell>
          <cell r="B325">
            <v>62140</v>
          </cell>
          <cell r="C325">
            <v>89786</v>
          </cell>
          <cell r="D325" t="str">
            <v>Property Tax Exp</v>
          </cell>
          <cell r="E325">
            <v>4652</v>
          </cell>
          <cell r="F325">
            <v>4652</v>
          </cell>
          <cell r="G325">
            <v>0</v>
          </cell>
          <cell r="H325">
            <v>55824</v>
          </cell>
          <cell r="I325">
            <v>55824</v>
          </cell>
          <cell r="J325">
            <v>0</v>
          </cell>
        </row>
        <row r="326">
          <cell r="A326" t="str">
            <v>6214071040</v>
          </cell>
          <cell r="B326">
            <v>62140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6214072701</v>
          </cell>
          <cell r="B327">
            <v>62140</v>
          </cell>
          <cell r="C327">
            <v>72701</v>
          </cell>
          <cell r="D327" t="str">
            <v>Utilities</v>
          </cell>
          <cell r="E327">
            <v>0</v>
          </cell>
          <cell r="F327">
            <v>15.03</v>
          </cell>
          <cell r="G327">
            <v>-15.03</v>
          </cell>
          <cell r="H327">
            <v>338.19</v>
          </cell>
          <cell r="I327">
            <v>338.19</v>
          </cell>
          <cell r="J327">
            <v>0</v>
          </cell>
        </row>
        <row r="328">
          <cell r="A328" t="str">
            <v>6214072855</v>
          </cell>
          <cell r="B328">
            <v>62140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6214072870</v>
          </cell>
          <cell r="B329">
            <v>62140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6214076010</v>
          </cell>
          <cell r="B330">
            <v>62140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108.15</v>
          </cell>
          <cell r="I330">
            <v>108.15</v>
          </cell>
          <cell r="J330">
            <v>0</v>
          </cell>
        </row>
        <row r="331">
          <cell r="A331" t="str">
            <v>6214076040</v>
          </cell>
          <cell r="B331">
            <v>62140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6214076051</v>
          </cell>
          <cell r="B332">
            <v>62140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6214076054</v>
          </cell>
          <cell r="B333">
            <v>62140</v>
          </cell>
          <cell r="C333">
            <v>76054</v>
          </cell>
          <cell r="D333" t="str">
            <v>Bldg Maintenance &amp; Repair</v>
          </cell>
          <cell r="E333">
            <v>0</v>
          </cell>
          <cell r="F333">
            <v>9.67</v>
          </cell>
          <cell r="G333">
            <v>-9.67</v>
          </cell>
          <cell r="H333">
            <v>157.72</v>
          </cell>
          <cell r="I333">
            <v>157.72</v>
          </cell>
          <cell r="J333">
            <v>0</v>
          </cell>
        </row>
        <row r="334">
          <cell r="A334" t="str">
            <v>6214076060</v>
          </cell>
          <cell r="B334">
            <v>62140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6214076071</v>
          </cell>
          <cell r="B335">
            <v>62140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6214076090</v>
          </cell>
          <cell r="B336">
            <v>62140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6214077001</v>
          </cell>
          <cell r="B337">
            <v>62140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6214077022</v>
          </cell>
          <cell r="B338">
            <v>62140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6214084200</v>
          </cell>
          <cell r="B339">
            <v>62140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6214084240</v>
          </cell>
          <cell r="B340">
            <v>62140</v>
          </cell>
          <cell r="C340">
            <v>84240</v>
          </cell>
          <cell r="D340" t="str">
            <v>Marketing Leasing</v>
          </cell>
          <cell r="E340">
            <v>12.69</v>
          </cell>
          <cell r="F340">
            <v>156</v>
          </cell>
          <cell r="G340">
            <v>-143.31</v>
          </cell>
          <cell r="H340">
            <v>1872</v>
          </cell>
          <cell r="I340">
            <v>1872</v>
          </cell>
          <cell r="J340">
            <v>0</v>
          </cell>
        </row>
        <row r="341">
          <cell r="A341" t="str">
            <v>6214084242</v>
          </cell>
          <cell r="B341">
            <v>62140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6214084243</v>
          </cell>
          <cell r="B342">
            <v>62140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6214084244</v>
          </cell>
          <cell r="B343">
            <v>62140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6214084265</v>
          </cell>
          <cell r="B344">
            <v>62140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6214088037</v>
          </cell>
          <cell r="B345">
            <v>62140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6214085016</v>
          </cell>
          <cell r="B346">
            <v>62140</v>
          </cell>
          <cell r="C346">
            <v>85016</v>
          </cell>
          <cell r="D346" t="str">
            <v>Prof Svc-Attorney Outside</v>
          </cell>
          <cell r="E346">
            <v>0</v>
          </cell>
          <cell r="F346">
            <v>0</v>
          </cell>
          <cell r="G346">
            <v>0</v>
          </cell>
          <cell r="H346">
            <v>1492.48</v>
          </cell>
          <cell r="I346">
            <v>1492.48</v>
          </cell>
          <cell r="J346">
            <v>0</v>
          </cell>
        </row>
        <row r="347">
          <cell r="A347" t="str">
            <v>6214085022</v>
          </cell>
          <cell r="B347">
            <v>62140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2104.65</v>
          </cell>
          <cell r="I347">
            <v>2104.65</v>
          </cell>
          <cell r="J347">
            <v>0</v>
          </cell>
        </row>
        <row r="348">
          <cell r="A348" t="str">
            <v>6214085065</v>
          </cell>
          <cell r="B348">
            <v>62140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6214085500</v>
          </cell>
          <cell r="B349">
            <v>62140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2683.15</v>
          </cell>
          <cell r="I349">
            <v>2683.15</v>
          </cell>
          <cell r="J349">
            <v>0</v>
          </cell>
        </row>
        <row r="350">
          <cell r="A350" t="str">
            <v>6214085566</v>
          </cell>
          <cell r="B350">
            <v>62140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6214085581</v>
          </cell>
          <cell r="B351">
            <v>62140</v>
          </cell>
          <cell r="C351">
            <v>85581</v>
          </cell>
          <cell r="D351" t="str">
            <v>Bldg Admin- Salaries</v>
          </cell>
          <cell r="E351">
            <v>2432.38</v>
          </cell>
          <cell r="F351">
            <v>2429.83</v>
          </cell>
          <cell r="G351">
            <v>2.5500000000001801</v>
          </cell>
          <cell r="H351">
            <v>30854.3</v>
          </cell>
          <cell r="I351">
            <v>30854.3</v>
          </cell>
          <cell r="J351">
            <v>0</v>
          </cell>
        </row>
        <row r="352">
          <cell r="A352" t="str">
            <v>6214085583</v>
          </cell>
          <cell r="B352">
            <v>62140</v>
          </cell>
          <cell r="C352">
            <v>85583</v>
          </cell>
          <cell r="D352" t="str">
            <v>Bldg Admin-Office Exp.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6214085530</v>
          </cell>
          <cell r="B353">
            <v>62140</v>
          </cell>
          <cell r="C353">
            <v>85530</v>
          </cell>
          <cell r="D353" t="str">
            <v>Bldg Admin - Office Exp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6214086012</v>
          </cell>
          <cell r="B354">
            <v>62140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6214086037</v>
          </cell>
          <cell r="B355">
            <v>62140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6214083050</v>
          </cell>
          <cell r="B356">
            <v>62140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6214086510</v>
          </cell>
          <cell r="B357">
            <v>62140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6214086537</v>
          </cell>
          <cell r="B358">
            <v>62140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6214086566</v>
          </cell>
          <cell r="B359">
            <v>62140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6214086955</v>
          </cell>
          <cell r="B360">
            <v>62140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6214086985</v>
          </cell>
          <cell r="B361">
            <v>62140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6214086880</v>
          </cell>
          <cell r="B362">
            <v>62140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6214088710</v>
          </cell>
          <cell r="B363">
            <v>62140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0.08</v>
          </cell>
          <cell r="G363">
            <v>-0.08</v>
          </cell>
          <cell r="H363">
            <v>20644.64</v>
          </cell>
          <cell r="I363">
            <v>20644.64</v>
          </cell>
          <cell r="J363">
            <v>0</v>
          </cell>
        </row>
        <row r="364">
          <cell r="A364" t="str">
            <v>6214088711</v>
          </cell>
          <cell r="B364">
            <v>62140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6214088785</v>
          </cell>
          <cell r="B365">
            <v>62140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6214088847</v>
          </cell>
          <cell r="B366">
            <v>62140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6214088866</v>
          </cell>
          <cell r="B367">
            <v>62140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6214088870</v>
          </cell>
          <cell r="B368">
            <v>62140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6214088889</v>
          </cell>
          <cell r="B369">
            <v>62140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6214089776</v>
          </cell>
          <cell r="B370">
            <v>62140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6214089787</v>
          </cell>
          <cell r="B371">
            <v>62140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6214089510</v>
          </cell>
          <cell r="B372">
            <v>62140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6214089511</v>
          </cell>
          <cell r="B373">
            <v>62140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6214089512</v>
          </cell>
          <cell r="B374">
            <v>62140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6214089528</v>
          </cell>
          <cell r="B375">
            <v>62140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6214089529</v>
          </cell>
          <cell r="B376">
            <v>62140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6214089567</v>
          </cell>
          <cell r="B377">
            <v>62140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6214085058</v>
          </cell>
          <cell r="B378">
            <v>62140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6214086513</v>
          </cell>
          <cell r="B379">
            <v>62140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356.07</v>
          </cell>
          <cell r="I379">
            <v>356.07</v>
          </cell>
          <cell r="J379">
            <v>0</v>
          </cell>
        </row>
        <row r="380">
          <cell r="A380" t="str">
            <v>6214086519</v>
          </cell>
          <cell r="B380">
            <v>62140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6214088770</v>
          </cell>
          <cell r="B381">
            <v>62140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6214088862</v>
          </cell>
          <cell r="B382">
            <v>62140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6214088874</v>
          </cell>
          <cell r="B383">
            <v>62140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6214089910</v>
          </cell>
          <cell r="B384">
            <v>62140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7971.81</v>
          </cell>
          <cell r="G384">
            <v>-7971.81</v>
          </cell>
          <cell r="H384">
            <v>97784.23</v>
          </cell>
          <cell r="I384">
            <v>97784.23</v>
          </cell>
          <cell r="J384">
            <v>0</v>
          </cell>
        </row>
        <row r="385">
          <cell r="A385" t="str">
            <v>6214089548</v>
          </cell>
          <cell r="B385">
            <v>62140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6216041010</v>
          </cell>
          <cell r="B386">
            <v>62160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6216041040</v>
          </cell>
          <cell r="B387">
            <v>62160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6216041050</v>
          </cell>
          <cell r="B388">
            <v>62160</v>
          </cell>
          <cell r="C388">
            <v>41050</v>
          </cell>
          <cell r="D388" t="str">
            <v>Rental Income - Fixed</v>
          </cell>
          <cell r="E388">
            <v>-1552664.5</v>
          </cell>
          <cell r="F388">
            <v>-1589708.57</v>
          </cell>
          <cell r="G388">
            <v>37044.070000000102</v>
          </cell>
          <cell r="H388">
            <v>-1710299.84</v>
          </cell>
          <cell r="I388">
            <v>-1740878.67</v>
          </cell>
          <cell r="J388">
            <v>-30578.829999999802</v>
          </cell>
        </row>
        <row r="389">
          <cell r="A389" t="str">
            <v>6216041074</v>
          </cell>
          <cell r="B389">
            <v>62160</v>
          </cell>
          <cell r="C389">
            <v>41074</v>
          </cell>
          <cell r="D389" t="str">
            <v>Rental Income - Percentage</v>
          </cell>
          <cell r="E389">
            <v>-6370.98</v>
          </cell>
          <cell r="F389">
            <v>-146.05999999999901</v>
          </cell>
          <cell r="G389">
            <v>-6224.92</v>
          </cell>
          <cell r="H389">
            <v>-4100.63</v>
          </cell>
          <cell r="I389">
            <v>627.33000000000095</v>
          </cell>
          <cell r="J389">
            <v>4727.96</v>
          </cell>
        </row>
        <row r="390">
          <cell r="A390" t="str">
            <v>6216041082</v>
          </cell>
          <cell r="B390">
            <v>62160</v>
          </cell>
          <cell r="C390">
            <v>41082</v>
          </cell>
          <cell r="D390" t="str">
            <v>Rental Income - Operating Exp</v>
          </cell>
          <cell r="E390">
            <v>-309016.94</v>
          </cell>
          <cell r="F390">
            <v>-325026.05</v>
          </cell>
          <cell r="G390">
            <v>16009.11</v>
          </cell>
          <cell r="H390">
            <v>-356920.51</v>
          </cell>
          <cell r="I390">
            <v>-350941.76</v>
          </cell>
          <cell r="J390">
            <v>5978.75</v>
          </cell>
        </row>
        <row r="391">
          <cell r="A391" t="str">
            <v>6216044610</v>
          </cell>
          <cell r="B391">
            <v>62160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6216045071</v>
          </cell>
          <cell r="B392">
            <v>62160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6216045010</v>
          </cell>
          <cell r="B393">
            <v>62160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6216045046</v>
          </cell>
          <cell r="B394">
            <v>62160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6216045070</v>
          </cell>
          <cell r="B395">
            <v>62160</v>
          </cell>
          <cell r="C395">
            <v>45070</v>
          </cell>
          <cell r="D395" t="str">
            <v>Other Income</v>
          </cell>
          <cell r="E395">
            <v>-882.51</v>
          </cell>
          <cell r="F395">
            <v>-675</v>
          </cell>
          <cell r="G395">
            <v>-207.51</v>
          </cell>
          <cell r="H395">
            <v>-902.25</v>
          </cell>
          <cell r="I395">
            <v>-810</v>
          </cell>
          <cell r="J395">
            <v>92.25</v>
          </cell>
        </row>
        <row r="396">
          <cell r="A396" t="str">
            <v>6216041060</v>
          </cell>
          <cell r="B396">
            <v>62160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38434</v>
          </cell>
          <cell r="G396">
            <v>-38434</v>
          </cell>
          <cell r="H396">
            <v>13976</v>
          </cell>
          <cell r="I396">
            <v>41928</v>
          </cell>
          <cell r="J396">
            <v>27952</v>
          </cell>
        </row>
        <row r="397">
          <cell r="A397" t="str">
            <v>6216044870</v>
          </cell>
          <cell r="B397">
            <v>62160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6216052542</v>
          </cell>
          <cell r="B398">
            <v>62160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6216072710</v>
          </cell>
          <cell r="B399">
            <v>62160</v>
          </cell>
          <cell r="C399">
            <v>72710</v>
          </cell>
          <cell r="D399" t="str">
            <v>Utilities - Electricity</v>
          </cell>
          <cell r="E399">
            <v>9600.07</v>
          </cell>
          <cell r="F399">
            <v>8724</v>
          </cell>
          <cell r="G399">
            <v>876.07</v>
          </cell>
          <cell r="H399">
            <v>10455.89</v>
          </cell>
          <cell r="I399">
            <v>9330</v>
          </cell>
          <cell r="J399">
            <v>-1125.8900000000001</v>
          </cell>
        </row>
        <row r="400">
          <cell r="A400" t="str">
            <v>6216072740</v>
          </cell>
          <cell r="B400">
            <v>62160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6216072770</v>
          </cell>
          <cell r="B401">
            <v>62160</v>
          </cell>
          <cell r="C401">
            <v>72770</v>
          </cell>
          <cell r="D401" t="str">
            <v>Utilities - Water</v>
          </cell>
          <cell r="E401">
            <v>2284.94</v>
          </cell>
          <cell r="F401">
            <v>2381</v>
          </cell>
          <cell r="G401">
            <v>-96.059999999999903</v>
          </cell>
          <cell r="H401">
            <v>2833.93</v>
          </cell>
          <cell r="I401">
            <v>2781</v>
          </cell>
          <cell r="J401">
            <v>-52.929999999999801</v>
          </cell>
        </row>
        <row r="402">
          <cell r="A402" t="str">
            <v>6216076000</v>
          </cell>
          <cell r="B402">
            <v>62160</v>
          </cell>
          <cell r="C402">
            <v>76000</v>
          </cell>
          <cell r="D402" t="str">
            <v>Bldg Maintenance &amp; Repair</v>
          </cell>
          <cell r="E402">
            <v>17077.11</v>
          </cell>
          <cell r="F402">
            <v>11837</v>
          </cell>
          <cell r="G402">
            <v>5240.1099999999997</v>
          </cell>
          <cell r="H402">
            <v>13351.26</v>
          </cell>
          <cell r="I402">
            <v>12357</v>
          </cell>
          <cell r="J402">
            <v>-994.26</v>
          </cell>
        </row>
        <row r="403">
          <cell r="A403" t="str">
            <v>6216076020</v>
          </cell>
          <cell r="B403">
            <v>62160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6216076034</v>
          </cell>
          <cell r="B404">
            <v>62160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6216076050</v>
          </cell>
          <cell r="B405">
            <v>62160</v>
          </cell>
          <cell r="C405">
            <v>76050</v>
          </cell>
          <cell r="D405" t="str">
            <v>Cleaning Expense</v>
          </cell>
          <cell r="E405">
            <v>33351.43</v>
          </cell>
          <cell r="F405">
            <v>31361</v>
          </cell>
          <cell r="G405">
            <v>1990.43</v>
          </cell>
          <cell r="H405">
            <v>36033.589999999997</v>
          </cell>
          <cell r="I405">
            <v>34212</v>
          </cell>
          <cell r="J405">
            <v>-1821.59</v>
          </cell>
        </row>
        <row r="406">
          <cell r="A406" t="str">
            <v>6216076056</v>
          </cell>
          <cell r="B406">
            <v>62160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6216076070</v>
          </cell>
          <cell r="B407">
            <v>62160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6216076091</v>
          </cell>
          <cell r="B408">
            <v>62160</v>
          </cell>
          <cell r="C408">
            <v>76091</v>
          </cell>
          <cell r="D408" t="str">
            <v>Parking Maintenance</v>
          </cell>
          <cell r="E408">
            <v>22912.44</v>
          </cell>
          <cell r="F408">
            <v>23857</v>
          </cell>
          <cell r="G408">
            <v>-944.56000000000097</v>
          </cell>
          <cell r="H408">
            <v>27187.54</v>
          </cell>
          <cell r="I408">
            <v>25484</v>
          </cell>
          <cell r="J408">
            <v>-1703.54</v>
          </cell>
        </row>
        <row r="409">
          <cell r="A409" t="str">
            <v>6216077000</v>
          </cell>
          <cell r="B409">
            <v>62160</v>
          </cell>
          <cell r="C409">
            <v>77000</v>
          </cell>
          <cell r="D409" t="str">
            <v>Grounds Maintenance</v>
          </cell>
          <cell r="E409">
            <v>24676.560000000001</v>
          </cell>
          <cell r="F409">
            <v>29771</v>
          </cell>
          <cell r="G409">
            <v>-5094.4399999999996</v>
          </cell>
          <cell r="H409">
            <v>32820.839999999997</v>
          </cell>
          <cell r="I409">
            <v>30090</v>
          </cell>
          <cell r="J409">
            <v>-2730.84</v>
          </cell>
        </row>
        <row r="410">
          <cell r="A410" t="str">
            <v>6216077053</v>
          </cell>
          <cell r="B410">
            <v>62160</v>
          </cell>
          <cell r="C410">
            <v>77053</v>
          </cell>
          <cell r="D410" t="str">
            <v>Landscaping</v>
          </cell>
          <cell r="E410">
            <v>21802.58</v>
          </cell>
          <cell r="F410">
            <v>44700</v>
          </cell>
          <cell r="G410">
            <v>-22897.42</v>
          </cell>
          <cell r="H410">
            <v>38818.58</v>
          </cell>
          <cell r="I410">
            <v>45925</v>
          </cell>
          <cell r="J410">
            <v>7106.42</v>
          </cell>
        </row>
        <row r="411">
          <cell r="A411" t="str">
            <v>6216078020</v>
          </cell>
          <cell r="B411">
            <v>62160</v>
          </cell>
          <cell r="C411">
            <v>78020</v>
          </cell>
          <cell r="D411" t="str">
            <v>Amortized CAM Exp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</row>
        <row r="412">
          <cell r="A412" t="str">
            <v>6216084264</v>
          </cell>
          <cell r="B412">
            <v>62160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6216085555</v>
          </cell>
          <cell r="B413">
            <v>62160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6216085584</v>
          </cell>
          <cell r="B414">
            <v>62160</v>
          </cell>
          <cell r="C414">
            <v>85584</v>
          </cell>
          <cell r="D414" t="str">
            <v>Bldg Admin-Office Costs</v>
          </cell>
          <cell r="E414">
            <v>9862.3799999999992</v>
          </cell>
          <cell r="F414">
            <v>7506.62</v>
          </cell>
          <cell r="G414">
            <v>2355.7600000000002</v>
          </cell>
          <cell r="H414">
            <v>10068.65</v>
          </cell>
          <cell r="I414">
            <v>8189</v>
          </cell>
          <cell r="J414">
            <v>-1879.65</v>
          </cell>
        </row>
        <row r="415">
          <cell r="A415" t="str">
            <v>6216085582</v>
          </cell>
          <cell r="B415">
            <v>62160</v>
          </cell>
          <cell r="C415">
            <v>85582</v>
          </cell>
          <cell r="D415" t="str">
            <v>Bldg Admin-Salaries</v>
          </cell>
          <cell r="E415">
            <v>37715.89</v>
          </cell>
          <cell r="F415">
            <v>42468.3</v>
          </cell>
          <cell r="G415">
            <v>-4752.41</v>
          </cell>
          <cell r="H415">
            <v>44507</v>
          </cell>
          <cell r="I415">
            <v>49382.3</v>
          </cell>
          <cell r="J415">
            <v>4875.3</v>
          </cell>
        </row>
        <row r="416">
          <cell r="A416" t="str">
            <v>6216086564</v>
          </cell>
          <cell r="B416">
            <v>62160</v>
          </cell>
          <cell r="C416">
            <v>86564</v>
          </cell>
          <cell r="D416" t="str">
            <v>Insurance</v>
          </cell>
          <cell r="E416">
            <v>25113</v>
          </cell>
          <cell r="F416">
            <v>32015.5</v>
          </cell>
          <cell r="G416">
            <v>-6902.5</v>
          </cell>
          <cell r="H416">
            <v>27405</v>
          </cell>
          <cell r="I416">
            <v>34926</v>
          </cell>
          <cell r="J416">
            <v>7521</v>
          </cell>
        </row>
        <row r="417">
          <cell r="A417" t="str">
            <v>6216088846</v>
          </cell>
          <cell r="B417">
            <v>62160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6216088890</v>
          </cell>
          <cell r="B418">
            <v>62160</v>
          </cell>
          <cell r="C418">
            <v>88890</v>
          </cell>
          <cell r="D418" t="str">
            <v>Security/Safety</v>
          </cell>
          <cell r="E418">
            <v>2393.2399999999998</v>
          </cell>
          <cell r="F418">
            <v>5645</v>
          </cell>
          <cell r="G418">
            <v>-3251.76</v>
          </cell>
          <cell r="H418">
            <v>892</v>
          </cell>
          <cell r="I418">
            <v>5868</v>
          </cell>
          <cell r="J418">
            <v>4976</v>
          </cell>
        </row>
        <row r="419">
          <cell r="A419" t="str">
            <v>6216089775</v>
          </cell>
          <cell r="B419">
            <v>62160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6216089729</v>
          </cell>
          <cell r="B420">
            <v>62160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6216089786</v>
          </cell>
          <cell r="B421">
            <v>62160</v>
          </cell>
          <cell r="C421">
            <v>89786</v>
          </cell>
          <cell r="D421" t="str">
            <v>Property Tax Exp</v>
          </cell>
          <cell r="E421">
            <v>83076</v>
          </cell>
          <cell r="F421">
            <v>78701.259999999995</v>
          </cell>
          <cell r="G421">
            <v>4374.7400000000098</v>
          </cell>
          <cell r="H421">
            <v>87930</v>
          </cell>
          <cell r="I421">
            <v>85856</v>
          </cell>
          <cell r="J421">
            <v>-2074</v>
          </cell>
        </row>
        <row r="422">
          <cell r="A422" t="str">
            <v>6216071040</v>
          </cell>
          <cell r="B422">
            <v>62160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6216072701</v>
          </cell>
          <cell r="B423">
            <v>62160</v>
          </cell>
          <cell r="C423">
            <v>72701</v>
          </cell>
          <cell r="D423" t="str">
            <v>Utilities</v>
          </cell>
          <cell r="E423">
            <v>741.96</v>
          </cell>
          <cell r="F423">
            <v>0</v>
          </cell>
          <cell r="G423">
            <v>741.96</v>
          </cell>
          <cell r="H423">
            <v>514.91</v>
          </cell>
          <cell r="I423">
            <v>0</v>
          </cell>
          <cell r="J423">
            <v>-514.91</v>
          </cell>
        </row>
        <row r="424">
          <cell r="A424" t="str">
            <v>6216072855</v>
          </cell>
          <cell r="B424">
            <v>62160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6216072870</v>
          </cell>
          <cell r="B425">
            <v>62160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6216076010</v>
          </cell>
          <cell r="B426">
            <v>62160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1000</v>
          </cell>
          <cell r="G426">
            <v>-1000</v>
          </cell>
          <cell r="H426">
            <v>0</v>
          </cell>
          <cell r="I426">
            <v>1000</v>
          </cell>
          <cell r="J426">
            <v>1000</v>
          </cell>
        </row>
        <row r="427">
          <cell r="A427" t="str">
            <v>6216076040</v>
          </cell>
          <cell r="B427">
            <v>62160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6216076051</v>
          </cell>
          <cell r="B428">
            <v>62160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6216076054</v>
          </cell>
          <cell r="B429">
            <v>62160</v>
          </cell>
          <cell r="C429">
            <v>76054</v>
          </cell>
          <cell r="D429" t="str">
            <v>Bldg Maintenance &amp; Repair</v>
          </cell>
          <cell r="E429">
            <v>300.08</v>
          </cell>
          <cell r="F429">
            <v>0</v>
          </cell>
          <cell r="G429">
            <v>300.08</v>
          </cell>
          <cell r="H429">
            <v>300.08</v>
          </cell>
          <cell r="I429">
            <v>0</v>
          </cell>
          <cell r="J429">
            <v>-300.08</v>
          </cell>
        </row>
        <row r="430">
          <cell r="A430" t="str">
            <v>6216076060</v>
          </cell>
          <cell r="B430">
            <v>62160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6216076071</v>
          </cell>
          <cell r="B431">
            <v>62160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9600</v>
          </cell>
          <cell r="I431">
            <v>0</v>
          </cell>
          <cell r="J431">
            <v>-9600</v>
          </cell>
        </row>
        <row r="432">
          <cell r="A432" t="str">
            <v>6216076090</v>
          </cell>
          <cell r="B432">
            <v>62160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6216077001</v>
          </cell>
          <cell r="B433">
            <v>62160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6216077022</v>
          </cell>
          <cell r="B434">
            <v>62160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6216084200</v>
          </cell>
          <cell r="B435">
            <v>62160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6216084240</v>
          </cell>
          <cell r="B436">
            <v>62160</v>
          </cell>
          <cell r="C436">
            <v>84240</v>
          </cell>
          <cell r="D436" t="str">
            <v>Marketing Leasing</v>
          </cell>
          <cell r="E436">
            <v>283.74</v>
          </cell>
          <cell r="F436">
            <v>0</v>
          </cell>
          <cell r="G436">
            <v>283.74</v>
          </cell>
          <cell r="H436">
            <v>244.68</v>
          </cell>
          <cell r="I436">
            <v>0</v>
          </cell>
          <cell r="J436">
            <v>-244.68</v>
          </cell>
        </row>
        <row r="437">
          <cell r="A437" t="str">
            <v>6216084242</v>
          </cell>
          <cell r="B437">
            <v>62160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6216084243</v>
          </cell>
          <cell r="B438">
            <v>62160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6216084244</v>
          </cell>
          <cell r="B439">
            <v>62160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6216084265</v>
          </cell>
          <cell r="B440">
            <v>62160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6216088037</v>
          </cell>
          <cell r="B441">
            <v>62160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6216085016</v>
          </cell>
          <cell r="B442">
            <v>62160</v>
          </cell>
          <cell r="C442">
            <v>85016</v>
          </cell>
          <cell r="D442" t="str">
            <v>Prof Svc-Attorney Outside</v>
          </cell>
          <cell r="E442">
            <v>1464.45</v>
          </cell>
          <cell r="F442">
            <v>1500</v>
          </cell>
          <cell r="G442">
            <v>-35.549999999999997</v>
          </cell>
          <cell r="H442">
            <v>2382</v>
          </cell>
          <cell r="I442">
            <v>2000</v>
          </cell>
          <cell r="J442">
            <v>-382</v>
          </cell>
        </row>
        <row r="443">
          <cell r="A443" t="str">
            <v>6216085022</v>
          </cell>
          <cell r="B443">
            <v>62160</v>
          </cell>
          <cell r="C443">
            <v>85022</v>
          </cell>
          <cell r="D443" t="str">
            <v>Prof Svc-Audit/Acctng</v>
          </cell>
          <cell r="E443">
            <v>1221.93</v>
          </cell>
          <cell r="F443">
            <v>650</v>
          </cell>
          <cell r="G443">
            <v>571.92999999999995</v>
          </cell>
          <cell r="H443">
            <v>2071.35</v>
          </cell>
          <cell r="I443">
            <v>1872</v>
          </cell>
          <cell r="J443">
            <v>-199.35</v>
          </cell>
        </row>
        <row r="444">
          <cell r="A444" t="str">
            <v>6216085065</v>
          </cell>
          <cell r="B444">
            <v>62160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6216085500</v>
          </cell>
          <cell r="B445">
            <v>62160</v>
          </cell>
          <cell r="C445">
            <v>85500</v>
          </cell>
          <cell r="D445" t="str">
            <v>Consulting Services</v>
          </cell>
          <cell r="E445">
            <v>170.52</v>
          </cell>
          <cell r="F445">
            <v>800</v>
          </cell>
          <cell r="G445">
            <v>-629.48</v>
          </cell>
          <cell r="H445">
            <v>335</v>
          </cell>
          <cell r="I445">
            <v>800</v>
          </cell>
          <cell r="J445">
            <v>465</v>
          </cell>
        </row>
        <row r="446">
          <cell r="A446" t="str">
            <v>6216085566</v>
          </cell>
          <cell r="B446">
            <v>62160</v>
          </cell>
          <cell r="C446">
            <v>85566</v>
          </cell>
          <cell r="D446" t="str">
            <v>Management Fee</v>
          </cell>
          <cell r="E446">
            <v>36929.35</v>
          </cell>
          <cell r="F446">
            <v>36925</v>
          </cell>
          <cell r="G446">
            <v>4.3499999999985404</v>
          </cell>
          <cell r="H446">
            <v>40271.760000000002</v>
          </cell>
          <cell r="I446">
            <v>40272</v>
          </cell>
          <cell r="J446">
            <v>0.23999999999796301</v>
          </cell>
        </row>
        <row r="447">
          <cell r="A447" t="str">
            <v>6216085581</v>
          </cell>
          <cell r="B447">
            <v>62160</v>
          </cell>
          <cell r="C447">
            <v>85581</v>
          </cell>
          <cell r="D447" t="str">
            <v>Bldg Admin- Salaries</v>
          </cell>
          <cell r="E447">
            <v>5315.61</v>
          </cell>
          <cell r="F447">
            <v>5783.7</v>
          </cell>
          <cell r="G447">
            <v>-468.09</v>
          </cell>
          <cell r="H447">
            <v>6562.49</v>
          </cell>
          <cell r="I447">
            <v>6717.7</v>
          </cell>
          <cell r="J447">
            <v>155.21</v>
          </cell>
        </row>
        <row r="448">
          <cell r="A448" t="str">
            <v>6216085583</v>
          </cell>
          <cell r="B448">
            <v>62160</v>
          </cell>
          <cell r="C448">
            <v>85583</v>
          </cell>
          <cell r="D448" t="str">
            <v>Bldg Admin-Office Exp.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6216085530</v>
          </cell>
          <cell r="B449">
            <v>62160</v>
          </cell>
          <cell r="C449">
            <v>85530</v>
          </cell>
          <cell r="D449" t="str">
            <v>Bldg Admin - Office Exp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6216086012</v>
          </cell>
          <cell r="B450">
            <v>62160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6216086037</v>
          </cell>
          <cell r="B451">
            <v>62160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6216083050</v>
          </cell>
          <cell r="B452">
            <v>62160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6216086510</v>
          </cell>
          <cell r="B453">
            <v>62160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6216086537</v>
          </cell>
          <cell r="B454">
            <v>62160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6216086566</v>
          </cell>
          <cell r="B455">
            <v>62160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6216086955</v>
          </cell>
          <cell r="B456">
            <v>62160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6216086985</v>
          </cell>
          <cell r="B457">
            <v>62160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6216086880</v>
          </cell>
          <cell r="B458">
            <v>62160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6216088710</v>
          </cell>
          <cell r="B459">
            <v>62160</v>
          </cell>
          <cell r="C459">
            <v>88710</v>
          </cell>
          <cell r="D459" t="str">
            <v>Losses-Bad Debts</v>
          </cell>
          <cell r="E459">
            <v>-10102.18</v>
          </cell>
          <cell r="F459">
            <v>31773.360000000001</v>
          </cell>
          <cell r="G459">
            <v>-41875.54</v>
          </cell>
          <cell r="H459">
            <v>2927</v>
          </cell>
          <cell r="I459">
            <v>42364.72</v>
          </cell>
          <cell r="J459">
            <v>39437.72</v>
          </cell>
        </row>
        <row r="460">
          <cell r="A460" t="str">
            <v>6216088711</v>
          </cell>
          <cell r="B460">
            <v>62160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6216088785</v>
          </cell>
          <cell r="B461">
            <v>62160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6216088847</v>
          </cell>
          <cell r="B462">
            <v>62160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6216088866</v>
          </cell>
          <cell r="B463">
            <v>62160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6216088870</v>
          </cell>
          <cell r="B464">
            <v>62160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6216088889</v>
          </cell>
          <cell r="B465">
            <v>62160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6216089776</v>
          </cell>
          <cell r="B466">
            <v>62160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6216089787</v>
          </cell>
          <cell r="B467">
            <v>62160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6216089510</v>
          </cell>
          <cell r="B468">
            <v>62160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414892</v>
          </cell>
          <cell r="G468">
            <v>-414892</v>
          </cell>
          <cell r="H468">
            <v>243144</v>
          </cell>
          <cell r="I468">
            <v>433410</v>
          </cell>
          <cell r="J468">
            <v>190266</v>
          </cell>
        </row>
        <row r="469">
          <cell r="A469" t="str">
            <v>6216089511</v>
          </cell>
          <cell r="B469">
            <v>62160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6216089512</v>
          </cell>
          <cell r="B470">
            <v>62160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6216089528</v>
          </cell>
          <cell r="B471">
            <v>62160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6216089529</v>
          </cell>
          <cell r="B472">
            <v>62160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7810</v>
          </cell>
          <cell r="G472">
            <v>-7810</v>
          </cell>
          <cell r="H472">
            <v>5681</v>
          </cell>
          <cell r="I472">
            <v>9231</v>
          </cell>
          <cell r="J472">
            <v>3550</v>
          </cell>
        </row>
        <row r="473">
          <cell r="A473" t="str">
            <v>6216089567</v>
          </cell>
          <cell r="B473">
            <v>62160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6216085058</v>
          </cell>
          <cell r="B474">
            <v>62160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6216086513</v>
          </cell>
          <cell r="B475">
            <v>62160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4506.4799999999996</v>
          </cell>
          <cell r="G475">
            <v>-4506.4799999999996</v>
          </cell>
          <cell r="H475">
            <v>757.14</v>
          </cell>
          <cell r="I475">
            <v>5279.8</v>
          </cell>
          <cell r="J475">
            <v>4522.66</v>
          </cell>
        </row>
        <row r="476">
          <cell r="A476" t="str">
            <v>6216086519</v>
          </cell>
          <cell r="B476">
            <v>62160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6216088770</v>
          </cell>
          <cell r="B477">
            <v>62160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6216088862</v>
          </cell>
          <cell r="B478">
            <v>62160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6216088874</v>
          </cell>
          <cell r="B479">
            <v>62160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6216089910</v>
          </cell>
          <cell r="B480">
            <v>62160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84919.6</v>
          </cell>
          <cell r="G480">
            <v>-84919.6</v>
          </cell>
          <cell r="H480">
            <v>97808.54</v>
          </cell>
          <cell r="I480">
            <v>93431.02</v>
          </cell>
          <cell r="J480">
            <v>-4377.5199999999904</v>
          </cell>
        </row>
        <row r="481">
          <cell r="A481" t="str">
            <v>6216089548</v>
          </cell>
          <cell r="B481">
            <v>62160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6223041010</v>
          </cell>
          <cell r="B482">
            <v>62230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6223041040</v>
          </cell>
          <cell r="B483">
            <v>62230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6223041050</v>
          </cell>
          <cell r="B484">
            <v>62230</v>
          </cell>
          <cell r="C484">
            <v>41050</v>
          </cell>
          <cell r="D484" t="str">
            <v>Rental Income - Fixed</v>
          </cell>
          <cell r="E484">
            <v>-153611.07</v>
          </cell>
          <cell r="F484">
            <v>-153769.07</v>
          </cell>
          <cell r="G484">
            <v>158</v>
          </cell>
          <cell r="H484">
            <v>-1827501.54</v>
          </cell>
          <cell r="I484">
            <v>-1827501.54</v>
          </cell>
          <cell r="J484">
            <v>0</v>
          </cell>
        </row>
        <row r="485">
          <cell r="A485" t="str">
            <v>6223041074</v>
          </cell>
          <cell r="B485">
            <v>62230</v>
          </cell>
          <cell r="C485">
            <v>41074</v>
          </cell>
          <cell r="D485" t="str">
            <v>Rental Income - Percentage</v>
          </cell>
          <cell r="E485">
            <v>0</v>
          </cell>
          <cell r="F485">
            <v>0</v>
          </cell>
          <cell r="G485">
            <v>0</v>
          </cell>
          <cell r="H485">
            <v>-30296</v>
          </cell>
          <cell r="I485">
            <v>-30296</v>
          </cell>
          <cell r="J485">
            <v>0</v>
          </cell>
        </row>
        <row r="486">
          <cell r="A486" t="str">
            <v>6223041082</v>
          </cell>
          <cell r="B486">
            <v>62230</v>
          </cell>
          <cell r="C486">
            <v>41082</v>
          </cell>
          <cell r="D486" t="str">
            <v>Rental Income - Operating Exp</v>
          </cell>
          <cell r="E486">
            <v>-26253.27</v>
          </cell>
          <cell r="F486">
            <v>-36653.410000000003</v>
          </cell>
          <cell r="G486">
            <v>10400.14</v>
          </cell>
          <cell r="H486">
            <v>-439840.92</v>
          </cell>
          <cell r="I486">
            <v>-439840.92</v>
          </cell>
          <cell r="J486">
            <v>0</v>
          </cell>
        </row>
        <row r="487">
          <cell r="A487" t="str">
            <v>6223044610</v>
          </cell>
          <cell r="B487">
            <v>62230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6223045071</v>
          </cell>
          <cell r="B488">
            <v>62230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6223045010</v>
          </cell>
          <cell r="B489">
            <v>62230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6223045046</v>
          </cell>
          <cell r="B490">
            <v>62230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6223045070</v>
          </cell>
          <cell r="B491">
            <v>62230</v>
          </cell>
          <cell r="C491">
            <v>45070</v>
          </cell>
          <cell r="D491" t="str">
            <v>Other Income</v>
          </cell>
          <cell r="E491">
            <v>-25.17</v>
          </cell>
          <cell r="F491">
            <v>-110.24</v>
          </cell>
          <cell r="G491">
            <v>85.07</v>
          </cell>
          <cell r="H491">
            <v>-864.91</v>
          </cell>
          <cell r="I491">
            <v>-864.91</v>
          </cell>
          <cell r="J491">
            <v>0</v>
          </cell>
        </row>
        <row r="492">
          <cell r="A492" t="str">
            <v>6223041060</v>
          </cell>
          <cell r="B492">
            <v>62230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1914.58</v>
          </cell>
          <cell r="G492">
            <v>-1914.58</v>
          </cell>
          <cell r="H492">
            <v>22975</v>
          </cell>
          <cell r="I492">
            <v>22975</v>
          </cell>
          <cell r="J492">
            <v>0</v>
          </cell>
        </row>
        <row r="493">
          <cell r="A493" t="str">
            <v>6223044870</v>
          </cell>
          <cell r="B493">
            <v>62230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6223052542</v>
          </cell>
          <cell r="B494">
            <v>62230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6223072710</v>
          </cell>
          <cell r="B495">
            <v>62230</v>
          </cell>
          <cell r="C495">
            <v>72710</v>
          </cell>
          <cell r="D495" t="str">
            <v>Utilities - Electricity</v>
          </cell>
          <cell r="E495">
            <v>472.08</v>
          </cell>
          <cell r="F495">
            <v>288.24</v>
          </cell>
          <cell r="G495">
            <v>183.84</v>
          </cell>
          <cell r="H495">
            <v>8128.52</v>
          </cell>
          <cell r="I495">
            <v>8128.52</v>
          </cell>
          <cell r="J495">
            <v>0</v>
          </cell>
        </row>
        <row r="496">
          <cell r="A496" t="str">
            <v>6223072740</v>
          </cell>
          <cell r="B496">
            <v>62230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6223072770</v>
          </cell>
          <cell r="B497">
            <v>62230</v>
          </cell>
          <cell r="C497">
            <v>72770</v>
          </cell>
          <cell r="D497" t="str">
            <v>Utilities - Water</v>
          </cell>
          <cell r="E497">
            <v>3212.35</v>
          </cell>
          <cell r="F497">
            <v>1002.58</v>
          </cell>
          <cell r="G497">
            <v>2209.77</v>
          </cell>
          <cell r="H497">
            <v>39877.550000000003</v>
          </cell>
          <cell r="I497">
            <v>39877.550000000003</v>
          </cell>
          <cell r="J497">
            <v>0</v>
          </cell>
        </row>
        <row r="498">
          <cell r="A498" t="str">
            <v>6223076000</v>
          </cell>
          <cell r="B498">
            <v>62230</v>
          </cell>
          <cell r="C498">
            <v>76000</v>
          </cell>
          <cell r="D498" t="str">
            <v>Bldg Maintenance &amp; Repair</v>
          </cell>
          <cell r="E498">
            <v>1335.27</v>
          </cell>
          <cell r="F498">
            <v>3042.96</v>
          </cell>
          <cell r="G498">
            <v>-1707.69</v>
          </cell>
          <cell r="H498">
            <v>54134.04</v>
          </cell>
          <cell r="I498">
            <v>54134.04</v>
          </cell>
          <cell r="J498">
            <v>0</v>
          </cell>
        </row>
        <row r="499">
          <cell r="A499" t="str">
            <v>6223076020</v>
          </cell>
          <cell r="B499">
            <v>62230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6223076034</v>
          </cell>
          <cell r="B500">
            <v>62230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6223076050</v>
          </cell>
          <cell r="B501">
            <v>62230</v>
          </cell>
          <cell r="C501">
            <v>76050</v>
          </cell>
          <cell r="D501" t="str">
            <v>Cleaning Expense</v>
          </cell>
          <cell r="E501">
            <v>1985.76</v>
          </cell>
          <cell r="F501">
            <v>2262.79</v>
          </cell>
          <cell r="G501">
            <v>-277.02999999999997</v>
          </cell>
          <cell r="H501">
            <v>26313.119999999999</v>
          </cell>
          <cell r="I501">
            <v>26313.119999999999</v>
          </cell>
          <cell r="J501">
            <v>0</v>
          </cell>
        </row>
        <row r="502">
          <cell r="A502" t="str">
            <v>6223076056</v>
          </cell>
          <cell r="B502">
            <v>62230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6223076070</v>
          </cell>
          <cell r="B503">
            <v>62230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6223076091</v>
          </cell>
          <cell r="B504">
            <v>62230</v>
          </cell>
          <cell r="C504">
            <v>76091</v>
          </cell>
          <cell r="D504" t="str">
            <v>Parking Maintenance</v>
          </cell>
          <cell r="E504">
            <v>2125</v>
          </cell>
          <cell r="F504">
            <v>2188.75</v>
          </cell>
          <cell r="G504">
            <v>-63.75</v>
          </cell>
          <cell r="H504">
            <v>41314.99</v>
          </cell>
          <cell r="I504">
            <v>41314.99</v>
          </cell>
          <cell r="J504">
            <v>0</v>
          </cell>
        </row>
        <row r="505">
          <cell r="A505" t="str">
            <v>6223077000</v>
          </cell>
          <cell r="B505">
            <v>62230</v>
          </cell>
          <cell r="C505">
            <v>77000</v>
          </cell>
          <cell r="D505" t="str">
            <v>Grounds Maintenance</v>
          </cell>
          <cell r="E505">
            <v>175.76</v>
          </cell>
          <cell r="F505">
            <v>8707.3700000000008</v>
          </cell>
          <cell r="G505">
            <v>-8531.61</v>
          </cell>
          <cell r="H505">
            <v>35406.46</v>
          </cell>
          <cell r="I505">
            <v>35406.46</v>
          </cell>
          <cell r="J505">
            <v>0</v>
          </cell>
        </row>
        <row r="506">
          <cell r="A506" t="str">
            <v>6223077053</v>
          </cell>
          <cell r="B506">
            <v>62230</v>
          </cell>
          <cell r="C506">
            <v>77053</v>
          </cell>
          <cell r="D506" t="str">
            <v>Landscaping</v>
          </cell>
          <cell r="E506">
            <v>1953</v>
          </cell>
          <cell r="F506">
            <v>2424</v>
          </cell>
          <cell r="G506">
            <v>-471</v>
          </cell>
          <cell r="H506">
            <v>40007.22</v>
          </cell>
          <cell r="I506">
            <v>40007.22</v>
          </cell>
          <cell r="J506">
            <v>0</v>
          </cell>
        </row>
        <row r="507">
          <cell r="A507" t="str">
            <v>6223078020</v>
          </cell>
          <cell r="B507">
            <v>62230</v>
          </cell>
          <cell r="C507">
            <v>78020</v>
          </cell>
          <cell r="D507" t="str">
            <v>Amortized CAM Exp</v>
          </cell>
          <cell r="E507">
            <v>2250.66</v>
          </cell>
          <cell r="F507">
            <v>2000</v>
          </cell>
          <cell r="G507">
            <v>250.66</v>
          </cell>
          <cell r="H507">
            <v>24000</v>
          </cell>
          <cell r="I507">
            <v>24000</v>
          </cell>
          <cell r="J507">
            <v>0</v>
          </cell>
        </row>
        <row r="508">
          <cell r="A508" t="str">
            <v>6223084264</v>
          </cell>
          <cell r="B508">
            <v>62230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6223085555</v>
          </cell>
          <cell r="B509">
            <v>62230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6223085584</v>
          </cell>
          <cell r="B510">
            <v>62230</v>
          </cell>
          <cell r="C510">
            <v>85584</v>
          </cell>
          <cell r="D510" t="str">
            <v>Bldg Admin-Office Costs</v>
          </cell>
          <cell r="E510">
            <v>289.86</v>
          </cell>
          <cell r="F510">
            <v>450.67</v>
          </cell>
          <cell r="G510">
            <v>-160.81</v>
          </cell>
          <cell r="H510">
            <v>5408</v>
          </cell>
          <cell r="I510">
            <v>5408</v>
          </cell>
          <cell r="J510">
            <v>0</v>
          </cell>
        </row>
        <row r="511">
          <cell r="A511" t="str">
            <v>6223085582</v>
          </cell>
          <cell r="B511">
            <v>62230</v>
          </cell>
          <cell r="C511">
            <v>85582</v>
          </cell>
          <cell r="D511" t="str">
            <v>Bldg Admin-Salaries</v>
          </cell>
          <cell r="E511">
            <v>2543.56</v>
          </cell>
          <cell r="F511">
            <v>2536.83</v>
          </cell>
          <cell r="G511">
            <v>6.73000000000002</v>
          </cell>
          <cell r="H511">
            <v>32449.3</v>
          </cell>
          <cell r="I511">
            <v>32449.3</v>
          </cell>
          <cell r="J511">
            <v>0</v>
          </cell>
        </row>
        <row r="512">
          <cell r="A512" t="str">
            <v>6223086564</v>
          </cell>
          <cell r="B512">
            <v>62230</v>
          </cell>
          <cell r="C512">
            <v>86564</v>
          </cell>
          <cell r="D512" t="str">
            <v>Insurance</v>
          </cell>
          <cell r="E512">
            <v>1639</v>
          </cell>
          <cell r="F512">
            <v>1638.17</v>
          </cell>
          <cell r="G512">
            <v>0.82999999999992702</v>
          </cell>
          <cell r="H512">
            <v>19658</v>
          </cell>
          <cell r="I512">
            <v>19658</v>
          </cell>
          <cell r="J512">
            <v>0</v>
          </cell>
        </row>
        <row r="513">
          <cell r="A513" t="str">
            <v>6223088846</v>
          </cell>
          <cell r="B513">
            <v>62230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6223088890</v>
          </cell>
          <cell r="B514">
            <v>62230</v>
          </cell>
          <cell r="C514">
            <v>88890</v>
          </cell>
          <cell r="D514" t="str">
            <v>Security/Safety</v>
          </cell>
          <cell r="E514">
            <v>447.55</v>
          </cell>
          <cell r="F514">
            <v>532.83000000000004</v>
          </cell>
          <cell r="G514">
            <v>-85.28</v>
          </cell>
          <cell r="H514">
            <v>6394</v>
          </cell>
          <cell r="I514">
            <v>6394</v>
          </cell>
          <cell r="J514">
            <v>0</v>
          </cell>
        </row>
        <row r="515">
          <cell r="A515" t="str">
            <v>6223089775</v>
          </cell>
          <cell r="B515">
            <v>62230</v>
          </cell>
          <cell r="C515">
            <v>89775</v>
          </cell>
          <cell r="D515" t="str">
            <v>Assmt Dist Taxes- Reimb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6223089729</v>
          </cell>
          <cell r="B516">
            <v>62230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6223089786</v>
          </cell>
          <cell r="B517">
            <v>62230</v>
          </cell>
          <cell r="C517">
            <v>89786</v>
          </cell>
          <cell r="D517" t="str">
            <v>Property Tax Exp</v>
          </cell>
          <cell r="E517">
            <v>5115.42</v>
          </cell>
          <cell r="F517">
            <v>5115.42</v>
          </cell>
          <cell r="G517">
            <v>0</v>
          </cell>
          <cell r="H517">
            <v>61385</v>
          </cell>
          <cell r="I517">
            <v>61385</v>
          </cell>
          <cell r="J517">
            <v>0</v>
          </cell>
        </row>
        <row r="518">
          <cell r="A518" t="str">
            <v>6223071040</v>
          </cell>
          <cell r="B518">
            <v>62230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6223072701</v>
          </cell>
          <cell r="B519">
            <v>62230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51.5</v>
          </cell>
          <cell r="I519">
            <v>51.5</v>
          </cell>
          <cell r="J519">
            <v>0</v>
          </cell>
        </row>
        <row r="520">
          <cell r="A520" t="str">
            <v>6223072855</v>
          </cell>
          <cell r="B520">
            <v>62230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6223072870</v>
          </cell>
          <cell r="B521">
            <v>62230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6223076010</v>
          </cell>
          <cell r="B522">
            <v>62230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6223076040</v>
          </cell>
          <cell r="B523">
            <v>62230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6223076051</v>
          </cell>
          <cell r="B524">
            <v>62230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6223076054</v>
          </cell>
          <cell r="B525">
            <v>62230</v>
          </cell>
          <cell r="C525">
            <v>76054</v>
          </cell>
          <cell r="D525" t="str">
            <v>Bldg Maintenance &amp; Repair</v>
          </cell>
          <cell r="E525">
            <v>0</v>
          </cell>
          <cell r="F525">
            <v>0</v>
          </cell>
          <cell r="G525">
            <v>0</v>
          </cell>
          <cell r="H525">
            <v>1376.05</v>
          </cell>
          <cell r="I525">
            <v>1376.05</v>
          </cell>
          <cell r="J525">
            <v>0</v>
          </cell>
        </row>
        <row r="526">
          <cell r="A526" t="str">
            <v>6223076060</v>
          </cell>
          <cell r="B526">
            <v>62230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6223076071</v>
          </cell>
          <cell r="B527">
            <v>62230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136216</v>
          </cell>
          <cell r="I527">
            <v>136216</v>
          </cell>
          <cell r="J527">
            <v>0</v>
          </cell>
        </row>
        <row r="528">
          <cell r="A528" t="str">
            <v>6223076090</v>
          </cell>
          <cell r="B528">
            <v>62230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6223077001</v>
          </cell>
          <cell r="B529">
            <v>62230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6223077022</v>
          </cell>
          <cell r="B530">
            <v>62230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6223084200</v>
          </cell>
          <cell r="B531">
            <v>62230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6223084240</v>
          </cell>
          <cell r="B532">
            <v>62230</v>
          </cell>
          <cell r="C532">
            <v>84240</v>
          </cell>
          <cell r="D532" t="str">
            <v>Marketing Leasing</v>
          </cell>
          <cell r="E532">
            <v>8.74</v>
          </cell>
          <cell r="F532">
            <v>107.5</v>
          </cell>
          <cell r="G532">
            <v>-98.76</v>
          </cell>
          <cell r="H532">
            <v>1290</v>
          </cell>
          <cell r="I532">
            <v>1290</v>
          </cell>
          <cell r="J532">
            <v>0</v>
          </cell>
        </row>
        <row r="533">
          <cell r="A533" t="str">
            <v>6223084242</v>
          </cell>
          <cell r="B533">
            <v>62230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6223084243</v>
          </cell>
          <cell r="B534">
            <v>62230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6223084244</v>
          </cell>
          <cell r="B535">
            <v>62230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6223084265</v>
          </cell>
          <cell r="B536">
            <v>62230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6223088037</v>
          </cell>
          <cell r="B537">
            <v>62230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6223085016</v>
          </cell>
          <cell r="B538">
            <v>62230</v>
          </cell>
          <cell r="C538">
            <v>85016</v>
          </cell>
          <cell r="D538" t="str">
            <v>Prof Svc-Attorney Outside</v>
          </cell>
          <cell r="E538">
            <v>50</v>
          </cell>
          <cell r="F538">
            <v>0</v>
          </cell>
          <cell r="G538">
            <v>50</v>
          </cell>
          <cell r="H538">
            <v>566.5</v>
          </cell>
          <cell r="I538">
            <v>566.5</v>
          </cell>
          <cell r="J538">
            <v>0</v>
          </cell>
        </row>
        <row r="539">
          <cell r="A539" t="str">
            <v>6223085022</v>
          </cell>
          <cell r="B539">
            <v>62230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1930.58</v>
          </cell>
          <cell r="I539">
            <v>1930.58</v>
          </cell>
          <cell r="J539">
            <v>0</v>
          </cell>
        </row>
        <row r="540">
          <cell r="A540" t="str">
            <v>6223085065</v>
          </cell>
          <cell r="B540">
            <v>62230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6223085500</v>
          </cell>
          <cell r="B541">
            <v>62230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139.05000000000001</v>
          </cell>
          <cell r="I541">
            <v>139.05000000000001</v>
          </cell>
          <cell r="J541">
            <v>0</v>
          </cell>
        </row>
        <row r="542">
          <cell r="A542" t="str">
            <v>6223085566</v>
          </cell>
          <cell r="B542">
            <v>62230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6223085581</v>
          </cell>
          <cell r="B543">
            <v>62230</v>
          </cell>
          <cell r="C543">
            <v>85581</v>
          </cell>
          <cell r="D543" t="str">
            <v>Bldg Admin- Salaries</v>
          </cell>
          <cell r="E543">
            <v>2778.65</v>
          </cell>
          <cell r="F543">
            <v>2776.75</v>
          </cell>
          <cell r="G543">
            <v>1.9000000000000901</v>
          </cell>
          <cell r="H543">
            <v>34478.5</v>
          </cell>
          <cell r="I543">
            <v>34478.5</v>
          </cell>
          <cell r="J543">
            <v>0</v>
          </cell>
        </row>
        <row r="544">
          <cell r="A544" t="str">
            <v>6223085583</v>
          </cell>
          <cell r="B544">
            <v>62230</v>
          </cell>
          <cell r="C544">
            <v>85583</v>
          </cell>
          <cell r="D544" t="str">
            <v>Bldg Admin-Office Exp.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6223085530</v>
          </cell>
          <cell r="B545">
            <v>62230</v>
          </cell>
          <cell r="C545">
            <v>85530</v>
          </cell>
          <cell r="D545" t="str">
            <v>Bldg Admin - Office Exp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6223086012</v>
          </cell>
          <cell r="B546">
            <v>62230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6223086037</v>
          </cell>
          <cell r="B547">
            <v>62230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6223083050</v>
          </cell>
          <cell r="B548">
            <v>62230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6223086510</v>
          </cell>
          <cell r="B549">
            <v>62230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6223086537</v>
          </cell>
          <cell r="B550">
            <v>62230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6223086566</v>
          </cell>
          <cell r="B551">
            <v>62230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6223086955</v>
          </cell>
          <cell r="B552">
            <v>62230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6223086985</v>
          </cell>
          <cell r="B553">
            <v>62230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6223086880</v>
          </cell>
          <cell r="B554">
            <v>62230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6223088710</v>
          </cell>
          <cell r="B555">
            <v>62230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0.08</v>
          </cell>
          <cell r="G555">
            <v>-0.08</v>
          </cell>
          <cell r="H555">
            <v>22984.639999999999</v>
          </cell>
          <cell r="I555">
            <v>22984.639999999999</v>
          </cell>
          <cell r="J555">
            <v>0</v>
          </cell>
        </row>
        <row r="556">
          <cell r="A556" t="str">
            <v>6223088711</v>
          </cell>
          <cell r="B556">
            <v>62230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6223088785</v>
          </cell>
          <cell r="B557">
            <v>62230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6223088847</v>
          </cell>
          <cell r="B558">
            <v>62230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6223088866</v>
          </cell>
          <cell r="B559">
            <v>62230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6223088870</v>
          </cell>
          <cell r="B560">
            <v>62230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6223088889</v>
          </cell>
          <cell r="B561">
            <v>62230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6223089776</v>
          </cell>
          <cell r="B562">
            <v>62230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6223089787</v>
          </cell>
          <cell r="B563">
            <v>62230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6223089510</v>
          </cell>
          <cell r="B564">
            <v>62230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6223089511</v>
          </cell>
          <cell r="B565">
            <v>62230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6223089512</v>
          </cell>
          <cell r="B566">
            <v>62230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6223089528</v>
          </cell>
          <cell r="B567">
            <v>62230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6223089529</v>
          </cell>
          <cell r="B568">
            <v>62230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6223089567</v>
          </cell>
          <cell r="B569">
            <v>62230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6223085058</v>
          </cell>
          <cell r="B570">
            <v>62230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6223086513</v>
          </cell>
          <cell r="B571">
            <v>62230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176.35</v>
          </cell>
          <cell r="I571">
            <v>176.35</v>
          </cell>
          <cell r="J571">
            <v>0</v>
          </cell>
        </row>
        <row r="572">
          <cell r="A572" t="str">
            <v>6223086519</v>
          </cell>
          <cell r="B572">
            <v>62230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6223088770</v>
          </cell>
          <cell r="B573">
            <v>62230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6223088862</v>
          </cell>
          <cell r="B574">
            <v>62230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6223088874</v>
          </cell>
          <cell r="B575">
            <v>62230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6223089910</v>
          </cell>
          <cell r="B576">
            <v>62230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11117.92</v>
          </cell>
          <cell r="G576">
            <v>-11117.92</v>
          </cell>
          <cell r="H576">
            <v>133414.78</v>
          </cell>
          <cell r="I576">
            <v>133414.78</v>
          </cell>
          <cell r="J576">
            <v>0</v>
          </cell>
        </row>
        <row r="577">
          <cell r="A577" t="str">
            <v>6223089548</v>
          </cell>
          <cell r="B577">
            <v>62230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6225541010</v>
          </cell>
          <cell r="B578">
            <v>62255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6225541040</v>
          </cell>
          <cell r="B579">
            <v>62255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6225541050</v>
          </cell>
          <cell r="B580">
            <v>62255</v>
          </cell>
          <cell r="C580">
            <v>41050</v>
          </cell>
          <cell r="D580" t="str">
            <v>Rental Income - Fixed</v>
          </cell>
          <cell r="E580">
            <v>-587336.49</v>
          </cell>
          <cell r="F580">
            <v>-583671.22</v>
          </cell>
          <cell r="G580">
            <v>-3665.27000000002</v>
          </cell>
          <cell r="H580">
            <v>-3599476.8</v>
          </cell>
          <cell r="I580">
            <v>-3599476.8</v>
          </cell>
          <cell r="J580">
            <v>0</v>
          </cell>
        </row>
        <row r="581">
          <cell r="A581" t="str">
            <v>6225541074</v>
          </cell>
          <cell r="B581">
            <v>62255</v>
          </cell>
          <cell r="C581">
            <v>41074</v>
          </cell>
          <cell r="D581" t="str">
            <v>Rental Income - Percentage</v>
          </cell>
          <cell r="E581">
            <v>-60059.39</v>
          </cell>
          <cell r="F581">
            <v>-114844</v>
          </cell>
          <cell r="G581">
            <v>54784.61</v>
          </cell>
          <cell r="H581">
            <v>-744677</v>
          </cell>
          <cell r="I581">
            <v>-744677</v>
          </cell>
          <cell r="J581">
            <v>0</v>
          </cell>
        </row>
        <row r="582">
          <cell r="A582" t="str">
            <v>6225541082</v>
          </cell>
          <cell r="B582">
            <v>62255</v>
          </cell>
          <cell r="C582">
            <v>41082</v>
          </cell>
          <cell r="D582" t="str">
            <v>Rental Income - Operating Exp</v>
          </cell>
          <cell r="E582">
            <v>-172044.9</v>
          </cell>
          <cell r="F582">
            <v>-190625</v>
          </cell>
          <cell r="G582">
            <v>18580.099999999999</v>
          </cell>
          <cell r="H582">
            <v>-1143750</v>
          </cell>
          <cell r="I582">
            <v>-1143750</v>
          </cell>
          <cell r="J582">
            <v>0</v>
          </cell>
        </row>
        <row r="583">
          <cell r="A583" t="str">
            <v>6225544610</v>
          </cell>
          <cell r="B583">
            <v>62255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6225545071</v>
          </cell>
          <cell r="B584">
            <v>62255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6225545010</v>
          </cell>
          <cell r="B585">
            <v>62255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6225545046</v>
          </cell>
          <cell r="B586">
            <v>62255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6225545070</v>
          </cell>
          <cell r="B587">
            <v>62255</v>
          </cell>
          <cell r="C587">
            <v>45070</v>
          </cell>
          <cell r="D587" t="str">
            <v>Other Income</v>
          </cell>
          <cell r="E587">
            <v>-390.02</v>
          </cell>
          <cell r="F587">
            <v>-9.86</v>
          </cell>
          <cell r="G587">
            <v>-380.16</v>
          </cell>
          <cell r="H587">
            <v>-454.41</v>
          </cell>
          <cell r="I587">
            <v>-454.41</v>
          </cell>
          <cell r="J587">
            <v>0</v>
          </cell>
        </row>
        <row r="588">
          <cell r="A588" t="str">
            <v>6225541060</v>
          </cell>
          <cell r="B588">
            <v>62255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9146.5</v>
          </cell>
          <cell r="G588">
            <v>-9146.5</v>
          </cell>
          <cell r="H588">
            <v>54879</v>
          </cell>
          <cell r="I588">
            <v>54879</v>
          </cell>
          <cell r="J588">
            <v>0</v>
          </cell>
        </row>
        <row r="589">
          <cell r="A589" t="str">
            <v>6225544870</v>
          </cell>
          <cell r="B589">
            <v>62255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</row>
        <row r="590">
          <cell r="A590" t="str">
            <v>6225552542</v>
          </cell>
          <cell r="B590">
            <v>62255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6225572710</v>
          </cell>
          <cell r="B591">
            <v>62255</v>
          </cell>
          <cell r="C591">
            <v>72710</v>
          </cell>
          <cell r="D591" t="str">
            <v>Utilities - Electricity</v>
          </cell>
          <cell r="E591">
            <v>4162.43</v>
          </cell>
          <cell r="F591">
            <v>4452.2</v>
          </cell>
          <cell r="G591">
            <v>-289.77</v>
          </cell>
          <cell r="H591">
            <v>28424.9</v>
          </cell>
          <cell r="I591">
            <v>28424.9</v>
          </cell>
          <cell r="J591">
            <v>0</v>
          </cell>
        </row>
        <row r="592">
          <cell r="A592" t="str">
            <v>6225572740</v>
          </cell>
          <cell r="B592">
            <v>62255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6225572770</v>
          </cell>
          <cell r="B593">
            <v>62255</v>
          </cell>
          <cell r="C593">
            <v>72770</v>
          </cell>
          <cell r="D593" t="str">
            <v>Utilities - Water</v>
          </cell>
          <cell r="E593">
            <v>9240.26</v>
          </cell>
          <cell r="F593">
            <v>8068.66</v>
          </cell>
          <cell r="G593">
            <v>1171.5999999999999</v>
          </cell>
          <cell r="H593">
            <v>37959.879999999997</v>
          </cell>
          <cell r="I593">
            <v>37959.879999999997</v>
          </cell>
          <cell r="J593">
            <v>0</v>
          </cell>
        </row>
        <row r="594">
          <cell r="A594" t="str">
            <v>6225576000</v>
          </cell>
          <cell r="B594">
            <v>62255</v>
          </cell>
          <cell r="C594">
            <v>76000</v>
          </cell>
          <cell r="D594" t="str">
            <v>Bldg Maintenance &amp; Repair</v>
          </cell>
          <cell r="E594">
            <v>6414.5</v>
          </cell>
          <cell r="F594">
            <v>6810.23</v>
          </cell>
          <cell r="G594">
            <v>-395.73</v>
          </cell>
          <cell r="H594">
            <v>43624.87</v>
          </cell>
          <cell r="I594">
            <v>43624.87</v>
          </cell>
          <cell r="J594">
            <v>0</v>
          </cell>
        </row>
        <row r="595">
          <cell r="A595" t="str">
            <v>6225576020</v>
          </cell>
          <cell r="B595">
            <v>62255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6225576034</v>
          </cell>
          <cell r="B596">
            <v>62255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6225576050</v>
          </cell>
          <cell r="B597">
            <v>62255</v>
          </cell>
          <cell r="C597">
            <v>76050</v>
          </cell>
          <cell r="D597" t="str">
            <v>Cleaning Expense</v>
          </cell>
          <cell r="E597">
            <v>11055.74</v>
          </cell>
          <cell r="F597">
            <v>11123.56</v>
          </cell>
          <cell r="G597">
            <v>-67.819999999999695</v>
          </cell>
          <cell r="H597">
            <v>68062.720000000001</v>
          </cell>
          <cell r="I597">
            <v>68062.720000000001</v>
          </cell>
          <cell r="J597">
            <v>0</v>
          </cell>
        </row>
        <row r="598">
          <cell r="A598" t="str">
            <v>6225576056</v>
          </cell>
          <cell r="B598">
            <v>62255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6225576070</v>
          </cell>
          <cell r="B599">
            <v>62255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6225576091</v>
          </cell>
          <cell r="B600">
            <v>62255</v>
          </cell>
          <cell r="C600">
            <v>76091</v>
          </cell>
          <cell r="D600" t="str">
            <v>Parking Maintenance</v>
          </cell>
          <cell r="E600">
            <v>7120</v>
          </cell>
          <cell r="F600">
            <v>7276.95</v>
          </cell>
          <cell r="G600">
            <v>-156.94999999999999</v>
          </cell>
          <cell r="H600">
            <v>52388.73</v>
          </cell>
          <cell r="I600">
            <v>52388.73</v>
          </cell>
          <cell r="J600">
            <v>0</v>
          </cell>
        </row>
        <row r="601">
          <cell r="A601" t="str">
            <v>6225577000</v>
          </cell>
          <cell r="B601">
            <v>62255</v>
          </cell>
          <cell r="C601">
            <v>77000</v>
          </cell>
          <cell r="D601" t="str">
            <v>Grounds Maintenance</v>
          </cell>
          <cell r="E601">
            <v>5510.13</v>
          </cell>
          <cell r="F601">
            <v>19842.73</v>
          </cell>
          <cell r="G601">
            <v>-14332.6</v>
          </cell>
          <cell r="H601">
            <v>65694.600000000006</v>
          </cell>
          <cell r="I601">
            <v>65694.600000000006</v>
          </cell>
          <cell r="J601">
            <v>0</v>
          </cell>
        </row>
        <row r="602">
          <cell r="A602" t="str">
            <v>6225577053</v>
          </cell>
          <cell r="B602">
            <v>62255</v>
          </cell>
          <cell r="C602">
            <v>77053</v>
          </cell>
          <cell r="D602" t="str">
            <v>Landscaping</v>
          </cell>
          <cell r="E602">
            <v>8646</v>
          </cell>
          <cell r="F602">
            <v>7104.22</v>
          </cell>
          <cell r="G602">
            <v>1541.78</v>
          </cell>
          <cell r="H602">
            <v>74286.95</v>
          </cell>
          <cell r="I602">
            <v>74286.95</v>
          </cell>
          <cell r="J602">
            <v>0</v>
          </cell>
        </row>
        <row r="603">
          <cell r="A603" t="str">
            <v>6225578020</v>
          </cell>
          <cell r="B603">
            <v>62255</v>
          </cell>
          <cell r="C603">
            <v>78020</v>
          </cell>
          <cell r="D603" t="str">
            <v>Amortized CAM Exp</v>
          </cell>
          <cell r="E603">
            <v>7277.34</v>
          </cell>
          <cell r="F603">
            <v>7361.16</v>
          </cell>
          <cell r="G603">
            <v>-83.819999999999695</v>
          </cell>
          <cell r="H603">
            <v>44167</v>
          </cell>
          <cell r="I603">
            <v>44167</v>
          </cell>
          <cell r="J603">
            <v>0</v>
          </cell>
        </row>
        <row r="604">
          <cell r="A604" t="str">
            <v>6225584264</v>
          </cell>
          <cell r="B604">
            <v>62255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6225585555</v>
          </cell>
          <cell r="B605">
            <v>62255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6225585584</v>
          </cell>
          <cell r="B606">
            <v>62255</v>
          </cell>
          <cell r="C606">
            <v>85584</v>
          </cell>
          <cell r="D606" t="str">
            <v>Bldg Admin-Office Costs</v>
          </cell>
          <cell r="E606">
            <v>2022.92</v>
          </cell>
          <cell r="F606">
            <v>2022.66</v>
          </cell>
          <cell r="G606">
            <v>0.25999999999999102</v>
          </cell>
          <cell r="H606">
            <v>12136</v>
          </cell>
          <cell r="I606">
            <v>12136</v>
          </cell>
          <cell r="J606">
            <v>0</v>
          </cell>
        </row>
        <row r="607">
          <cell r="A607" t="str">
            <v>6225585582</v>
          </cell>
          <cell r="B607">
            <v>62255</v>
          </cell>
          <cell r="C607">
            <v>85582</v>
          </cell>
          <cell r="D607" t="str">
            <v>Bldg Admin-Salaries</v>
          </cell>
          <cell r="E607">
            <v>11707.52</v>
          </cell>
          <cell r="F607">
            <v>11707.16</v>
          </cell>
          <cell r="G607">
            <v>0.36000000000058202</v>
          </cell>
          <cell r="H607">
            <v>74913.8</v>
          </cell>
          <cell r="I607">
            <v>74913.8</v>
          </cell>
          <cell r="J607">
            <v>0</v>
          </cell>
        </row>
        <row r="608">
          <cell r="A608" t="str">
            <v>6225586564</v>
          </cell>
          <cell r="B608">
            <v>62255</v>
          </cell>
          <cell r="C608">
            <v>86564</v>
          </cell>
          <cell r="D608" t="str">
            <v>Insurance</v>
          </cell>
          <cell r="E608">
            <v>8057</v>
          </cell>
          <cell r="F608">
            <v>8057.34</v>
          </cell>
          <cell r="G608">
            <v>-0.34000000000014602</v>
          </cell>
          <cell r="H608">
            <v>48344</v>
          </cell>
          <cell r="I608">
            <v>48344</v>
          </cell>
          <cell r="J608">
            <v>0</v>
          </cell>
        </row>
        <row r="609">
          <cell r="A609" t="str">
            <v>6225588846</v>
          </cell>
          <cell r="B609">
            <v>62255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6225588890</v>
          </cell>
          <cell r="B610">
            <v>62255</v>
          </cell>
          <cell r="C610">
            <v>88890</v>
          </cell>
          <cell r="D610" t="str">
            <v>Security/Safety</v>
          </cell>
          <cell r="E610">
            <v>3632</v>
          </cell>
          <cell r="F610">
            <v>3333.34</v>
          </cell>
          <cell r="G610">
            <v>298.66000000000003</v>
          </cell>
          <cell r="H610">
            <v>63000.33</v>
          </cell>
          <cell r="I610">
            <v>63000.33</v>
          </cell>
          <cell r="J610">
            <v>0</v>
          </cell>
        </row>
        <row r="611">
          <cell r="A611" t="str">
            <v>6225589775</v>
          </cell>
          <cell r="B611">
            <v>62255</v>
          </cell>
          <cell r="C611">
            <v>89775</v>
          </cell>
          <cell r="D611" t="str">
            <v>Assmt Dist Taxes- Reimb</v>
          </cell>
          <cell r="E611">
            <v>27781.16</v>
          </cell>
          <cell r="F611">
            <v>27781.16</v>
          </cell>
          <cell r="G611">
            <v>0</v>
          </cell>
          <cell r="H611">
            <v>166687</v>
          </cell>
          <cell r="I611">
            <v>166687</v>
          </cell>
          <cell r="J611">
            <v>0</v>
          </cell>
        </row>
        <row r="612">
          <cell r="A612" t="str">
            <v>6225589729</v>
          </cell>
          <cell r="B612">
            <v>62255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6225589786</v>
          </cell>
          <cell r="B613">
            <v>62255</v>
          </cell>
          <cell r="C613">
            <v>89786</v>
          </cell>
          <cell r="D613" t="str">
            <v>Property Tax Exp</v>
          </cell>
          <cell r="E613">
            <v>47757.32</v>
          </cell>
          <cell r="F613">
            <v>47757.32</v>
          </cell>
          <cell r="G613">
            <v>0</v>
          </cell>
          <cell r="H613">
            <v>286544</v>
          </cell>
          <cell r="I613">
            <v>286544</v>
          </cell>
          <cell r="J613">
            <v>0</v>
          </cell>
        </row>
        <row r="614">
          <cell r="A614" t="str">
            <v>6225571040</v>
          </cell>
          <cell r="B614">
            <v>62255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6225572701</v>
          </cell>
          <cell r="B615">
            <v>62255</v>
          </cell>
          <cell r="C615">
            <v>72701</v>
          </cell>
          <cell r="D615" t="str">
            <v>Utilities</v>
          </cell>
          <cell r="E615">
            <v>31.7</v>
          </cell>
          <cell r="F615">
            <v>0</v>
          </cell>
          <cell r="G615">
            <v>31.7</v>
          </cell>
          <cell r="H615">
            <v>59.73</v>
          </cell>
          <cell r="I615">
            <v>59.73</v>
          </cell>
          <cell r="J615">
            <v>0</v>
          </cell>
        </row>
        <row r="616">
          <cell r="A616" t="str">
            <v>6225572855</v>
          </cell>
          <cell r="B616">
            <v>62255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6225572870</v>
          </cell>
          <cell r="B617">
            <v>62255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6225576010</v>
          </cell>
          <cell r="B618">
            <v>62255</v>
          </cell>
          <cell r="C618">
            <v>76010</v>
          </cell>
          <cell r="D618" t="str">
            <v>Tenant Alterations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</row>
        <row r="619">
          <cell r="A619" t="str">
            <v>6225576040</v>
          </cell>
          <cell r="B619">
            <v>62255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6225576051</v>
          </cell>
          <cell r="B620">
            <v>62255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6225576054</v>
          </cell>
          <cell r="B621">
            <v>62255</v>
          </cell>
          <cell r="C621">
            <v>76054</v>
          </cell>
          <cell r="D621" t="str">
            <v>Bldg Maintenance &amp; Repair</v>
          </cell>
          <cell r="E621">
            <v>188</v>
          </cell>
          <cell r="F621">
            <v>3333.34</v>
          </cell>
          <cell r="G621">
            <v>-3145.34</v>
          </cell>
          <cell r="H621">
            <v>20930.95</v>
          </cell>
          <cell r="I621">
            <v>20930.95</v>
          </cell>
          <cell r="J621">
            <v>0</v>
          </cell>
        </row>
        <row r="622">
          <cell r="A622" t="str">
            <v>6225576060</v>
          </cell>
          <cell r="B622">
            <v>62255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6225576071</v>
          </cell>
          <cell r="B623">
            <v>62255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6225576090</v>
          </cell>
          <cell r="B624">
            <v>62255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6225577001</v>
          </cell>
          <cell r="B625">
            <v>62255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6225577022</v>
          </cell>
          <cell r="B626">
            <v>62255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6225584200</v>
          </cell>
          <cell r="B627">
            <v>62255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6225584240</v>
          </cell>
          <cell r="B628">
            <v>62255</v>
          </cell>
          <cell r="C628">
            <v>84240</v>
          </cell>
          <cell r="D628" t="str">
            <v>Marketing Leasing</v>
          </cell>
          <cell r="E628">
            <v>5501.24</v>
          </cell>
          <cell r="F628">
            <v>5965</v>
          </cell>
          <cell r="G628">
            <v>-463.76</v>
          </cell>
          <cell r="H628">
            <v>37763.5</v>
          </cell>
          <cell r="I628">
            <v>37763.5</v>
          </cell>
          <cell r="J628">
            <v>0</v>
          </cell>
        </row>
        <row r="629">
          <cell r="A629" t="str">
            <v>6225584242</v>
          </cell>
          <cell r="B629">
            <v>62255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6225584243</v>
          </cell>
          <cell r="B630">
            <v>62255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-33946</v>
          </cell>
          <cell r="I630">
            <v>-33946</v>
          </cell>
          <cell r="J630">
            <v>0</v>
          </cell>
        </row>
        <row r="631">
          <cell r="A631" t="str">
            <v>6225584244</v>
          </cell>
          <cell r="B631">
            <v>62255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6225584265</v>
          </cell>
          <cell r="B632">
            <v>62255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6225588037</v>
          </cell>
          <cell r="B633">
            <v>62255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6225585016</v>
          </cell>
          <cell r="B634">
            <v>62255</v>
          </cell>
          <cell r="C634">
            <v>85016</v>
          </cell>
          <cell r="D634" t="str">
            <v>Prof Svc-Attorney Outside</v>
          </cell>
          <cell r="E634">
            <v>12820.64</v>
          </cell>
          <cell r="F634">
            <v>0</v>
          </cell>
          <cell r="G634">
            <v>12820.64</v>
          </cell>
          <cell r="H634">
            <v>1028.28</v>
          </cell>
          <cell r="I634">
            <v>1028.28</v>
          </cell>
          <cell r="J634">
            <v>0</v>
          </cell>
        </row>
        <row r="635">
          <cell r="A635" t="str">
            <v>6225585022</v>
          </cell>
          <cell r="B635">
            <v>62255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0</v>
          </cell>
          <cell r="G635">
            <v>0</v>
          </cell>
          <cell r="H635">
            <v>5089.59</v>
          </cell>
          <cell r="I635">
            <v>5089.59</v>
          </cell>
          <cell r="J635">
            <v>0</v>
          </cell>
        </row>
        <row r="636">
          <cell r="A636" t="str">
            <v>6225585065</v>
          </cell>
          <cell r="B636">
            <v>62255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6225585500</v>
          </cell>
          <cell r="B637">
            <v>62255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206</v>
          </cell>
          <cell r="I637">
            <v>206</v>
          </cell>
          <cell r="J637">
            <v>0</v>
          </cell>
        </row>
        <row r="638">
          <cell r="A638" t="str">
            <v>6225585566</v>
          </cell>
          <cell r="B638">
            <v>62255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6225585581</v>
          </cell>
          <cell r="B639">
            <v>62255</v>
          </cell>
          <cell r="C639">
            <v>85581</v>
          </cell>
          <cell r="D639" t="str">
            <v>Bldg Admin- Salaries</v>
          </cell>
          <cell r="E639">
            <v>11580.61</v>
          </cell>
          <cell r="F639">
            <v>11580.66</v>
          </cell>
          <cell r="G639">
            <v>-4.9999999999272397E-2</v>
          </cell>
          <cell r="H639">
            <v>72269.3</v>
          </cell>
          <cell r="I639">
            <v>72269.3</v>
          </cell>
          <cell r="J639">
            <v>0</v>
          </cell>
        </row>
        <row r="640">
          <cell r="A640" t="str">
            <v>6225585583</v>
          </cell>
          <cell r="B640">
            <v>62255</v>
          </cell>
          <cell r="C640">
            <v>85583</v>
          </cell>
          <cell r="D640" t="str">
            <v>Bldg Admin-Office Exp.</v>
          </cell>
          <cell r="E640">
            <v>129.30000000000001</v>
          </cell>
          <cell r="F640">
            <v>0</v>
          </cell>
          <cell r="G640">
            <v>129.30000000000001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6225585530</v>
          </cell>
          <cell r="B641">
            <v>62255</v>
          </cell>
          <cell r="C641">
            <v>85530</v>
          </cell>
          <cell r="D641" t="str">
            <v>Bldg Admin - Office Exp</v>
          </cell>
          <cell r="E641">
            <v>129.30000000000001</v>
          </cell>
          <cell r="F641">
            <v>0</v>
          </cell>
          <cell r="G641">
            <v>129.30000000000001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6225586012</v>
          </cell>
          <cell r="B642">
            <v>62255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6225586037</v>
          </cell>
          <cell r="B643">
            <v>62255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6225583050</v>
          </cell>
          <cell r="B644">
            <v>62255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6225586510</v>
          </cell>
          <cell r="B645">
            <v>62255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6225586537</v>
          </cell>
          <cell r="B646">
            <v>62255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6225586566</v>
          </cell>
          <cell r="B647">
            <v>62255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6225586955</v>
          </cell>
          <cell r="B648">
            <v>62255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6225586985</v>
          </cell>
          <cell r="B649">
            <v>62255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6225586880</v>
          </cell>
          <cell r="B650">
            <v>62255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6225588710</v>
          </cell>
          <cell r="B651">
            <v>62255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</v>
          </cell>
          <cell r="G651">
            <v>0</v>
          </cell>
          <cell r="H651">
            <v>54884</v>
          </cell>
          <cell r="I651">
            <v>54884</v>
          </cell>
          <cell r="J651">
            <v>0</v>
          </cell>
        </row>
        <row r="652">
          <cell r="A652" t="str">
            <v>6225588711</v>
          </cell>
          <cell r="B652">
            <v>62255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6225588785</v>
          </cell>
          <cell r="B653">
            <v>62255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6225588847</v>
          </cell>
          <cell r="B654">
            <v>62255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6225588866</v>
          </cell>
          <cell r="B655">
            <v>62255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6225588870</v>
          </cell>
          <cell r="B656">
            <v>62255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6225588889</v>
          </cell>
          <cell r="B657">
            <v>62255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6225589776</v>
          </cell>
          <cell r="B658">
            <v>62255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6225589787</v>
          </cell>
          <cell r="B659">
            <v>62255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6225589510</v>
          </cell>
          <cell r="B660">
            <v>62255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262235</v>
          </cell>
          <cell r="G660">
            <v>-262235</v>
          </cell>
          <cell r="H660">
            <v>407051</v>
          </cell>
          <cell r="I660">
            <v>407051</v>
          </cell>
          <cell r="J660">
            <v>0</v>
          </cell>
        </row>
        <row r="661">
          <cell r="A661" t="str">
            <v>6225589511</v>
          </cell>
          <cell r="B661">
            <v>62255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6225589512</v>
          </cell>
          <cell r="B662">
            <v>62255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6225589528</v>
          </cell>
          <cell r="B663">
            <v>62255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6225589529</v>
          </cell>
          <cell r="B664">
            <v>62255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6225589567</v>
          </cell>
          <cell r="B665">
            <v>62255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6225585058</v>
          </cell>
          <cell r="B666">
            <v>62255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6225586513</v>
          </cell>
          <cell r="B667">
            <v>62255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240.44</v>
          </cell>
          <cell r="G667">
            <v>-240.44</v>
          </cell>
          <cell r="H667">
            <v>2294.64</v>
          </cell>
          <cell r="I667">
            <v>2294.64</v>
          </cell>
          <cell r="J667">
            <v>0</v>
          </cell>
        </row>
        <row r="668">
          <cell r="A668" t="str">
            <v>6225586519</v>
          </cell>
          <cell r="B668">
            <v>62255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6225588770</v>
          </cell>
          <cell r="B669">
            <v>62255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6225588862</v>
          </cell>
          <cell r="B670">
            <v>62255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6225588874</v>
          </cell>
          <cell r="B671">
            <v>62255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6225589910</v>
          </cell>
          <cell r="B672">
            <v>62255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106120.53</v>
          </cell>
          <cell r="G672">
            <v>-106120.53</v>
          </cell>
          <cell r="H672">
            <v>641254.89</v>
          </cell>
          <cell r="I672">
            <v>641254.89</v>
          </cell>
          <cell r="J672">
            <v>0</v>
          </cell>
        </row>
        <row r="673">
          <cell r="A673" t="str">
            <v>6225589548</v>
          </cell>
          <cell r="B673">
            <v>62255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6228041010</v>
          </cell>
          <cell r="B674">
            <v>62280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6228041040</v>
          </cell>
          <cell r="B675">
            <v>62280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6228041050</v>
          </cell>
          <cell r="B676">
            <v>62280</v>
          </cell>
          <cell r="C676">
            <v>41050</v>
          </cell>
          <cell r="D676" t="str">
            <v>Rental Income - Fixed</v>
          </cell>
          <cell r="E676">
            <v>-1034444.83</v>
          </cell>
          <cell r="F676">
            <v>-926720.6</v>
          </cell>
          <cell r="G676">
            <v>-107724.23</v>
          </cell>
          <cell r="H676">
            <v>-12009575.869999999</v>
          </cell>
          <cell r="I676">
            <v>-12009575.869999999</v>
          </cell>
          <cell r="J676">
            <v>0</v>
          </cell>
        </row>
        <row r="677">
          <cell r="A677" t="str">
            <v>6228041074</v>
          </cell>
          <cell r="B677">
            <v>62280</v>
          </cell>
          <cell r="C677">
            <v>41074</v>
          </cell>
          <cell r="D677" t="str">
            <v>Rental Income - Percentage</v>
          </cell>
          <cell r="E677">
            <v>-87047.14</v>
          </cell>
          <cell r="F677">
            <v>-91460</v>
          </cell>
          <cell r="G677">
            <v>4412.8599999999997</v>
          </cell>
          <cell r="H677">
            <v>-529635</v>
          </cell>
          <cell r="I677">
            <v>-529635</v>
          </cell>
          <cell r="J677">
            <v>0</v>
          </cell>
        </row>
        <row r="678">
          <cell r="A678" t="str">
            <v>6228041082</v>
          </cell>
          <cell r="B678">
            <v>62280</v>
          </cell>
          <cell r="C678">
            <v>41082</v>
          </cell>
          <cell r="D678" t="str">
            <v>Rental Income - Operating Exp</v>
          </cell>
          <cell r="E678">
            <v>-661997.63</v>
          </cell>
          <cell r="F678">
            <v>-716983.5</v>
          </cell>
          <cell r="G678">
            <v>54985.87</v>
          </cell>
          <cell r="H678">
            <v>-8607161.5999999996</v>
          </cell>
          <cell r="I678">
            <v>-8607161.5999999996</v>
          </cell>
          <cell r="J678">
            <v>0</v>
          </cell>
        </row>
        <row r="679">
          <cell r="A679" t="str">
            <v>6228044610</v>
          </cell>
          <cell r="B679">
            <v>62280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6228045071</v>
          </cell>
          <cell r="B680">
            <v>62280</v>
          </cell>
          <cell r="C680">
            <v>45071</v>
          </cell>
          <cell r="D680" t="str">
            <v>Termination Fee</v>
          </cell>
          <cell r="E680">
            <v>-1000000</v>
          </cell>
          <cell r="F680">
            <v>0</v>
          </cell>
          <cell r="G680">
            <v>-1000000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6228045010</v>
          </cell>
          <cell r="B681">
            <v>62280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6228045046</v>
          </cell>
          <cell r="B682">
            <v>62280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6228045070</v>
          </cell>
          <cell r="B683">
            <v>62280</v>
          </cell>
          <cell r="C683">
            <v>45070</v>
          </cell>
          <cell r="D683" t="str">
            <v>Other Income</v>
          </cell>
          <cell r="E683">
            <v>-147150</v>
          </cell>
          <cell r="F683">
            <v>-142250</v>
          </cell>
          <cell r="G683">
            <v>-4900</v>
          </cell>
          <cell r="H683">
            <v>-1186350</v>
          </cell>
          <cell r="I683">
            <v>-1186350</v>
          </cell>
          <cell r="J683">
            <v>0</v>
          </cell>
        </row>
        <row r="684">
          <cell r="A684" t="str">
            <v>6228041060</v>
          </cell>
          <cell r="B684">
            <v>62280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35240.58</v>
          </cell>
          <cell r="G684">
            <v>-35240.58</v>
          </cell>
          <cell r="H684">
            <v>422887</v>
          </cell>
          <cell r="I684">
            <v>422887</v>
          </cell>
          <cell r="J684">
            <v>0</v>
          </cell>
        </row>
        <row r="685">
          <cell r="A685" t="str">
            <v>6228044870</v>
          </cell>
          <cell r="B685">
            <v>62280</v>
          </cell>
          <cell r="C685">
            <v>44870</v>
          </cell>
          <cell r="D685" t="str">
            <v>Late Fees</v>
          </cell>
          <cell r="E685">
            <v>-2250</v>
          </cell>
          <cell r="F685">
            <v>0</v>
          </cell>
          <cell r="G685">
            <v>-2250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6228052542</v>
          </cell>
          <cell r="B686">
            <v>62280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6228072710</v>
          </cell>
          <cell r="B687">
            <v>62280</v>
          </cell>
          <cell r="C687">
            <v>72710</v>
          </cell>
          <cell r="D687" t="str">
            <v>Utilities - Electricity</v>
          </cell>
          <cell r="E687">
            <v>43106.23</v>
          </cell>
          <cell r="F687">
            <v>50000</v>
          </cell>
          <cell r="G687">
            <v>-6893.77</v>
          </cell>
          <cell r="H687">
            <v>570000</v>
          </cell>
          <cell r="I687">
            <v>570000</v>
          </cell>
          <cell r="J687">
            <v>0</v>
          </cell>
        </row>
        <row r="688">
          <cell r="A688" t="str">
            <v>6228072740</v>
          </cell>
          <cell r="B688">
            <v>62280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6228072770</v>
          </cell>
          <cell r="B689">
            <v>62280</v>
          </cell>
          <cell r="C689">
            <v>72770</v>
          </cell>
          <cell r="D689" t="str">
            <v>Utilities - Water</v>
          </cell>
          <cell r="E689">
            <v>11527.14</v>
          </cell>
          <cell r="F689">
            <v>11040</v>
          </cell>
          <cell r="G689">
            <v>487.13999999999902</v>
          </cell>
          <cell r="H689">
            <v>104680</v>
          </cell>
          <cell r="I689">
            <v>104680</v>
          </cell>
          <cell r="J689">
            <v>0</v>
          </cell>
        </row>
        <row r="690">
          <cell r="A690" t="str">
            <v>6228076000</v>
          </cell>
          <cell r="B690">
            <v>62280</v>
          </cell>
          <cell r="C690">
            <v>76000</v>
          </cell>
          <cell r="D690" t="str">
            <v>Bldg Maintenance &amp; Repair</v>
          </cell>
          <cell r="E690">
            <v>23698.46</v>
          </cell>
          <cell r="F690">
            <v>66241</v>
          </cell>
          <cell r="G690">
            <v>-42542.54</v>
          </cell>
          <cell r="H690">
            <v>559442.06000000006</v>
          </cell>
          <cell r="I690">
            <v>559442.06000000006</v>
          </cell>
          <cell r="J690">
            <v>0</v>
          </cell>
        </row>
        <row r="691">
          <cell r="A691" t="str">
            <v>6228076020</v>
          </cell>
          <cell r="B691">
            <v>62280</v>
          </cell>
          <cell r="C691">
            <v>76020</v>
          </cell>
          <cell r="D691" t="str">
            <v>Food Court Expense</v>
          </cell>
          <cell r="E691">
            <v>18413.080000000002</v>
          </cell>
          <cell r="F691">
            <v>22097.33</v>
          </cell>
          <cell r="G691">
            <v>-3684.25</v>
          </cell>
          <cell r="H691">
            <v>225748</v>
          </cell>
          <cell r="I691">
            <v>225748</v>
          </cell>
          <cell r="J691">
            <v>0</v>
          </cell>
        </row>
        <row r="692">
          <cell r="A692" t="str">
            <v>6228076034</v>
          </cell>
          <cell r="B692">
            <v>62280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6228076050</v>
          </cell>
          <cell r="B693">
            <v>62280</v>
          </cell>
          <cell r="C693">
            <v>76050</v>
          </cell>
          <cell r="D693" t="str">
            <v>Cleaning Expense</v>
          </cell>
          <cell r="E693">
            <v>75036.81</v>
          </cell>
          <cell r="F693">
            <v>77300</v>
          </cell>
          <cell r="G693">
            <v>-2263.19</v>
          </cell>
          <cell r="H693">
            <v>936700</v>
          </cell>
          <cell r="I693">
            <v>936700</v>
          </cell>
          <cell r="J693">
            <v>0</v>
          </cell>
        </row>
        <row r="694">
          <cell r="A694" t="str">
            <v>6228076056</v>
          </cell>
          <cell r="B694">
            <v>62280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6228076070</v>
          </cell>
          <cell r="B695">
            <v>62280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6228076091</v>
          </cell>
          <cell r="B696">
            <v>62280</v>
          </cell>
          <cell r="C696">
            <v>76091</v>
          </cell>
          <cell r="D696" t="str">
            <v>Parking Maintenance</v>
          </cell>
          <cell r="E696">
            <v>9033.4699999999993</v>
          </cell>
          <cell r="F696">
            <v>10770</v>
          </cell>
          <cell r="G696">
            <v>-1736.53</v>
          </cell>
          <cell r="H696">
            <v>149838</v>
          </cell>
          <cell r="I696">
            <v>149838</v>
          </cell>
          <cell r="J696">
            <v>0</v>
          </cell>
        </row>
        <row r="697">
          <cell r="A697" t="str">
            <v>6228077000</v>
          </cell>
          <cell r="B697">
            <v>62280</v>
          </cell>
          <cell r="C697">
            <v>77000</v>
          </cell>
          <cell r="D697" t="str">
            <v>Grounds Maintenance</v>
          </cell>
          <cell r="E697">
            <v>51995.7</v>
          </cell>
          <cell r="F697">
            <v>80570</v>
          </cell>
          <cell r="G697">
            <v>-28574.3</v>
          </cell>
          <cell r="H697">
            <v>684120</v>
          </cell>
          <cell r="I697">
            <v>684120</v>
          </cell>
          <cell r="J697">
            <v>0</v>
          </cell>
        </row>
        <row r="698">
          <cell r="A698" t="str">
            <v>6228077053</v>
          </cell>
          <cell r="B698">
            <v>62280</v>
          </cell>
          <cell r="C698">
            <v>77053</v>
          </cell>
          <cell r="D698" t="str">
            <v>Landscaping</v>
          </cell>
          <cell r="E698">
            <v>23516</v>
          </cell>
          <cell r="F698">
            <v>48940</v>
          </cell>
          <cell r="G698">
            <v>-25424</v>
          </cell>
          <cell r="H698">
            <v>443350</v>
          </cell>
          <cell r="I698">
            <v>443350</v>
          </cell>
          <cell r="J698">
            <v>0</v>
          </cell>
        </row>
        <row r="699">
          <cell r="A699" t="str">
            <v>6228078020</v>
          </cell>
          <cell r="B699">
            <v>62280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1944.42</v>
          </cell>
          <cell r="G699">
            <v>-1944.42</v>
          </cell>
          <cell r="H699">
            <v>23333</v>
          </cell>
          <cell r="I699">
            <v>23333</v>
          </cell>
          <cell r="J699">
            <v>0</v>
          </cell>
        </row>
        <row r="700">
          <cell r="A700" t="str">
            <v>6228084264</v>
          </cell>
          <cell r="B700">
            <v>62280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6228085555</v>
          </cell>
          <cell r="B701">
            <v>62280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6228085584</v>
          </cell>
          <cell r="B702">
            <v>62280</v>
          </cell>
          <cell r="C702">
            <v>85584</v>
          </cell>
          <cell r="D702" t="str">
            <v>Bldg Admin-Office Costs</v>
          </cell>
          <cell r="E702">
            <v>6578.83</v>
          </cell>
          <cell r="F702">
            <v>14879.34</v>
          </cell>
          <cell r="G702">
            <v>-8300.51</v>
          </cell>
          <cell r="H702">
            <v>178552</v>
          </cell>
          <cell r="I702">
            <v>178552</v>
          </cell>
          <cell r="J702">
            <v>0</v>
          </cell>
        </row>
        <row r="703">
          <cell r="A703" t="str">
            <v>6228085582</v>
          </cell>
          <cell r="B703">
            <v>62280</v>
          </cell>
          <cell r="C703">
            <v>85582</v>
          </cell>
          <cell r="D703" t="str">
            <v>Bldg Admin-Salaries</v>
          </cell>
          <cell r="E703">
            <v>49651</v>
          </cell>
          <cell r="F703">
            <v>49651</v>
          </cell>
          <cell r="G703">
            <v>0</v>
          </cell>
          <cell r="H703">
            <v>671991</v>
          </cell>
          <cell r="I703">
            <v>671991</v>
          </cell>
          <cell r="J703">
            <v>0</v>
          </cell>
        </row>
        <row r="704">
          <cell r="A704" t="str">
            <v>6228086564</v>
          </cell>
          <cell r="B704">
            <v>62280</v>
          </cell>
          <cell r="C704">
            <v>86564</v>
          </cell>
          <cell r="D704" t="str">
            <v>Insurance</v>
          </cell>
          <cell r="E704">
            <v>26258</v>
          </cell>
          <cell r="F704">
            <v>26258.33</v>
          </cell>
          <cell r="G704">
            <v>-0.33000000000174601</v>
          </cell>
          <cell r="H704">
            <v>315100</v>
          </cell>
          <cell r="I704">
            <v>315100</v>
          </cell>
          <cell r="J704">
            <v>0</v>
          </cell>
        </row>
        <row r="705">
          <cell r="A705" t="str">
            <v>6228088846</v>
          </cell>
          <cell r="B705">
            <v>62280</v>
          </cell>
          <cell r="C705">
            <v>88846</v>
          </cell>
          <cell r="D705" t="str">
            <v>Expenses -Other</v>
          </cell>
          <cell r="E705">
            <v>15934.26</v>
          </cell>
          <cell r="F705">
            <v>12500</v>
          </cell>
          <cell r="G705">
            <v>3434.26</v>
          </cell>
          <cell r="H705">
            <v>31000</v>
          </cell>
          <cell r="I705">
            <v>31000</v>
          </cell>
          <cell r="J705">
            <v>0</v>
          </cell>
        </row>
        <row r="706">
          <cell r="A706" t="str">
            <v>6228088890</v>
          </cell>
          <cell r="B706">
            <v>62280</v>
          </cell>
          <cell r="C706">
            <v>88890</v>
          </cell>
          <cell r="D706" t="str">
            <v>Security/Safety</v>
          </cell>
          <cell r="E706">
            <v>185462.23</v>
          </cell>
          <cell r="F706">
            <v>191338.91</v>
          </cell>
          <cell r="G706">
            <v>-5876.6799999999903</v>
          </cell>
          <cell r="H706">
            <v>2249127</v>
          </cell>
          <cell r="I706">
            <v>2249127</v>
          </cell>
          <cell r="J706">
            <v>0</v>
          </cell>
        </row>
        <row r="707">
          <cell r="A707" t="str">
            <v>6228089775</v>
          </cell>
          <cell r="B707">
            <v>62280</v>
          </cell>
          <cell r="C707">
            <v>89775</v>
          </cell>
          <cell r="D707" t="str">
            <v>Assmt Dist Taxes- Reimb</v>
          </cell>
          <cell r="E707">
            <v>16331</v>
          </cell>
          <cell r="F707">
            <v>16331.17</v>
          </cell>
          <cell r="G707">
            <v>-0.17000000000007301</v>
          </cell>
          <cell r="H707">
            <v>195974</v>
          </cell>
          <cell r="I707">
            <v>195974</v>
          </cell>
          <cell r="J707">
            <v>0</v>
          </cell>
        </row>
        <row r="708">
          <cell r="A708" t="str">
            <v>6228089729</v>
          </cell>
          <cell r="B708">
            <v>62280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6228089786</v>
          </cell>
          <cell r="B709">
            <v>62280</v>
          </cell>
          <cell r="C709">
            <v>89786</v>
          </cell>
          <cell r="D709" t="str">
            <v>Property Tax Exp</v>
          </cell>
          <cell r="E709">
            <v>105613</v>
          </cell>
          <cell r="F709">
            <v>106512.67</v>
          </cell>
          <cell r="G709">
            <v>-899.66999999999803</v>
          </cell>
          <cell r="H709">
            <v>1278152</v>
          </cell>
          <cell r="I709">
            <v>1278152</v>
          </cell>
          <cell r="J709">
            <v>0</v>
          </cell>
        </row>
        <row r="710">
          <cell r="A710" t="str">
            <v>6228071040</v>
          </cell>
          <cell r="B710">
            <v>62280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6228072701</v>
          </cell>
          <cell r="B711">
            <v>62280</v>
          </cell>
          <cell r="C711">
            <v>72701</v>
          </cell>
          <cell r="D711" t="str">
            <v>Utilities</v>
          </cell>
          <cell r="E711">
            <v>13913.38</v>
          </cell>
          <cell r="F711">
            <v>12383.34</v>
          </cell>
          <cell r="G711">
            <v>1530.04</v>
          </cell>
          <cell r="H711">
            <v>148600</v>
          </cell>
          <cell r="I711">
            <v>148600</v>
          </cell>
          <cell r="J711">
            <v>0</v>
          </cell>
        </row>
        <row r="712">
          <cell r="A712" t="str">
            <v>6228072855</v>
          </cell>
          <cell r="B712">
            <v>62280</v>
          </cell>
          <cell r="C712">
            <v>72855</v>
          </cell>
          <cell r="D712" t="str">
            <v>Rent Expense-Ground</v>
          </cell>
          <cell r="E712">
            <v>7513.4</v>
          </cell>
          <cell r="F712">
            <v>7666.67</v>
          </cell>
          <cell r="G712">
            <v>-153.27000000000001</v>
          </cell>
          <cell r="H712">
            <v>92000</v>
          </cell>
          <cell r="I712">
            <v>92000</v>
          </cell>
          <cell r="J712">
            <v>0</v>
          </cell>
        </row>
        <row r="713">
          <cell r="A713" t="str">
            <v>6228072870</v>
          </cell>
          <cell r="B713">
            <v>62280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6228076010</v>
          </cell>
          <cell r="B714">
            <v>62280</v>
          </cell>
          <cell r="C714">
            <v>76010</v>
          </cell>
          <cell r="D714" t="str">
            <v>Tenant Alterations</v>
          </cell>
          <cell r="E714">
            <v>795.84</v>
          </cell>
          <cell r="F714">
            <v>5300</v>
          </cell>
          <cell r="G714">
            <v>-4504.16</v>
          </cell>
          <cell r="H714">
            <v>41100</v>
          </cell>
          <cell r="I714">
            <v>41100</v>
          </cell>
          <cell r="J714">
            <v>0</v>
          </cell>
        </row>
        <row r="715">
          <cell r="A715" t="str">
            <v>6228076040</v>
          </cell>
          <cell r="B715">
            <v>62280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6228076051</v>
          </cell>
          <cell r="B716">
            <v>62280</v>
          </cell>
          <cell r="C716">
            <v>76051</v>
          </cell>
          <cell r="D716" t="str">
            <v>Cleaning</v>
          </cell>
          <cell r="E716">
            <v>4000</v>
          </cell>
          <cell r="F716">
            <v>4000</v>
          </cell>
          <cell r="G716">
            <v>0</v>
          </cell>
          <cell r="H716">
            <v>48000</v>
          </cell>
          <cell r="I716">
            <v>48000</v>
          </cell>
          <cell r="J716">
            <v>0</v>
          </cell>
        </row>
        <row r="717">
          <cell r="A717" t="str">
            <v>6228076054</v>
          </cell>
          <cell r="B717">
            <v>62280</v>
          </cell>
          <cell r="C717">
            <v>76054</v>
          </cell>
          <cell r="D717" t="str">
            <v>Bldg Maintenance &amp; Repair</v>
          </cell>
          <cell r="E717">
            <v>2587.6999999999998</v>
          </cell>
          <cell r="F717">
            <v>16300</v>
          </cell>
          <cell r="G717">
            <v>-13712.3</v>
          </cell>
          <cell r="H717">
            <v>210150</v>
          </cell>
          <cell r="I717">
            <v>210150</v>
          </cell>
          <cell r="J717">
            <v>0</v>
          </cell>
        </row>
        <row r="718">
          <cell r="A718" t="str">
            <v>6228076060</v>
          </cell>
          <cell r="B718">
            <v>62280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6228076071</v>
          </cell>
          <cell r="B719">
            <v>62280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6228076090</v>
          </cell>
          <cell r="B720">
            <v>62280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6228077001</v>
          </cell>
          <cell r="B721">
            <v>62280</v>
          </cell>
          <cell r="C721">
            <v>77001</v>
          </cell>
          <cell r="D721" t="str">
            <v>Grounds Maintenance</v>
          </cell>
          <cell r="E721">
            <v>40704.1</v>
          </cell>
          <cell r="F721">
            <v>44080.92</v>
          </cell>
          <cell r="G721">
            <v>-3376.82</v>
          </cell>
          <cell r="H721">
            <v>503339</v>
          </cell>
          <cell r="I721">
            <v>503339</v>
          </cell>
          <cell r="J721">
            <v>0</v>
          </cell>
        </row>
        <row r="722">
          <cell r="A722" t="str">
            <v>6228077022</v>
          </cell>
          <cell r="B722">
            <v>62280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6228084200</v>
          </cell>
          <cell r="B723">
            <v>62280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6228084240</v>
          </cell>
          <cell r="B724">
            <v>62280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4500</v>
          </cell>
          <cell r="G724">
            <v>-4500</v>
          </cell>
          <cell r="H724">
            <v>66700</v>
          </cell>
          <cell r="I724">
            <v>66700</v>
          </cell>
          <cell r="J724">
            <v>0</v>
          </cell>
        </row>
        <row r="725">
          <cell r="A725" t="str">
            <v>6228084242</v>
          </cell>
          <cell r="B725">
            <v>62280</v>
          </cell>
          <cell r="C725">
            <v>84242</v>
          </cell>
          <cell r="D725" t="str">
            <v>Marketing-Subsidy</v>
          </cell>
          <cell r="E725">
            <v>25</v>
          </cell>
          <cell r="F725">
            <v>100</v>
          </cell>
          <cell r="G725">
            <v>-75</v>
          </cell>
          <cell r="H725">
            <v>1000</v>
          </cell>
          <cell r="I725">
            <v>1000</v>
          </cell>
          <cell r="J725">
            <v>0</v>
          </cell>
        </row>
        <row r="726">
          <cell r="A726" t="str">
            <v>6228084243</v>
          </cell>
          <cell r="B726">
            <v>62280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6228084244</v>
          </cell>
          <cell r="B727">
            <v>62280</v>
          </cell>
          <cell r="C727">
            <v>84244</v>
          </cell>
          <cell r="D727" t="str">
            <v>Marketing-Net Required</v>
          </cell>
          <cell r="E727">
            <v>205367</v>
          </cell>
          <cell r="F727">
            <v>205367</v>
          </cell>
          <cell r="G727">
            <v>0</v>
          </cell>
          <cell r="H727">
            <v>410734</v>
          </cell>
          <cell r="I727">
            <v>410734</v>
          </cell>
          <cell r="J727">
            <v>0</v>
          </cell>
        </row>
        <row r="728">
          <cell r="A728" t="str">
            <v>6228084265</v>
          </cell>
          <cell r="B728">
            <v>62280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6228088037</v>
          </cell>
          <cell r="B729">
            <v>62280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6228085016</v>
          </cell>
          <cell r="B730">
            <v>62280</v>
          </cell>
          <cell r="C730">
            <v>85016</v>
          </cell>
          <cell r="D730" t="str">
            <v>Prof Svc-Attorney Outside</v>
          </cell>
          <cell r="E730">
            <v>-446.38</v>
          </cell>
          <cell r="F730">
            <v>2350</v>
          </cell>
          <cell r="G730">
            <v>-2796.38</v>
          </cell>
          <cell r="H730">
            <v>28200</v>
          </cell>
          <cell r="I730">
            <v>28200</v>
          </cell>
          <cell r="J730">
            <v>0</v>
          </cell>
        </row>
        <row r="731">
          <cell r="A731" t="str">
            <v>6228085022</v>
          </cell>
          <cell r="B731">
            <v>62280</v>
          </cell>
          <cell r="C731">
            <v>85022</v>
          </cell>
          <cell r="D731" t="str">
            <v>Prof Svc-Audit/Acctng</v>
          </cell>
          <cell r="E731">
            <v>1022.58</v>
          </cell>
          <cell r="F731">
            <v>0</v>
          </cell>
          <cell r="G731">
            <v>1022.58</v>
          </cell>
          <cell r="H731">
            <v>7800</v>
          </cell>
          <cell r="I731">
            <v>7800</v>
          </cell>
          <cell r="J731">
            <v>0</v>
          </cell>
        </row>
        <row r="732">
          <cell r="A732" t="str">
            <v>6228085065</v>
          </cell>
          <cell r="B732">
            <v>62280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6228085500</v>
          </cell>
          <cell r="B733">
            <v>62280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2000</v>
          </cell>
          <cell r="G733">
            <v>-2000</v>
          </cell>
          <cell r="H733">
            <v>16000</v>
          </cell>
          <cell r="I733">
            <v>16000</v>
          </cell>
          <cell r="J733">
            <v>0</v>
          </cell>
        </row>
        <row r="734">
          <cell r="A734" t="str">
            <v>6228085566</v>
          </cell>
          <cell r="B734">
            <v>62280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6228085581</v>
          </cell>
          <cell r="B735">
            <v>62280</v>
          </cell>
          <cell r="C735">
            <v>85581</v>
          </cell>
          <cell r="D735" t="str">
            <v>Bldg Admin- Salaries</v>
          </cell>
          <cell r="E735">
            <v>50367</v>
          </cell>
          <cell r="F735">
            <v>50367</v>
          </cell>
          <cell r="G735">
            <v>0</v>
          </cell>
          <cell r="H735">
            <v>646284</v>
          </cell>
          <cell r="I735">
            <v>646284</v>
          </cell>
          <cell r="J735">
            <v>0</v>
          </cell>
        </row>
        <row r="736">
          <cell r="A736" t="str">
            <v>6228085583</v>
          </cell>
          <cell r="B736">
            <v>62280</v>
          </cell>
          <cell r="C736">
            <v>85583</v>
          </cell>
          <cell r="D736" t="str">
            <v>Bldg Admin-Office Exp.</v>
          </cell>
          <cell r="E736">
            <v>966.87</v>
          </cell>
          <cell r="F736">
            <v>18465.5</v>
          </cell>
          <cell r="G736">
            <v>-17498.63</v>
          </cell>
          <cell r="H736">
            <v>71341</v>
          </cell>
          <cell r="I736">
            <v>71341</v>
          </cell>
          <cell r="J736">
            <v>0</v>
          </cell>
        </row>
        <row r="737">
          <cell r="A737" t="str">
            <v>6228085530</v>
          </cell>
          <cell r="B737">
            <v>62280</v>
          </cell>
          <cell r="C737">
            <v>85530</v>
          </cell>
          <cell r="D737" t="str">
            <v>Bldg Admin - Office Exp</v>
          </cell>
          <cell r="E737">
            <v>966.87</v>
          </cell>
          <cell r="F737">
            <v>18465.5</v>
          </cell>
          <cell r="G737">
            <v>-17498.63</v>
          </cell>
          <cell r="H737">
            <v>71341</v>
          </cell>
          <cell r="I737">
            <v>71341</v>
          </cell>
          <cell r="J737">
            <v>0</v>
          </cell>
        </row>
        <row r="738">
          <cell r="A738" t="str">
            <v>6228086012</v>
          </cell>
          <cell r="B738">
            <v>62280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6228086037</v>
          </cell>
          <cell r="B739">
            <v>62280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6228083050</v>
          </cell>
          <cell r="B740">
            <v>62280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6228086510</v>
          </cell>
          <cell r="B741">
            <v>62280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6228086537</v>
          </cell>
          <cell r="B742">
            <v>62280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6228086566</v>
          </cell>
          <cell r="B743">
            <v>62280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6228086955</v>
          </cell>
          <cell r="B744">
            <v>62280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6228086985</v>
          </cell>
          <cell r="B745">
            <v>62280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6228086880</v>
          </cell>
          <cell r="B746">
            <v>62280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6228088710</v>
          </cell>
          <cell r="B747">
            <v>62280</v>
          </cell>
          <cell r="C747">
            <v>88710</v>
          </cell>
          <cell r="D747" t="str">
            <v>Losses-Bad Debts</v>
          </cell>
          <cell r="E747">
            <v>0</v>
          </cell>
          <cell r="F747">
            <v>18608.919999999998</v>
          </cell>
          <cell r="G747">
            <v>-18608.919999999998</v>
          </cell>
          <cell r="H747">
            <v>223307</v>
          </cell>
          <cell r="I747">
            <v>223307</v>
          </cell>
          <cell r="J747">
            <v>0</v>
          </cell>
        </row>
        <row r="748">
          <cell r="A748" t="str">
            <v>6228088711</v>
          </cell>
          <cell r="B748">
            <v>62280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6228088785</v>
          </cell>
          <cell r="B749">
            <v>62280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6228088847</v>
          </cell>
          <cell r="B750">
            <v>62280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6228088866</v>
          </cell>
          <cell r="B751">
            <v>62280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6228088870</v>
          </cell>
          <cell r="B752">
            <v>62280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6228088889</v>
          </cell>
          <cell r="B753">
            <v>62280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6228089776</v>
          </cell>
          <cell r="B754">
            <v>62280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6228089787</v>
          </cell>
          <cell r="B755">
            <v>62280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6228089510</v>
          </cell>
          <cell r="B756">
            <v>62280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471952</v>
          </cell>
          <cell r="G756">
            <v>-471952</v>
          </cell>
          <cell r="H756">
            <v>1387675</v>
          </cell>
          <cell r="I756">
            <v>1387675</v>
          </cell>
          <cell r="J756">
            <v>0</v>
          </cell>
        </row>
        <row r="757">
          <cell r="A757" t="str">
            <v>6228089511</v>
          </cell>
          <cell r="B757">
            <v>62280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6228089512</v>
          </cell>
          <cell r="B758">
            <v>62280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6228089528</v>
          </cell>
          <cell r="B759">
            <v>62280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6228089529</v>
          </cell>
          <cell r="B760">
            <v>62280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6228089567</v>
          </cell>
          <cell r="B761">
            <v>62280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6228085058</v>
          </cell>
          <cell r="B762">
            <v>62280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6228086513</v>
          </cell>
          <cell r="B763">
            <v>62280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259209.79</v>
          </cell>
          <cell r="I763">
            <v>259209.79</v>
          </cell>
          <cell r="J763">
            <v>0</v>
          </cell>
        </row>
        <row r="764">
          <cell r="A764" t="str">
            <v>6228086519</v>
          </cell>
          <cell r="B764">
            <v>62280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6228088770</v>
          </cell>
          <cell r="B765">
            <v>62280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6228088862</v>
          </cell>
          <cell r="B766">
            <v>62280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6228088874</v>
          </cell>
          <cell r="B767">
            <v>62280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6228089910</v>
          </cell>
          <cell r="B768">
            <v>62280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525098.65</v>
          </cell>
          <cell r="G768">
            <v>-525098.65</v>
          </cell>
          <cell r="H768">
            <v>6490791.8200000003</v>
          </cell>
          <cell r="I768">
            <v>6490791.8200000003</v>
          </cell>
          <cell r="J768">
            <v>0</v>
          </cell>
        </row>
        <row r="769">
          <cell r="A769" t="str">
            <v>6228089548</v>
          </cell>
          <cell r="B769">
            <v>62280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/>
          </cell>
        </row>
        <row r="771">
          <cell r="A771" t="str">
            <v>6232041010</v>
          </cell>
          <cell r="B771">
            <v>62320</v>
          </cell>
          <cell r="C771">
            <v>41010</v>
          </cell>
          <cell r="D771" t="str">
            <v>Parking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6232041040</v>
          </cell>
          <cell r="B772">
            <v>62320</v>
          </cell>
          <cell r="C772">
            <v>41040</v>
          </cell>
          <cell r="D772" t="str">
            <v>Rental Income FAS 13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</row>
        <row r="773">
          <cell r="A773" t="str">
            <v>6232041050</v>
          </cell>
          <cell r="B773">
            <v>62320</v>
          </cell>
          <cell r="C773">
            <v>41050</v>
          </cell>
          <cell r="D773" t="str">
            <v>Rental Income - Fixed</v>
          </cell>
          <cell r="E773">
            <v>-275806.40000000002</v>
          </cell>
          <cell r="F773">
            <v>-280182.36</v>
          </cell>
          <cell r="G773">
            <v>4375.95999999996</v>
          </cell>
          <cell r="H773">
            <v>-2673566.12</v>
          </cell>
          <cell r="I773">
            <v>-2673566.12</v>
          </cell>
          <cell r="J773">
            <v>0</v>
          </cell>
        </row>
        <row r="774">
          <cell r="A774" t="str">
            <v>6232041074</v>
          </cell>
          <cell r="B774">
            <v>62320</v>
          </cell>
          <cell r="C774">
            <v>41074</v>
          </cell>
          <cell r="D774" t="str">
            <v>Rental Income - Percentage</v>
          </cell>
          <cell r="E774">
            <v>-63103.1</v>
          </cell>
          <cell r="F774">
            <v>-44642</v>
          </cell>
          <cell r="G774">
            <v>-18461.099999999999</v>
          </cell>
          <cell r="H774">
            <v>-155942</v>
          </cell>
          <cell r="I774">
            <v>-155942</v>
          </cell>
          <cell r="J774">
            <v>0</v>
          </cell>
        </row>
        <row r="775">
          <cell r="A775" t="str">
            <v>6232041082</v>
          </cell>
          <cell r="B775">
            <v>62320</v>
          </cell>
          <cell r="C775">
            <v>41082</v>
          </cell>
          <cell r="D775" t="str">
            <v>Rental Income - Operating Exp</v>
          </cell>
          <cell r="E775">
            <v>-132947.20000000001</v>
          </cell>
          <cell r="F775">
            <v>-147430.16</v>
          </cell>
          <cell r="G775">
            <v>14482.96</v>
          </cell>
          <cell r="H775">
            <v>-884580.96</v>
          </cell>
          <cell r="I775">
            <v>-884580.96</v>
          </cell>
          <cell r="J775">
            <v>0</v>
          </cell>
        </row>
        <row r="776">
          <cell r="A776" t="str">
            <v>6232044610</v>
          </cell>
          <cell r="B776">
            <v>62320</v>
          </cell>
          <cell r="C776">
            <v>44610</v>
          </cell>
          <cell r="D776" t="str">
            <v>Marketing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6232045071</v>
          </cell>
          <cell r="B777">
            <v>62320</v>
          </cell>
          <cell r="C777">
            <v>45071</v>
          </cell>
          <cell r="D777" t="str">
            <v>Termination Fee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6232045010</v>
          </cell>
          <cell r="B778">
            <v>62320</v>
          </cell>
          <cell r="C778">
            <v>45010</v>
          </cell>
          <cell r="D778" t="str">
            <v>Bad Debt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6232045046</v>
          </cell>
          <cell r="B779">
            <v>62320</v>
          </cell>
          <cell r="C779">
            <v>45046</v>
          </cell>
          <cell r="D779" t="str">
            <v>Mgmt/Consult Fee Income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6232045070</v>
          </cell>
          <cell r="B780">
            <v>62320</v>
          </cell>
          <cell r="C780">
            <v>45070</v>
          </cell>
          <cell r="D780" t="str">
            <v>Other Income</v>
          </cell>
          <cell r="E780">
            <v>-1527.75</v>
          </cell>
          <cell r="F780">
            <v>0</v>
          </cell>
          <cell r="G780">
            <v>-1527.75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6232041060</v>
          </cell>
          <cell r="B781">
            <v>62320</v>
          </cell>
          <cell r="C781">
            <v>41060</v>
          </cell>
          <cell r="D781" t="str">
            <v>Rental Income - Vacancy</v>
          </cell>
          <cell r="E781">
            <v>0</v>
          </cell>
          <cell r="F781">
            <v>12380.34</v>
          </cell>
          <cell r="G781">
            <v>-12380.34</v>
          </cell>
          <cell r="H781">
            <v>74282</v>
          </cell>
          <cell r="I781">
            <v>74282</v>
          </cell>
          <cell r="J781">
            <v>0</v>
          </cell>
        </row>
        <row r="782">
          <cell r="A782" t="str">
            <v>6232044870</v>
          </cell>
          <cell r="B782">
            <v>62320</v>
          </cell>
          <cell r="C782">
            <v>44870</v>
          </cell>
          <cell r="D782" t="str">
            <v>Late Fees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6232052542</v>
          </cell>
          <cell r="B783">
            <v>62320</v>
          </cell>
          <cell r="C783">
            <v>52542</v>
          </cell>
          <cell r="D783" t="str">
            <v>Cost of Tenant Services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</row>
        <row r="784">
          <cell r="A784" t="str">
            <v>6232072710</v>
          </cell>
          <cell r="B784">
            <v>62320</v>
          </cell>
          <cell r="C784">
            <v>72710</v>
          </cell>
          <cell r="D784" t="str">
            <v>Utilities - Electricity</v>
          </cell>
          <cell r="E784">
            <v>5677.39</v>
          </cell>
          <cell r="F784">
            <v>6722.33</v>
          </cell>
          <cell r="G784">
            <v>-1044.94</v>
          </cell>
          <cell r="H784">
            <v>39613.370000000003</v>
          </cell>
          <cell r="I784">
            <v>39613.370000000003</v>
          </cell>
          <cell r="J784">
            <v>0</v>
          </cell>
        </row>
        <row r="785">
          <cell r="A785" t="str">
            <v>6232072740</v>
          </cell>
          <cell r="B785">
            <v>62320</v>
          </cell>
          <cell r="C785">
            <v>72740</v>
          </cell>
          <cell r="D785" t="str">
            <v>Utilities - Gas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</row>
        <row r="786">
          <cell r="A786" t="str">
            <v>6232072770</v>
          </cell>
          <cell r="B786">
            <v>62320</v>
          </cell>
          <cell r="C786">
            <v>72770</v>
          </cell>
          <cell r="D786" t="str">
            <v>Utilities - Water</v>
          </cell>
          <cell r="E786">
            <v>2631.58</v>
          </cell>
          <cell r="F786">
            <v>1703.67</v>
          </cell>
          <cell r="G786">
            <v>927.91</v>
          </cell>
          <cell r="H786">
            <v>8984.7800000000007</v>
          </cell>
          <cell r="I786">
            <v>8984.7800000000007</v>
          </cell>
          <cell r="J786">
            <v>0</v>
          </cell>
        </row>
        <row r="787">
          <cell r="A787" t="str">
            <v>6232076000</v>
          </cell>
          <cell r="B787">
            <v>62320</v>
          </cell>
          <cell r="C787">
            <v>76000</v>
          </cell>
          <cell r="D787" t="str">
            <v>Bldg Maintenance &amp; Repair</v>
          </cell>
          <cell r="E787">
            <v>2582.42</v>
          </cell>
          <cell r="F787">
            <v>3468.21</v>
          </cell>
          <cell r="G787">
            <v>-885.79</v>
          </cell>
          <cell r="H787">
            <v>44528.47</v>
          </cell>
          <cell r="I787">
            <v>44528.47</v>
          </cell>
          <cell r="J787">
            <v>0</v>
          </cell>
        </row>
        <row r="788">
          <cell r="A788" t="str">
            <v>6232076020</v>
          </cell>
          <cell r="B788">
            <v>62320</v>
          </cell>
          <cell r="C788">
            <v>76020</v>
          </cell>
          <cell r="D788" t="str">
            <v>Food Court Expense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6232076034</v>
          </cell>
          <cell r="B789">
            <v>62320</v>
          </cell>
          <cell r="C789">
            <v>76034</v>
          </cell>
          <cell r="D789" t="str">
            <v>Bldg. - General Repair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</row>
        <row r="790">
          <cell r="A790" t="str">
            <v>6232076050</v>
          </cell>
          <cell r="B790">
            <v>62320</v>
          </cell>
          <cell r="C790">
            <v>76050</v>
          </cell>
          <cell r="D790" t="str">
            <v>Cleaning Expense</v>
          </cell>
          <cell r="E790">
            <v>13665.4</v>
          </cell>
          <cell r="F790">
            <v>14070.21</v>
          </cell>
          <cell r="G790">
            <v>-404.80999999999898</v>
          </cell>
          <cell r="H790">
            <v>82104.429999999993</v>
          </cell>
          <cell r="I790">
            <v>82104.429999999993</v>
          </cell>
          <cell r="J790">
            <v>0</v>
          </cell>
        </row>
        <row r="791">
          <cell r="A791" t="str">
            <v>6232076056</v>
          </cell>
          <cell r="B791">
            <v>62320</v>
          </cell>
          <cell r="C791">
            <v>76056</v>
          </cell>
          <cell r="D791" t="str">
            <v>Maintenance - Reimb 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6232076070</v>
          </cell>
          <cell r="B792">
            <v>62320</v>
          </cell>
          <cell r="C792">
            <v>76070</v>
          </cell>
          <cell r="D792" t="str">
            <v>Reimaging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</row>
        <row r="793">
          <cell r="A793" t="str">
            <v>6232076091</v>
          </cell>
          <cell r="B793">
            <v>62320</v>
          </cell>
          <cell r="C793">
            <v>76091</v>
          </cell>
          <cell r="D793" t="str">
            <v>Parking Maintenance</v>
          </cell>
          <cell r="E793">
            <v>8907</v>
          </cell>
          <cell r="F793">
            <v>13735.57</v>
          </cell>
          <cell r="G793">
            <v>-4828.57</v>
          </cell>
          <cell r="H793">
            <v>72494.570000000007</v>
          </cell>
          <cell r="I793">
            <v>72494.570000000007</v>
          </cell>
          <cell r="J793">
            <v>0</v>
          </cell>
        </row>
        <row r="794">
          <cell r="A794" t="str">
            <v>6232077000</v>
          </cell>
          <cell r="B794">
            <v>62320</v>
          </cell>
          <cell r="C794">
            <v>77000</v>
          </cell>
          <cell r="D794" t="str">
            <v>Grounds Maintenance</v>
          </cell>
          <cell r="E794">
            <v>10540.91</v>
          </cell>
          <cell r="F794">
            <v>36321.269999999997</v>
          </cell>
          <cell r="G794">
            <v>-25780.36</v>
          </cell>
          <cell r="H794">
            <v>113278.88</v>
          </cell>
          <cell r="I794">
            <v>113278.88</v>
          </cell>
          <cell r="J794">
            <v>0</v>
          </cell>
        </row>
        <row r="795">
          <cell r="A795" t="str">
            <v>6232077053</v>
          </cell>
          <cell r="B795">
            <v>62320</v>
          </cell>
          <cell r="C795">
            <v>77053</v>
          </cell>
          <cell r="D795" t="str">
            <v>Landscaping</v>
          </cell>
          <cell r="E795">
            <v>10104</v>
          </cell>
          <cell r="F795">
            <v>22624.25</v>
          </cell>
          <cell r="G795">
            <v>-12520.25</v>
          </cell>
          <cell r="H795">
            <v>116121.65</v>
          </cell>
          <cell r="I795">
            <v>116121.65</v>
          </cell>
          <cell r="J795">
            <v>0</v>
          </cell>
        </row>
        <row r="796">
          <cell r="A796" t="str">
            <v>6232078020</v>
          </cell>
          <cell r="B796">
            <v>62320</v>
          </cell>
          <cell r="C796">
            <v>78020</v>
          </cell>
          <cell r="D796" t="str">
            <v>Amortized CAM Exp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6232084264</v>
          </cell>
          <cell r="B797">
            <v>62320</v>
          </cell>
          <cell r="C797">
            <v>84264</v>
          </cell>
          <cell r="D797" t="str">
            <v>Mktg-Tenant Relations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6232085555</v>
          </cell>
          <cell r="B798">
            <v>62320</v>
          </cell>
          <cell r="C798">
            <v>85555</v>
          </cell>
          <cell r="D798" t="str">
            <v>Management Fee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</row>
        <row r="799">
          <cell r="A799" t="str">
            <v>6232085584</v>
          </cell>
          <cell r="B799">
            <v>62320</v>
          </cell>
          <cell r="C799">
            <v>85584</v>
          </cell>
          <cell r="D799" t="str">
            <v>Bldg Admin-Office Costs</v>
          </cell>
          <cell r="E799">
            <v>2398.13</v>
          </cell>
          <cell r="F799">
            <v>2398</v>
          </cell>
          <cell r="G799">
            <v>0.130000000000109</v>
          </cell>
          <cell r="H799">
            <v>14388</v>
          </cell>
          <cell r="I799">
            <v>14388</v>
          </cell>
          <cell r="J799">
            <v>0</v>
          </cell>
        </row>
        <row r="800">
          <cell r="A800" t="str">
            <v>6232085582</v>
          </cell>
          <cell r="B800">
            <v>62320</v>
          </cell>
          <cell r="C800">
            <v>85582</v>
          </cell>
          <cell r="D800" t="str">
            <v>Bldg Admin-Salaries</v>
          </cell>
          <cell r="E800">
            <v>13878.69</v>
          </cell>
          <cell r="F800">
            <v>13878.84</v>
          </cell>
          <cell r="G800">
            <v>-0.14999999999963601</v>
          </cell>
          <cell r="H800">
            <v>88808.2</v>
          </cell>
          <cell r="I800">
            <v>88808.2</v>
          </cell>
          <cell r="J800">
            <v>0</v>
          </cell>
        </row>
        <row r="801">
          <cell r="A801" t="str">
            <v>6232086564</v>
          </cell>
          <cell r="B801">
            <v>62320</v>
          </cell>
          <cell r="C801">
            <v>86564</v>
          </cell>
          <cell r="D801" t="str">
            <v>Insurance</v>
          </cell>
          <cell r="E801">
            <v>8705</v>
          </cell>
          <cell r="F801">
            <v>8704.84</v>
          </cell>
          <cell r="G801">
            <v>0.15999999999985401</v>
          </cell>
          <cell r="H801">
            <v>52229</v>
          </cell>
          <cell r="I801">
            <v>52229</v>
          </cell>
          <cell r="J801">
            <v>0</v>
          </cell>
        </row>
        <row r="802">
          <cell r="A802" t="str">
            <v>6232088846</v>
          </cell>
          <cell r="B802">
            <v>62320</v>
          </cell>
          <cell r="C802">
            <v>88846</v>
          </cell>
          <cell r="D802" t="str">
            <v>Expenses -Other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</row>
        <row r="803">
          <cell r="A803" t="str">
            <v>6232088890</v>
          </cell>
          <cell r="B803">
            <v>62320</v>
          </cell>
          <cell r="C803">
            <v>88890</v>
          </cell>
          <cell r="D803" t="str">
            <v>Security/Safety</v>
          </cell>
          <cell r="E803">
            <v>8591</v>
          </cell>
          <cell r="F803">
            <v>17063.5</v>
          </cell>
          <cell r="G803">
            <v>-8472.5</v>
          </cell>
          <cell r="H803">
            <v>102381</v>
          </cell>
          <cell r="I803">
            <v>102381</v>
          </cell>
          <cell r="J803">
            <v>0</v>
          </cell>
        </row>
        <row r="804">
          <cell r="A804" t="str">
            <v>6232089775</v>
          </cell>
          <cell r="B804">
            <v>62320</v>
          </cell>
          <cell r="C804">
            <v>89775</v>
          </cell>
          <cell r="D804" t="str">
            <v>Assmt Dist Taxes- Reimb</v>
          </cell>
          <cell r="E804">
            <v>7708.84</v>
          </cell>
          <cell r="F804">
            <v>7708.84</v>
          </cell>
          <cell r="G804">
            <v>0</v>
          </cell>
          <cell r="H804">
            <v>46253</v>
          </cell>
          <cell r="I804">
            <v>46253</v>
          </cell>
          <cell r="J804">
            <v>0</v>
          </cell>
        </row>
        <row r="805">
          <cell r="A805" t="str">
            <v>6232089729</v>
          </cell>
          <cell r="B805">
            <v>62320</v>
          </cell>
          <cell r="C805">
            <v>89729</v>
          </cell>
          <cell r="D805" t="str">
            <v>Taxes - Miscellaneous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</row>
        <row r="806">
          <cell r="A806" t="str">
            <v>6232089786</v>
          </cell>
          <cell r="B806">
            <v>62320</v>
          </cell>
          <cell r="C806">
            <v>89786</v>
          </cell>
          <cell r="D806" t="str">
            <v>Property Tax Exp</v>
          </cell>
          <cell r="E806">
            <v>31991.84</v>
          </cell>
          <cell r="F806">
            <v>31991.84</v>
          </cell>
          <cell r="G806">
            <v>0</v>
          </cell>
          <cell r="H806">
            <v>191951</v>
          </cell>
          <cell r="I806">
            <v>191951</v>
          </cell>
          <cell r="J806">
            <v>0</v>
          </cell>
        </row>
        <row r="807">
          <cell r="A807" t="str">
            <v>6232071040</v>
          </cell>
          <cell r="B807">
            <v>62320</v>
          </cell>
          <cell r="C807">
            <v>71040</v>
          </cell>
          <cell r="D807" t="str">
            <v>Office Supplies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6232072701</v>
          </cell>
          <cell r="B808">
            <v>62320</v>
          </cell>
          <cell r="C808">
            <v>72701</v>
          </cell>
          <cell r="D808" t="str">
            <v>Utilities</v>
          </cell>
          <cell r="E808">
            <v>0</v>
          </cell>
          <cell r="F808">
            <v>0</v>
          </cell>
          <cell r="G808">
            <v>0</v>
          </cell>
          <cell r="H808">
            <v>424.36</v>
          </cell>
          <cell r="I808">
            <v>424.36</v>
          </cell>
          <cell r="J808">
            <v>0</v>
          </cell>
        </row>
        <row r="809">
          <cell r="A809" t="str">
            <v>6232072855</v>
          </cell>
          <cell r="B809">
            <v>62320</v>
          </cell>
          <cell r="C809">
            <v>72855</v>
          </cell>
          <cell r="D809" t="str">
            <v>Rent Expense-Ground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6232072870</v>
          </cell>
          <cell r="B810">
            <v>62320</v>
          </cell>
          <cell r="C810">
            <v>72870</v>
          </cell>
          <cell r="D810" t="str">
            <v>Office Rent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6232076010</v>
          </cell>
          <cell r="B811">
            <v>62320</v>
          </cell>
          <cell r="C811">
            <v>76010</v>
          </cell>
          <cell r="D811" t="str">
            <v>Tenant Alterations</v>
          </cell>
          <cell r="E811">
            <v>485</v>
          </cell>
          <cell r="F811">
            <v>0</v>
          </cell>
          <cell r="G811">
            <v>485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6232076040</v>
          </cell>
          <cell r="B812">
            <v>62320</v>
          </cell>
          <cell r="C812">
            <v>76040</v>
          </cell>
          <cell r="D812" t="str">
            <v>HVAC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6232076051</v>
          </cell>
          <cell r="B813">
            <v>62320</v>
          </cell>
          <cell r="C813">
            <v>76051</v>
          </cell>
          <cell r="D813" t="str">
            <v>Cleaning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</row>
        <row r="814">
          <cell r="A814" t="str">
            <v>6232076054</v>
          </cell>
          <cell r="B814">
            <v>62320</v>
          </cell>
          <cell r="C814">
            <v>76054</v>
          </cell>
          <cell r="D814" t="str">
            <v>Bldg Maintenance &amp; Repair</v>
          </cell>
          <cell r="E814">
            <v>979.5</v>
          </cell>
          <cell r="F814">
            <v>0</v>
          </cell>
          <cell r="G814">
            <v>979.5</v>
          </cell>
          <cell r="H814">
            <v>777.79</v>
          </cell>
          <cell r="I814">
            <v>777.79</v>
          </cell>
          <cell r="J814">
            <v>0</v>
          </cell>
        </row>
        <row r="815">
          <cell r="A815" t="str">
            <v>6232076060</v>
          </cell>
          <cell r="B815">
            <v>62320</v>
          </cell>
          <cell r="C815">
            <v>76060</v>
          </cell>
          <cell r="D815" t="str">
            <v>Asbestos Abatement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6232076071</v>
          </cell>
          <cell r="B816">
            <v>62320</v>
          </cell>
          <cell r="C816">
            <v>76071</v>
          </cell>
          <cell r="D816" t="str">
            <v>Reimaging Maintenance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6232076090</v>
          </cell>
          <cell r="B817">
            <v>62320</v>
          </cell>
          <cell r="C817">
            <v>76090</v>
          </cell>
          <cell r="D817" t="str">
            <v>Parking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6232077001</v>
          </cell>
          <cell r="B818">
            <v>62320</v>
          </cell>
          <cell r="C818">
            <v>77001</v>
          </cell>
          <cell r="D818" t="str">
            <v>Grounds Maintenance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6232077022</v>
          </cell>
          <cell r="B819">
            <v>62320</v>
          </cell>
          <cell r="C819">
            <v>77022</v>
          </cell>
          <cell r="D819" t="str">
            <v>Landscaping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6232084200</v>
          </cell>
          <cell r="B820">
            <v>62320</v>
          </cell>
          <cell r="C820">
            <v>84200</v>
          </cell>
          <cell r="D820" t="str">
            <v>Marketing-Other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6232084240</v>
          </cell>
          <cell r="B821">
            <v>62320</v>
          </cell>
          <cell r="C821">
            <v>84240</v>
          </cell>
          <cell r="D821" t="str">
            <v>Marketing Leasing</v>
          </cell>
          <cell r="E821">
            <v>4722.5</v>
          </cell>
          <cell r="F821">
            <v>5271.34</v>
          </cell>
          <cell r="G821">
            <v>-548.84</v>
          </cell>
          <cell r="H821">
            <v>33321.699999999997</v>
          </cell>
          <cell r="I821">
            <v>33321.699999999997</v>
          </cell>
          <cell r="J821">
            <v>0</v>
          </cell>
        </row>
        <row r="822">
          <cell r="A822" t="str">
            <v>6232084242</v>
          </cell>
          <cell r="B822">
            <v>62320</v>
          </cell>
          <cell r="C822">
            <v>84242</v>
          </cell>
          <cell r="D822" t="str">
            <v>Marketing-Subsidy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6232084243</v>
          </cell>
          <cell r="B823">
            <v>62320</v>
          </cell>
          <cell r="C823">
            <v>84243</v>
          </cell>
          <cell r="D823" t="str">
            <v>Marketing Coordination</v>
          </cell>
          <cell r="E823">
            <v>0</v>
          </cell>
          <cell r="F823">
            <v>0</v>
          </cell>
          <cell r="G823">
            <v>0</v>
          </cell>
          <cell r="H823">
            <v>-27397</v>
          </cell>
          <cell r="I823">
            <v>-27397</v>
          </cell>
          <cell r="J823">
            <v>0</v>
          </cell>
        </row>
        <row r="824">
          <cell r="A824" t="str">
            <v>6232084244</v>
          </cell>
          <cell r="B824">
            <v>62320</v>
          </cell>
          <cell r="C824">
            <v>84244</v>
          </cell>
          <cell r="D824" t="str">
            <v>Marketing-Net Required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6232084265</v>
          </cell>
          <cell r="B825">
            <v>62320</v>
          </cell>
          <cell r="C825">
            <v>84265</v>
          </cell>
          <cell r="D825" t="str">
            <v>Marketing -TR-Non-Reimb.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6232088037</v>
          </cell>
          <cell r="B826">
            <v>62320</v>
          </cell>
          <cell r="C826">
            <v>88037</v>
          </cell>
          <cell r="D826" t="str">
            <v>Marketing - Leasing Office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</row>
        <row r="827">
          <cell r="A827" t="str">
            <v>6232085016</v>
          </cell>
          <cell r="B827">
            <v>62320</v>
          </cell>
          <cell r="C827">
            <v>85016</v>
          </cell>
          <cell r="D827" t="str">
            <v>Prof Svc-Attorney Outside</v>
          </cell>
          <cell r="E827">
            <v>240</v>
          </cell>
          <cell r="F827">
            <v>0</v>
          </cell>
          <cell r="G827">
            <v>240</v>
          </cell>
          <cell r="H827">
            <v>2626.24</v>
          </cell>
          <cell r="I827">
            <v>2626.24</v>
          </cell>
          <cell r="J827">
            <v>0</v>
          </cell>
        </row>
        <row r="828">
          <cell r="A828" t="str">
            <v>6232085022</v>
          </cell>
          <cell r="B828">
            <v>62320</v>
          </cell>
          <cell r="C828">
            <v>85022</v>
          </cell>
          <cell r="D828" t="str">
            <v>Prof Svc-Audit/Acctng</v>
          </cell>
          <cell r="E828">
            <v>0</v>
          </cell>
          <cell r="F828">
            <v>0</v>
          </cell>
          <cell r="G828">
            <v>0</v>
          </cell>
          <cell r="H828">
            <v>2572.27</v>
          </cell>
          <cell r="I828">
            <v>2572.27</v>
          </cell>
          <cell r="J828">
            <v>0</v>
          </cell>
        </row>
        <row r="829">
          <cell r="A829" t="str">
            <v>6232085065</v>
          </cell>
          <cell r="B829">
            <v>62320</v>
          </cell>
          <cell r="C829">
            <v>85065</v>
          </cell>
          <cell r="D829" t="str">
            <v>Professional Services Other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6232085500</v>
          </cell>
          <cell r="B830">
            <v>62320</v>
          </cell>
          <cell r="C830">
            <v>85500</v>
          </cell>
          <cell r="D830" t="str">
            <v>Consulting Services</v>
          </cell>
          <cell r="E830">
            <v>-750</v>
          </cell>
          <cell r="F830">
            <v>0</v>
          </cell>
          <cell r="G830">
            <v>-750</v>
          </cell>
          <cell r="H830">
            <v>7308.89</v>
          </cell>
          <cell r="I830">
            <v>7308.89</v>
          </cell>
          <cell r="J830">
            <v>0</v>
          </cell>
        </row>
        <row r="831">
          <cell r="A831" t="str">
            <v>6232085566</v>
          </cell>
          <cell r="B831">
            <v>62320</v>
          </cell>
          <cell r="C831">
            <v>85566</v>
          </cell>
          <cell r="D831" t="str">
            <v>Management Fee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</row>
        <row r="832">
          <cell r="A832" t="str">
            <v>6232085581</v>
          </cell>
          <cell r="B832">
            <v>62320</v>
          </cell>
          <cell r="C832">
            <v>85581</v>
          </cell>
          <cell r="D832" t="str">
            <v>Bldg Admin- Salaries</v>
          </cell>
          <cell r="E832">
            <v>10754.4</v>
          </cell>
          <cell r="F832">
            <v>10754.34</v>
          </cell>
          <cell r="G832">
            <v>5.9999999999490697E-2</v>
          </cell>
          <cell r="H832">
            <v>67774.7</v>
          </cell>
          <cell r="I832">
            <v>67774.7</v>
          </cell>
          <cell r="J832">
            <v>0</v>
          </cell>
        </row>
        <row r="833">
          <cell r="A833" t="str">
            <v>6232085583</v>
          </cell>
          <cell r="B833">
            <v>62320</v>
          </cell>
          <cell r="C833">
            <v>85583</v>
          </cell>
          <cell r="D833" t="str">
            <v>Bldg Admin-Office Exp.</v>
          </cell>
          <cell r="E833">
            <v>107.75</v>
          </cell>
          <cell r="F833">
            <v>0</v>
          </cell>
          <cell r="G833">
            <v>107.75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6232085530</v>
          </cell>
          <cell r="B834">
            <v>62320</v>
          </cell>
          <cell r="C834">
            <v>85530</v>
          </cell>
          <cell r="D834" t="str">
            <v>Bldg Admin - Office Exp</v>
          </cell>
          <cell r="E834">
            <v>107.75</v>
          </cell>
          <cell r="F834">
            <v>0</v>
          </cell>
          <cell r="G834">
            <v>107.75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6232086012</v>
          </cell>
          <cell r="B835">
            <v>62320</v>
          </cell>
          <cell r="C835">
            <v>86012</v>
          </cell>
          <cell r="D835" t="str">
            <v>Regional Employee Parking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6232086037</v>
          </cell>
          <cell r="B836">
            <v>62320</v>
          </cell>
          <cell r="C836">
            <v>86037</v>
          </cell>
          <cell r="D836" t="str">
            <v>Travel &amp; Entertainment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6232083050</v>
          </cell>
          <cell r="B837">
            <v>62320</v>
          </cell>
          <cell r="C837">
            <v>83050</v>
          </cell>
          <cell r="D837" t="str">
            <v>Regional Employee Travel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6232086510</v>
          </cell>
          <cell r="B838">
            <v>62320</v>
          </cell>
          <cell r="C838">
            <v>86510</v>
          </cell>
          <cell r="D838" t="str">
            <v>Leasing Admin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6232086537</v>
          </cell>
          <cell r="B839">
            <v>62320</v>
          </cell>
          <cell r="C839">
            <v>86537</v>
          </cell>
          <cell r="D839" t="str">
            <v>Fees-Credit Reports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6232086566</v>
          </cell>
          <cell r="B840">
            <v>62320</v>
          </cell>
          <cell r="C840">
            <v>86566</v>
          </cell>
          <cell r="D840" t="str">
            <v>Insurance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6232086955</v>
          </cell>
          <cell r="B841">
            <v>62320</v>
          </cell>
          <cell r="C841">
            <v>86955</v>
          </cell>
          <cell r="D841" t="str">
            <v>Regional Temporary Labor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6232086985</v>
          </cell>
          <cell r="B842">
            <v>62320</v>
          </cell>
          <cell r="C842">
            <v>86985</v>
          </cell>
          <cell r="D842" t="str">
            <v>Purchased Svcs _ Other</v>
          </cell>
          <cell r="E842">
            <v>66.75</v>
          </cell>
          <cell r="F842">
            <v>0</v>
          </cell>
          <cell r="G842">
            <v>66.75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6232086880</v>
          </cell>
          <cell r="B843">
            <v>62320</v>
          </cell>
          <cell r="C843">
            <v>86880</v>
          </cell>
          <cell r="D843" t="str">
            <v>Telephone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6232088710</v>
          </cell>
          <cell r="B844">
            <v>62320</v>
          </cell>
          <cell r="C844">
            <v>88710</v>
          </cell>
          <cell r="D844" t="str">
            <v>Losses-Bad Debts</v>
          </cell>
          <cell r="E844">
            <v>0</v>
          </cell>
          <cell r="F844">
            <v>0</v>
          </cell>
          <cell r="G844">
            <v>0</v>
          </cell>
          <cell r="H844">
            <v>74280</v>
          </cell>
          <cell r="I844">
            <v>74280</v>
          </cell>
          <cell r="J844">
            <v>0</v>
          </cell>
        </row>
        <row r="845">
          <cell r="A845" t="str">
            <v>6232088711</v>
          </cell>
          <cell r="B845">
            <v>62320</v>
          </cell>
          <cell r="C845">
            <v>88711</v>
          </cell>
          <cell r="D845" t="str">
            <v>Losses-Bad Debts- FASB 13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6232088785</v>
          </cell>
          <cell r="B846">
            <v>62320</v>
          </cell>
          <cell r="C846">
            <v>88785</v>
          </cell>
          <cell r="D846" t="str">
            <v>Losses-Uninsured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6232088847</v>
          </cell>
          <cell r="B847">
            <v>62320</v>
          </cell>
          <cell r="C847">
            <v>88847</v>
          </cell>
          <cell r="D847" t="str">
            <v>Expenses - Other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6232088866</v>
          </cell>
          <cell r="B848">
            <v>62320</v>
          </cell>
          <cell r="C848">
            <v>88866</v>
          </cell>
          <cell r="D848" t="str">
            <v>Legal Settlements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6232088870</v>
          </cell>
          <cell r="B849">
            <v>62320</v>
          </cell>
          <cell r="C849">
            <v>88870</v>
          </cell>
          <cell r="D849" t="str">
            <v>Backside Dist-O/S Partner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6232088889</v>
          </cell>
          <cell r="B850">
            <v>62320</v>
          </cell>
          <cell r="C850">
            <v>88889</v>
          </cell>
          <cell r="D850" t="str">
            <v>Security/Safety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6232089776</v>
          </cell>
          <cell r="B851">
            <v>62320</v>
          </cell>
          <cell r="C851">
            <v>89776</v>
          </cell>
          <cell r="D851" t="str">
            <v>Assmt Dist Taxes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6232089787</v>
          </cell>
          <cell r="B852">
            <v>62320</v>
          </cell>
          <cell r="C852">
            <v>89787</v>
          </cell>
          <cell r="D852" t="str">
            <v>Property Tax Exp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6232089510</v>
          </cell>
          <cell r="B853">
            <v>62320</v>
          </cell>
          <cell r="C853">
            <v>89510</v>
          </cell>
          <cell r="D853" t="str">
            <v>Interest Expense - General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6232089511</v>
          </cell>
          <cell r="B854">
            <v>62320</v>
          </cell>
          <cell r="C854">
            <v>89511</v>
          </cell>
          <cell r="D854" t="str">
            <v>Interest Expense - Swap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6232089512</v>
          </cell>
          <cell r="B855">
            <v>62320</v>
          </cell>
          <cell r="C855">
            <v>89512</v>
          </cell>
          <cell r="D855" t="str">
            <v>Interest Expense - Accrual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6232089528</v>
          </cell>
          <cell r="B856">
            <v>62320</v>
          </cell>
          <cell r="C856">
            <v>89528</v>
          </cell>
          <cell r="D856" t="str">
            <v>Interest Expense - Loan Fees-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6232089529</v>
          </cell>
          <cell r="B857">
            <v>62320</v>
          </cell>
          <cell r="C857">
            <v>89529</v>
          </cell>
          <cell r="D857" t="str">
            <v>Interest Expense - Loan Fee A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6232089567</v>
          </cell>
          <cell r="B858">
            <v>62320</v>
          </cell>
          <cell r="C858">
            <v>89567</v>
          </cell>
          <cell r="D858" t="str">
            <v>Interest Expense - TIC/Partne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6232085058</v>
          </cell>
          <cell r="B859">
            <v>62320</v>
          </cell>
          <cell r="C859">
            <v>85058</v>
          </cell>
          <cell r="D859" t="str">
            <v>Legal Fee Amort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6232086513</v>
          </cell>
          <cell r="B860">
            <v>62320</v>
          </cell>
          <cell r="C860">
            <v>86513</v>
          </cell>
          <cell r="D860" t="str">
            <v>Leasing Commission Amort</v>
          </cell>
          <cell r="E860">
            <v>0</v>
          </cell>
          <cell r="F860">
            <v>879.53</v>
          </cell>
          <cell r="G860">
            <v>-879.53</v>
          </cell>
          <cell r="H860">
            <v>15893.1</v>
          </cell>
          <cell r="I860">
            <v>15893.1</v>
          </cell>
          <cell r="J860">
            <v>0</v>
          </cell>
        </row>
        <row r="861">
          <cell r="A861" t="str">
            <v>6232086519</v>
          </cell>
          <cell r="B861">
            <v>62320</v>
          </cell>
          <cell r="C861">
            <v>86519</v>
          </cell>
          <cell r="D861" t="str">
            <v>Fees-Appraisal Amort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6232088770</v>
          </cell>
          <cell r="B862">
            <v>62320</v>
          </cell>
          <cell r="C862">
            <v>88770</v>
          </cell>
          <cell r="D862" t="str">
            <v>Losses-Prop Abandon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6232088862</v>
          </cell>
          <cell r="B863">
            <v>62320</v>
          </cell>
          <cell r="C863">
            <v>88862</v>
          </cell>
          <cell r="D863" t="str">
            <v>Lease Buy-Out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6232088874</v>
          </cell>
          <cell r="B864">
            <v>62320</v>
          </cell>
          <cell r="C864">
            <v>88874</v>
          </cell>
          <cell r="D864" t="str">
            <v>Organization Cost Amort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</row>
        <row r="865">
          <cell r="A865" t="str">
            <v>6232089910</v>
          </cell>
          <cell r="B865">
            <v>62320</v>
          </cell>
          <cell r="C865">
            <v>89910</v>
          </cell>
          <cell r="D865" t="str">
            <v>Depreciation</v>
          </cell>
          <cell r="E865">
            <v>0</v>
          </cell>
          <cell r="F865">
            <v>155461.73000000001</v>
          </cell>
          <cell r="G865">
            <v>-155461.73000000001</v>
          </cell>
          <cell r="H865">
            <v>969670.88</v>
          </cell>
          <cell r="I865">
            <v>969670.88</v>
          </cell>
          <cell r="J865">
            <v>0</v>
          </cell>
        </row>
        <row r="866">
          <cell r="A866" t="str">
            <v>6232089548</v>
          </cell>
          <cell r="B866">
            <v>62320</v>
          </cell>
          <cell r="C866">
            <v>89548</v>
          </cell>
          <cell r="D866" t="str">
            <v>Other Amortized Cost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6252641010</v>
          </cell>
          <cell r="B867">
            <v>62526</v>
          </cell>
          <cell r="C867">
            <v>41010</v>
          </cell>
          <cell r="D867" t="str">
            <v>Parking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6252641040</v>
          </cell>
          <cell r="B868">
            <v>62526</v>
          </cell>
          <cell r="C868">
            <v>41040</v>
          </cell>
          <cell r="D868" t="str">
            <v>Rental Income FAS 13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6252641050</v>
          </cell>
          <cell r="B869">
            <v>62526</v>
          </cell>
          <cell r="C869">
            <v>41050</v>
          </cell>
          <cell r="D869" t="str">
            <v>Rental Income - Fixed</v>
          </cell>
          <cell r="E869">
            <v>-259182</v>
          </cell>
          <cell r="F869">
            <v>-288625.06</v>
          </cell>
          <cell r="G869">
            <v>29443.06</v>
          </cell>
          <cell r="H869">
            <v>-1789624.49</v>
          </cell>
          <cell r="I869">
            <v>-1789624.49</v>
          </cell>
          <cell r="J869">
            <v>0</v>
          </cell>
        </row>
        <row r="870">
          <cell r="A870" t="str">
            <v>6252641074</v>
          </cell>
          <cell r="B870">
            <v>62526</v>
          </cell>
          <cell r="C870">
            <v>41074</v>
          </cell>
          <cell r="D870" t="str">
            <v>Rental Income - Percentage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6252641082</v>
          </cell>
          <cell r="B871">
            <v>62526</v>
          </cell>
          <cell r="C871">
            <v>41082</v>
          </cell>
          <cell r="D871" t="str">
            <v>Rental Income - Operating Exp</v>
          </cell>
          <cell r="E871">
            <v>-84787.54</v>
          </cell>
          <cell r="F871">
            <v>-110694.7</v>
          </cell>
          <cell r="G871">
            <v>25907.16</v>
          </cell>
          <cell r="H871">
            <v>-664168.19999999995</v>
          </cell>
          <cell r="I871">
            <v>-664168.19999999995</v>
          </cell>
          <cell r="J871">
            <v>0</v>
          </cell>
        </row>
        <row r="872">
          <cell r="A872" t="str">
            <v>6252644610</v>
          </cell>
          <cell r="B872">
            <v>62526</v>
          </cell>
          <cell r="C872">
            <v>44610</v>
          </cell>
          <cell r="D872" t="str">
            <v>Marketing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6252645071</v>
          </cell>
          <cell r="B873">
            <v>62526</v>
          </cell>
          <cell r="C873">
            <v>45071</v>
          </cell>
          <cell r="D873" t="str">
            <v>Termination Fee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6252645010</v>
          </cell>
          <cell r="B874">
            <v>62526</v>
          </cell>
          <cell r="C874">
            <v>45010</v>
          </cell>
          <cell r="D874" t="str">
            <v>Bad Debt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6252645046</v>
          </cell>
          <cell r="B875">
            <v>62526</v>
          </cell>
          <cell r="C875">
            <v>45046</v>
          </cell>
          <cell r="D875" t="str">
            <v>Mgmt/Consult Fee Income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6252645070</v>
          </cell>
          <cell r="B876">
            <v>62526</v>
          </cell>
          <cell r="C876">
            <v>45070</v>
          </cell>
          <cell r="D876" t="str">
            <v>Other Income</v>
          </cell>
          <cell r="E876">
            <v>-1297.1300000000001</v>
          </cell>
          <cell r="F876">
            <v>0</v>
          </cell>
          <cell r="G876">
            <v>-1297.1300000000001</v>
          </cell>
          <cell r="H876">
            <v>-61.8</v>
          </cell>
          <cell r="I876">
            <v>-61.8</v>
          </cell>
          <cell r="J876">
            <v>0</v>
          </cell>
        </row>
        <row r="877">
          <cell r="A877" t="str">
            <v>6252641060</v>
          </cell>
          <cell r="B877">
            <v>62526</v>
          </cell>
          <cell r="C877">
            <v>41060</v>
          </cell>
          <cell r="D877" t="str">
            <v>Rental Income - Vacancy</v>
          </cell>
          <cell r="E877">
            <v>0</v>
          </cell>
          <cell r="F877">
            <v>6133.34</v>
          </cell>
          <cell r="G877">
            <v>-6133.34</v>
          </cell>
          <cell r="H877">
            <v>36800</v>
          </cell>
          <cell r="I877">
            <v>36800</v>
          </cell>
          <cell r="J877">
            <v>0</v>
          </cell>
        </row>
        <row r="878">
          <cell r="A878" t="str">
            <v>6252644870</v>
          </cell>
          <cell r="B878">
            <v>62526</v>
          </cell>
          <cell r="C878">
            <v>44870</v>
          </cell>
          <cell r="D878" t="str">
            <v>Late Fees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6252652542</v>
          </cell>
          <cell r="B879">
            <v>62526</v>
          </cell>
          <cell r="C879">
            <v>52542</v>
          </cell>
          <cell r="D879" t="str">
            <v>Cost of Tenant Services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6252672710</v>
          </cell>
          <cell r="B880">
            <v>62526</v>
          </cell>
          <cell r="C880">
            <v>72710</v>
          </cell>
          <cell r="D880" t="str">
            <v>Utilities - Electricity</v>
          </cell>
          <cell r="E880">
            <v>4161.3999999999996</v>
          </cell>
          <cell r="F880">
            <v>5602.7</v>
          </cell>
          <cell r="G880">
            <v>-1441.3</v>
          </cell>
          <cell r="H880">
            <v>36075.870000000003</v>
          </cell>
          <cell r="I880">
            <v>36075.870000000003</v>
          </cell>
          <cell r="J880">
            <v>0</v>
          </cell>
        </row>
        <row r="881">
          <cell r="A881" t="str">
            <v>6252672740</v>
          </cell>
          <cell r="B881">
            <v>62526</v>
          </cell>
          <cell r="C881">
            <v>72740</v>
          </cell>
          <cell r="D881" t="str">
            <v>Utilities - Gas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6252672770</v>
          </cell>
          <cell r="B882">
            <v>62526</v>
          </cell>
          <cell r="C882">
            <v>72770</v>
          </cell>
          <cell r="D882" t="str">
            <v>Utilities - Water</v>
          </cell>
          <cell r="E882">
            <v>2667.82</v>
          </cell>
          <cell r="F882">
            <v>1774.61</v>
          </cell>
          <cell r="G882">
            <v>893.21</v>
          </cell>
          <cell r="H882">
            <v>9892.92</v>
          </cell>
          <cell r="I882">
            <v>9892.92</v>
          </cell>
          <cell r="J882">
            <v>0</v>
          </cell>
        </row>
        <row r="883">
          <cell r="A883" t="str">
            <v>6252676000</v>
          </cell>
          <cell r="B883">
            <v>62526</v>
          </cell>
          <cell r="C883">
            <v>76000</v>
          </cell>
          <cell r="D883" t="str">
            <v>Bldg Maintenance &amp; Repair</v>
          </cell>
          <cell r="E883">
            <v>6698.08</v>
          </cell>
          <cell r="F883">
            <v>4376.62</v>
          </cell>
          <cell r="G883">
            <v>2321.46</v>
          </cell>
          <cell r="H883">
            <v>47192.08</v>
          </cell>
          <cell r="I883">
            <v>47192.08</v>
          </cell>
          <cell r="J883">
            <v>0</v>
          </cell>
        </row>
        <row r="884">
          <cell r="A884" t="str">
            <v>6252676020</v>
          </cell>
          <cell r="B884">
            <v>62526</v>
          </cell>
          <cell r="C884">
            <v>76020</v>
          </cell>
          <cell r="D884" t="str">
            <v>Food Court Expense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6252676034</v>
          </cell>
          <cell r="B885">
            <v>62526</v>
          </cell>
          <cell r="C885">
            <v>76034</v>
          </cell>
          <cell r="D885" t="str">
            <v>Bldg. - General Repair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6252676050</v>
          </cell>
          <cell r="B886">
            <v>62526</v>
          </cell>
          <cell r="C886">
            <v>76050</v>
          </cell>
          <cell r="D886" t="str">
            <v>Cleaning Expense</v>
          </cell>
          <cell r="E886">
            <v>11415.88</v>
          </cell>
          <cell r="F886">
            <v>11985</v>
          </cell>
          <cell r="G886">
            <v>-569.12000000000103</v>
          </cell>
          <cell r="H886">
            <v>73798.12</v>
          </cell>
          <cell r="I886">
            <v>73798.12</v>
          </cell>
          <cell r="J886">
            <v>0</v>
          </cell>
        </row>
        <row r="887">
          <cell r="A887" t="str">
            <v>6252676056</v>
          </cell>
          <cell r="B887">
            <v>62526</v>
          </cell>
          <cell r="C887">
            <v>76056</v>
          </cell>
          <cell r="D887" t="str">
            <v>Maintenance - Reimb Reimaging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6252676070</v>
          </cell>
          <cell r="B888">
            <v>62526</v>
          </cell>
          <cell r="C888">
            <v>76070</v>
          </cell>
          <cell r="D888" t="str">
            <v>Reimaging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6252676091</v>
          </cell>
          <cell r="B889">
            <v>62526</v>
          </cell>
          <cell r="C889">
            <v>76091</v>
          </cell>
          <cell r="D889" t="str">
            <v>Parking Maintenance</v>
          </cell>
          <cell r="E889">
            <v>7435.17</v>
          </cell>
          <cell r="F889">
            <v>41143.64</v>
          </cell>
          <cell r="G889">
            <v>-33708.47</v>
          </cell>
          <cell r="H889">
            <v>90407.29</v>
          </cell>
          <cell r="I889">
            <v>90407.29</v>
          </cell>
          <cell r="J889">
            <v>0</v>
          </cell>
        </row>
        <row r="890">
          <cell r="A890" t="str">
            <v>6252677000</v>
          </cell>
          <cell r="B890">
            <v>62526</v>
          </cell>
          <cell r="C890">
            <v>77000</v>
          </cell>
          <cell r="D890" t="str">
            <v>Grounds Maintenance</v>
          </cell>
          <cell r="E890">
            <v>8960.1200000000008</v>
          </cell>
          <cell r="F890">
            <v>20313.099999999999</v>
          </cell>
          <cell r="G890">
            <v>-11352.98</v>
          </cell>
          <cell r="H890">
            <v>47531.49</v>
          </cell>
          <cell r="I890">
            <v>47531.49</v>
          </cell>
          <cell r="J890">
            <v>0</v>
          </cell>
        </row>
        <row r="891">
          <cell r="A891" t="str">
            <v>6252677053</v>
          </cell>
          <cell r="B891">
            <v>62526</v>
          </cell>
          <cell r="C891">
            <v>77053</v>
          </cell>
          <cell r="D891" t="str">
            <v>Landscaping</v>
          </cell>
          <cell r="E891">
            <v>6500</v>
          </cell>
          <cell r="F891">
            <v>8652.77</v>
          </cell>
          <cell r="G891">
            <v>-5402.77</v>
          </cell>
          <cell r="H891">
            <v>100977.44</v>
          </cell>
          <cell r="I891">
            <v>100977.44</v>
          </cell>
          <cell r="J891">
            <v>0</v>
          </cell>
        </row>
        <row r="892">
          <cell r="A892" t="str">
            <v>6252678020</v>
          </cell>
          <cell r="B892">
            <v>62526</v>
          </cell>
          <cell r="C892">
            <v>78020</v>
          </cell>
          <cell r="D892" t="str">
            <v>Amortized CAM Exp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</row>
        <row r="893">
          <cell r="A893" t="str">
            <v>6252684264</v>
          </cell>
          <cell r="B893">
            <v>62526</v>
          </cell>
          <cell r="C893">
            <v>84264</v>
          </cell>
          <cell r="D893" t="str">
            <v>Mktg-Tenant Relations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6252685555</v>
          </cell>
          <cell r="B894">
            <v>62526</v>
          </cell>
          <cell r="C894">
            <v>85555</v>
          </cell>
          <cell r="D894" t="str">
            <v>Management Fee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6252685584</v>
          </cell>
          <cell r="B895">
            <v>62526</v>
          </cell>
          <cell r="C895">
            <v>85584</v>
          </cell>
          <cell r="D895" t="str">
            <v>Bldg Admin-Office Costs</v>
          </cell>
          <cell r="E895">
            <v>932.78</v>
          </cell>
          <cell r="F895">
            <v>932.84</v>
          </cell>
          <cell r="G895">
            <v>-6.0000000000059103E-2</v>
          </cell>
          <cell r="H895">
            <v>5597</v>
          </cell>
          <cell r="I895">
            <v>5597</v>
          </cell>
          <cell r="J895">
            <v>0</v>
          </cell>
        </row>
        <row r="896">
          <cell r="A896" t="str">
            <v>6252685582</v>
          </cell>
          <cell r="B896">
            <v>62526</v>
          </cell>
          <cell r="C896">
            <v>85582</v>
          </cell>
          <cell r="D896" t="str">
            <v>Bldg Admin-Salaries</v>
          </cell>
          <cell r="E896">
            <v>5398.56</v>
          </cell>
          <cell r="F896">
            <v>5399</v>
          </cell>
          <cell r="G896">
            <v>-0.43999999999959999</v>
          </cell>
          <cell r="H896">
            <v>34548</v>
          </cell>
          <cell r="I896">
            <v>34548</v>
          </cell>
          <cell r="J896">
            <v>0</v>
          </cell>
        </row>
        <row r="897">
          <cell r="A897" t="str">
            <v>6252686564</v>
          </cell>
          <cell r="B897">
            <v>62526</v>
          </cell>
          <cell r="C897">
            <v>86564</v>
          </cell>
          <cell r="D897" t="str">
            <v>Insurance</v>
          </cell>
          <cell r="E897">
            <v>3359</v>
          </cell>
          <cell r="F897">
            <v>3358.66</v>
          </cell>
          <cell r="G897">
            <v>0.34000000000014602</v>
          </cell>
          <cell r="H897">
            <v>20152</v>
          </cell>
          <cell r="I897">
            <v>20152</v>
          </cell>
          <cell r="J897">
            <v>0</v>
          </cell>
        </row>
        <row r="898">
          <cell r="A898" t="str">
            <v>6252688846</v>
          </cell>
          <cell r="B898">
            <v>62526</v>
          </cell>
          <cell r="C898">
            <v>88846</v>
          </cell>
          <cell r="D898" t="str">
            <v>Expenses -Other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6252688890</v>
          </cell>
          <cell r="B899">
            <v>62526</v>
          </cell>
          <cell r="C899">
            <v>88890</v>
          </cell>
          <cell r="D899" t="str">
            <v>Security/Safety</v>
          </cell>
          <cell r="E899">
            <v>1763.54</v>
          </cell>
          <cell r="F899">
            <v>1666.66</v>
          </cell>
          <cell r="G899">
            <v>96.879999999999896</v>
          </cell>
          <cell r="H899">
            <v>10000</v>
          </cell>
          <cell r="I899">
            <v>10000</v>
          </cell>
          <cell r="J899">
            <v>0</v>
          </cell>
        </row>
        <row r="900">
          <cell r="A900" t="str">
            <v>6252689775</v>
          </cell>
          <cell r="B900">
            <v>62526</v>
          </cell>
          <cell r="C900">
            <v>89775</v>
          </cell>
          <cell r="D900" t="str">
            <v>Assmt Dist Taxes- Reimb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6252689729</v>
          </cell>
          <cell r="B901">
            <v>62526</v>
          </cell>
          <cell r="C901">
            <v>89729</v>
          </cell>
          <cell r="D901" t="str">
            <v>Taxes - Miscellaneous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6252689786</v>
          </cell>
          <cell r="B902">
            <v>62526</v>
          </cell>
          <cell r="C902">
            <v>89786</v>
          </cell>
          <cell r="D902" t="str">
            <v>Property Tax Exp</v>
          </cell>
          <cell r="E902">
            <v>20273.16</v>
          </cell>
          <cell r="F902">
            <v>20273.16</v>
          </cell>
          <cell r="G902">
            <v>0</v>
          </cell>
          <cell r="H902">
            <v>121639</v>
          </cell>
          <cell r="I902">
            <v>121639</v>
          </cell>
          <cell r="J902">
            <v>0</v>
          </cell>
        </row>
        <row r="903">
          <cell r="A903" t="str">
            <v>6252671040</v>
          </cell>
          <cell r="B903">
            <v>62526</v>
          </cell>
          <cell r="C903">
            <v>71040</v>
          </cell>
          <cell r="D903" t="str">
            <v>Office Supplies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6252672701</v>
          </cell>
          <cell r="B904">
            <v>62526</v>
          </cell>
          <cell r="C904">
            <v>72701</v>
          </cell>
          <cell r="D904" t="str">
            <v>Utilities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6252672855</v>
          </cell>
          <cell r="B905">
            <v>62526</v>
          </cell>
          <cell r="C905">
            <v>72855</v>
          </cell>
          <cell r="D905" t="str">
            <v>Rent Expense-Ground</v>
          </cell>
          <cell r="E905">
            <v>58333.34</v>
          </cell>
          <cell r="F905">
            <v>58333.34</v>
          </cell>
          <cell r="G905">
            <v>0</v>
          </cell>
          <cell r="H905">
            <v>350000</v>
          </cell>
          <cell r="I905">
            <v>350000</v>
          </cell>
          <cell r="J905">
            <v>0</v>
          </cell>
        </row>
        <row r="906">
          <cell r="A906" t="str">
            <v>6252672870</v>
          </cell>
          <cell r="B906">
            <v>62526</v>
          </cell>
          <cell r="C906">
            <v>72870</v>
          </cell>
          <cell r="D906" t="str">
            <v>Office Rent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6252676010</v>
          </cell>
          <cell r="B907">
            <v>62526</v>
          </cell>
          <cell r="C907">
            <v>76010</v>
          </cell>
          <cell r="D907" t="str">
            <v>Tenant Alterations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6252676040</v>
          </cell>
          <cell r="B908">
            <v>62526</v>
          </cell>
          <cell r="C908">
            <v>76040</v>
          </cell>
          <cell r="D908" t="str">
            <v>HVAC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6252676051</v>
          </cell>
          <cell r="B909">
            <v>62526</v>
          </cell>
          <cell r="C909">
            <v>76051</v>
          </cell>
          <cell r="D909" t="str">
            <v>Cleaning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6252676054</v>
          </cell>
          <cell r="B910">
            <v>62526</v>
          </cell>
          <cell r="C910">
            <v>76054</v>
          </cell>
          <cell r="D910" t="str">
            <v>Bldg Maintenance &amp; Repair</v>
          </cell>
          <cell r="E910">
            <v>0</v>
          </cell>
          <cell r="F910">
            <v>0</v>
          </cell>
          <cell r="G910">
            <v>0</v>
          </cell>
          <cell r="H910">
            <v>541.86</v>
          </cell>
          <cell r="I910">
            <v>541.86</v>
          </cell>
          <cell r="J910">
            <v>0</v>
          </cell>
        </row>
        <row r="911">
          <cell r="A911" t="str">
            <v>6252676060</v>
          </cell>
          <cell r="B911">
            <v>62526</v>
          </cell>
          <cell r="C911">
            <v>76060</v>
          </cell>
          <cell r="D911" t="str">
            <v>Asbestos Abatement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6252676071</v>
          </cell>
          <cell r="B912">
            <v>62526</v>
          </cell>
          <cell r="C912">
            <v>76071</v>
          </cell>
          <cell r="D912" t="str">
            <v>Reimaging Maintenance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6252676090</v>
          </cell>
          <cell r="B913">
            <v>62526</v>
          </cell>
          <cell r="C913">
            <v>76090</v>
          </cell>
          <cell r="D913" t="str">
            <v>Parking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6252677001</v>
          </cell>
          <cell r="B914">
            <v>62526</v>
          </cell>
          <cell r="C914">
            <v>77001</v>
          </cell>
          <cell r="D914" t="str">
            <v>Grounds Maintenance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6252677022</v>
          </cell>
          <cell r="B915">
            <v>62526</v>
          </cell>
          <cell r="C915">
            <v>77022</v>
          </cell>
          <cell r="D915" t="str">
            <v>Landscaping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6252684200</v>
          </cell>
          <cell r="B916">
            <v>62526</v>
          </cell>
          <cell r="C916">
            <v>84200</v>
          </cell>
          <cell r="D916" t="str">
            <v>Marketing-Other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6252684240</v>
          </cell>
          <cell r="B917">
            <v>62526</v>
          </cell>
          <cell r="C917">
            <v>84240</v>
          </cell>
          <cell r="D917" t="str">
            <v>Marketing Leasing</v>
          </cell>
          <cell r="E917">
            <v>2369.36</v>
          </cell>
          <cell r="F917">
            <v>2572.16</v>
          </cell>
          <cell r="G917">
            <v>-202.8</v>
          </cell>
          <cell r="H917">
            <v>16280.3</v>
          </cell>
          <cell r="I917">
            <v>16280.3</v>
          </cell>
          <cell r="J917">
            <v>0</v>
          </cell>
        </row>
        <row r="918">
          <cell r="A918" t="str">
            <v>6252684242</v>
          </cell>
          <cell r="B918">
            <v>62526</v>
          </cell>
          <cell r="C918">
            <v>84242</v>
          </cell>
          <cell r="D918" t="str">
            <v>Marketing-Subsidy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6252684243</v>
          </cell>
          <cell r="B919">
            <v>62526</v>
          </cell>
          <cell r="C919">
            <v>84243</v>
          </cell>
          <cell r="D919" t="str">
            <v>Marketing Coordination</v>
          </cell>
          <cell r="E919">
            <v>0</v>
          </cell>
          <cell r="F919">
            <v>0</v>
          </cell>
          <cell r="G919">
            <v>0</v>
          </cell>
          <cell r="H919">
            <v>-12897</v>
          </cell>
          <cell r="I919">
            <v>-12897</v>
          </cell>
          <cell r="J919">
            <v>0</v>
          </cell>
        </row>
        <row r="920">
          <cell r="A920" t="str">
            <v>6252684244</v>
          </cell>
          <cell r="B920">
            <v>62526</v>
          </cell>
          <cell r="C920">
            <v>84244</v>
          </cell>
          <cell r="D920" t="str">
            <v>Marketing-Net Required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6252684265</v>
          </cell>
          <cell r="B921">
            <v>62526</v>
          </cell>
          <cell r="C921">
            <v>84265</v>
          </cell>
          <cell r="D921" t="str">
            <v>Marketing -TR-Non-Reimb.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6252688037</v>
          </cell>
          <cell r="B922">
            <v>62526</v>
          </cell>
          <cell r="C922">
            <v>88037</v>
          </cell>
          <cell r="D922" t="str">
            <v>Marketing - Leasing Office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</row>
        <row r="923">
          <cell r="A923" t="str">
            <v>6252685016</v>
          </cell>
          <cell r="B923">
            <v>62526</v>
          </cell>
          <cell r="C923">
            <v>85016</v>
          </cell>
          <cell r="D923" t="str">
            <v>Prof Svc-Attorney Outside</v>
          </cell>
          <cell r="E923">
            <v>320.5</v>
          </cell>
          <cell r="F923">
            <v>0</v>
          </cell>
          <cell r="G923">
            <v>320.5</v>
          </cell>
          <cell r="H923">
            <v>515</v>
          </cell>
          <cell r="I923">
            <v>515</v>
          </cell>
          <cell r="J923">
            <v>0</v>
          </cell>
        </row>
        <row r="924">
          <cell r="A924" t="str">
            <v>6252685022</v>
          </cell>
          <cell r="B924">
            <v>62526</v>
          </cell>
          <cell r="C924">
            <v>85022</v>
          </cell>
          <cell r="D924" t="str">
            <v>Prof Svc-Audit/Acctng</v>
          </cell>
          <cell r="E924">
            <v>0</v>
          </cell>
          <cell r="F924">
            <v>0</v>
          </cell>
          <cell r="G924">
            <v>0</v>
          </cell>
          <cell r="H924">
            <v>1943.97</v>
          </cell>
          <cell r="I924">
            <v>1943.97</v>
          </cell>
          <cell r="J924">
            <v>0</v>
          </cell>
        </row>
        <row r="925">
          <cell r="A925" t="str">
            <v>6252685065</v>
          </cell>
          <cell r="B925">
            <v>62526</v>
          </cell>
          <cell r="C925">
            <v>85065</v>
          </cell>
          <cell r="D925" t="str">
            <v>Professional Services Other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</row>
        <row r="926">
          <cell r="A926" t="str">
            <v>6252685500</v>
          </cell>
          <cell r="B926">
            <v>62526</v>
          </cell>
          <cell r="C926">
            <v>85500</v>
          </cell>
          <cell r="D926" t="str">
            <v>Consulting Services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</row>
        <row r="927">
          <cell r="A927" t="str">
            <v>6252685566</v>
          </cell>
          <cell r="B927">
            <v>62526</v>
          </cell>
          <cell r="C927">
            <v>85566</v>
          </cell>
          <cell r="D927" t="str">
            <v>Management Fee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</row>
        <row r="928">
          <cell r="A928" t="str">
            <v>6252685581</v>
          </cell>
          <cell r="B928">
            <v>62526</v>
          </cell>
          <cell r="C928">
            <v>85581</v>
          </cell>
          <cell r="D928" t="str">
            <v>Bldg Admin- Salaries</v>
          </cell>
          <cell r="E928">
            <v>5559.65</v>
          </cell>
          <cell r="F928">
            <v>5559.84</v>
          </cell>
          <cell r="G928">
            <v>-0.19000000000050901</v>
          </cell>
          <cell r="H928">
            <v>34638.199999999997</v>
          </cell>
          <cell r="I928">
            <v>34638.199999999997</v>
          </cell>
          <cell r="J928">
            <v>0</v>
          </cell>
        </row>
        <row r="929">
          <cell r="A929" t="str">
            <v>6252685583</v>
          </cell>
          <cell r="B929">
            <v>62526</v>
          </cell>
          <cell r="C929">
            <v>85583</v>
          </cell>
          <cell r="D929" t="str">
            <v>Bldg Admin-Office Exp.</v>
          </cell>
          <cell r="E929">
            <v>64.650000000000006</v>
          </cell>
          <cell r="F929">
            <v>0</v>
          </cell>
          <cell r="G929">
            <v>64.650000000000006</v>
          </cell>
          <cell r="H929">
            <v>0</v>
          </cell>
          <cell r="I929">
            <v>0</v>
          </cell>
          <cell r="J929">
            <v>0</v>
          </cell>
        </row>
        <row r="930">
          <cell r="A930" t="str">
            <v>6252685530</v>
          </cell>
          <cell r="B930">
            <v>62526</v>
          </cell>
          <cell r="C930">
            <v>85530</v>
          </cell>
          <cell r="D930" t="str">
            <v>Bldg Admin - Office Exp</v>
          </cell>
          <cell r="E930">
            <v>64.650000000000006</v>
          </cell>
          <cell r="F930">
            <v>0</v>
          </cell>
          <cell r="G930">
            <v>64.650000000000006</v>
          </cell>
          <cell r="H930">
            <v>0</v>
          </cell>
          <cell r="I930">
            <v>0</v>
          </cell>
          <cell r="J930">
            <v>0</v>
          </cell>
        </row>
        <row r="931">
          <cell r="A931" t="str">
            <v>6252686012</v>
          </cell>
          <cell r="B931">
            <v>62526</v>
          </cell>
          <cell r="C931">
            <v>86012</v>
          </cell>
          <cell r="D931" t="str">
            <v>Regional Employee Parking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</row>
        <row r="932">
          <cell r="A932" t="str">
            <v>6252686037</v>
          </cell>
          <cell r="B932">
            <v>62526</v>
          </cell>
          <cell r="C932">
            <v>86037</v>
          </cell>
          <cell r="D932" t="str">
            <v>Travel &amp; Entertainment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</row>
        <row r="933">
          <cell r="A933" t="str">
            <v>6252683050</v>
          </cell>
          <cell r="B933">
            <v>62526</v>
          </cell>
          <cell r="C933">
            <v>83050</v>
          </cell>
          <cell r="D933" t="str">
            <v>Regional Employee Travel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</row>
        <row r="934">
          <cell r="A934" t="str">
            <v>6252686510</v>
          </cell>
          <cell r="B934">
            <v>62526</v>
          </cell>
          <cell r="C934">
            <v>86510</v>
          </cell>
          <cell r="D934" t="str">
            <v>Leasing Admin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</row>
        <row r="935">
          <cell r="A935" t="str">
            <v>6252686537</v>
          </cell>
          <cell r="B935">
            <v>62526</v>
          </cell>
          <cell r="C935">
            <v>86537</v>
          </cell>
          <cell r="D935" t="str">
            <v>Fees-Credit Reports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</row>
        <row r="936">
          <cell r="A936" t="str">
            <v>6252686566</v>
          </cell>
          <cell r="B936">
            <v>62526</v>
          </cell>
          <cell r="C936">
            <v>86566</v>
          </cell>
          <cell r="D936" t="str">
            <v>Insurance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</row>
        <row r="937">
          <cell r="A937" t="str">
            <v>6252686955</v>
          </cell>
          <cell r="B937">
            <v>62526</v>
          </cell>
          <cell r="C937">
            <v>86955</v>
          </cell>
          <cell r="D937" t="str">
            <v>Regional Temporary Labor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</row>
        <row r="938">
          <cell r="A938" t="str">
            <v>6252686985</v>
          </cell>
          <cell r="B938">
            <v>62526</v>
          </cell>
          <cell r="C938">
            <v>86985</v>
          </cell>
          <cell r="D938" t="str">
            <v>Purchased Svcs _ Other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</row>
        <row r="939">
          <cell r="A939" t="str">
            <v>6252686880</v>
          </cell>
          <cell r="B939">
            <v>62526</v>
          </cell>
          <cell r="C939">
            <v>86880</v>
          </cell>
          <cell r="D939" t="str">
            <v>Telephone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</row>
        <row r="940">
          <cell r="A940" t="str">
            <v>6252688710</v>
          </cell>
          <cell r="B940">
            <v>62526</v>
          </cell>
          <cell r="C940">
            <v>88710</v>
          </cell>
          <cell r="D940" t="str">
            <v>Losses-Bad Debts</v>
          </cell>
          <cell r="E940">
            <v>0</v>
          </cell>
          <cell r="F940">
            <v>0.16</v>
          </cell>
          <cell r="G940">
            <v>-0.16</v>
          </cell>
          <cell r="H940">
            <v>36800.639999999999</v>
          </cell>
          <cell r="I940">
            <v>36800.639999999999</v>
          </cell>
          <cell r="J940">
            <v>0</v>
          </cell>
        </row>
        <row r="941">
          <cell r="A941" t="str">
            <v>6252688711</v>
          </cell>
          <cell r="B941">
            <v>62526</v>
          </cell>
          <cell r="C941">
            <v>88711</v>
          </cell>
          <cell r="D941" t="str">
            <v>Losses-Bad Debts- FASB 13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</row>
        <row r="942">
          <cell r="A942" t="str">
            <v>6252688785</v>
          </cell>
          <cell r="B942">
            <v>62526</v>
          </cell>
          <cell r="C942">
            <v>88785</v>
          </cell>
          <cell r="D942" t="str">
            <v>Losses-Uninsured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</row>
        <row r="943">
          <cell r="A943" t="str">
            <v>6252688847</v>
          </cell>
          <cell r="B943">
            <v>62526</v>
          </cell>
          <cell r="C943">
            <v>88847</v>
          </cell>
          <cell r="D943" t="str">
            <v>Expenses - Other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</row>
        <row r="944">
          <cell r="A944" t="str">
            <v>6252688866</v>
          </cell>
          <cell r="B944">
            <v>62526</v>
          </cell>
          <cell r="C944">
            <v>88866</v>
          </cell>
          <cell r="D944" t="str">
            <v>Legal Settlements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</row>
        <row r="945">
          <cell r="A945" t="str">
            <v>6252688870</v>
          </cell>
          <cell r="B945">
            <v>62526</v>
          </cell>
          <cell r="C945">
            <v>88870</v>
          </cell>
          <cell r="D945" t="str">
            <v>Backside Dist-O/S Partner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</row>
        <row r="946">
          <cell r="A946" t="str">
            <v>6252688889</v>
          </cell>
          <cell r="B946">
            <v>62526</v>
          </cell>
          <cell r="C946">
            <v>88889</v>
          </cell>
          <cell r="D946" t="str">
            <v>Security/Safety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</row>
        <row r="947">
          <cell r="A947" t="str">
            <v>6252689776</v>
          </cell>
          <cell r="B947">
            <v>62526</v>
          </cell>
          <cell r="C947">
            <v>89776</v>
          </cell>
          <cell r="D947" t="str">
            <v>Assmt Dist Taxes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</row>
        <row r="948">
          <cell r="A948" t="str">
            <v>6252689787</v>
          </cell>
          <cell r="B948">
            <v>62526</v>
          </cell>
          <cell r="C948">
            <v>89787</v>
          </cell>
          <cell r="D948" t="str">
            <v>Property Tax Exp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</row>
        <row r="949">
          <cell r="A949" t="str">
            <v>6252689510</v>
          </cell>
          <cell r="B949">
            <v>62526</v>
          </cell>
          <cell r="C949">
            <v>89510</v>
          </cell>
          <cell r="D949" t="str">
            <v>Interest Expense - General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</row>
        <row r="950">
          <cell r="A950" t="str">
            <v>6252689511</v>
          </cell>
          <cell r="B950">
            <v>62526</v>
          </cell>
          <cell r="C950">
            <v>89511</v>
          </cell>
          <cell r="D950" t="str">
            <v>Interest Expense - Swap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</row>
        <row r="951">
          <cell r="A951" t="str">
            <v>6252689512</v>
          </cell>
          <cell r="B951">
            <v>62526</v>
          </cell>
          <cell r="C951">
            <v>89512</v>
          </cell>
          <cell r="D951" t="str">
            <v>Interest Expense - Accrual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</row>
        <row r="952">
          <cell r="A952" t="str">
            <v>6252689528</v>
          </cell>
          <cell r="B952">
            <v>62526</v>
          </cell>
          <cell r="C952">
            <v>89528</v>
          </cell>
          <cell r="D952" t="str">
            <v>Interest Expense - Loan Fees-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</row>
        <row r="953">
          <cell r="A953" t="str">
            <v>6252689529</v>
          </cell>
          <cell r="B953">
            <v>62526</v>
          </cell>
          <cell r="C953">
            <v>89529</v>
          </cell>
          <cell r="D953" t="str">
            <v>Interest Expense - Loan Fee A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6252689567</v>
          </cell>
          <cell r="B954">
            <v>62526</v>
          </cell>
          <cell r="C954">
            <v>89567</v>
          </cell>
          <cell r="D954" t="str">
            <v>Interest Expense - TIC/Partne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6252685058</v>
          </cell>
          <cell r="B955">
            <v>62526</v>
          </cell>
          <cell r="C955">
            <v>85058</v>
          </cell>
          <cell r="D955" t="str">
            <v>Legal Fee Amort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6252686513</v>
          </cell>
          <cell r="B956">
            <v>62526</v>
          </cell>
          <cell r="C956">
            <v>86513</v>
          </cell>
          <cell r="D956" t="str">
            <v>Leasing Commission Amort</v>
          </cell>
          <cell r="E956">
            <v>0</v>
          </cell>
          <cell r="F956">
            <v>861.36</v>
          </cell>
          <cell r="G956">
            <v>-861.36</v>
          </cell>
          <cell r="H956">
            <v>5245.62</v>
          </cell>
          <cell r="I956">
            <v>5245.62</v>
          </cell>
          <cell r="J956">
            <v>0</v>
          </cell>
        </row>
        <row r="957">
          <cell r="A957" t="str">
            <v>6252686519</v>
          </cell>
          <cell r="B957">
            <v>62526</v>
          </cell>
          <cell r="C957">
            <v>86519</v>
          </cell>
          <cell r="D957" t="str">
            <v>Fees-Appraisal Amort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6252688770</v>
          </cell>
          <cell r="B958">
            <v>62526</v>
          </cell>
          <cell r="C958">
            <v>88770</v>
          </cell>
          <cell r="D958" t="str">
            <v>Losses-Prop Abandon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6252688862</v>
          </cell>
          <cell r="B959">
            <v>62526</v>
          </cell>
          <cell r="C959">
            <v>88862</v>
          </cell>
          <cell r="D959" t="str">
            <v>Lease Buy-Out Amort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6252688874</v>
          </cell>
          <cell r="B960">
            <v>62526</v>
          </cell>
          <cell r="C960">
            <v>88874</v>
          </cell>
          <cell r="D960" t="str">
            <v>Organization Cost Amort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6252689910</v>
          </cell>
          <cell r="B961">
            <v>62526</v>
          </cell>
          <cell r="C961">
            <v>89910</v>
          </cell>
          <cell r="D961" t="str">
            <v>Depreciation</v>
          </cell>
          <cell r="E961">
            <v>0</v>
          </cell>
          <cell r="F961">
            <v>45784.41</v>
          </cell>
          <cell r="G961">
            <v>-45784.41</v>
          </cell>
          <cell r="H961">
            <v>274706.71000000002</v>
          </cell>
          <cell r="I961">
            <v>274706.71000000002</v>
          </cell>
          <cell r="J961">
            <v>0</v>
          </cell>
        </row>
        <row r="962">
          <cell r="B962">
            <v>62526</v>
          </cell>
          <cell r="C962">
            <v>89548</v>
          </cell>
          <cell r="D962" t="str">
            <v>Other Amortized Cost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</row>
        <row r="963">
          <cell r="C963">
            <v>89548</v>
          </cell>
          <cell r="D963" t="str">
            <v>Other Amortized Cost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yside"/>
      <sheetName val="Corona Del Mar"/>
      <sheetName val="Crytal Cove"/>
      <sheetName val="Eastbluff"/>
      <sheetName val="Harbor View"/>
      <sheetName val="Newport Coast"/>
      <sheetName val="Newport Hills"/>
      <sheetName val="Newport North"/>
      <sheetName val="Westcliff"/>
      <sheetName val="ISC"/>
      <sheetName val="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6211041010</v>
          </cell>
          <cell r="B2">
            <v>62110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6211041040</v>
          </cell>
          <cell r="B3">
            <v>62110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6211041050</v>
          </cell>
          <cell r="B4">
            <v>62110</v>
          </cell>
          <cell r="C4">
            <v>41050</v>
          </cell>
          <cell r="D4" t="str">
            <v>Rental Income - Fixed</v>
          </cell>
          <cell r="E4">
            <v>-239852.87</v>
          </cell>
          <cell r="F4">
            <v>-237174.07</v>
          </cell>
          <cell r="G4">
            <v>-2678.7999999999902</v>
          </cell>
          <cell r="H4">
            <v>-2895487.51</v>
          </cell>
          <cell r="I4">
            <v>-2895487.51</v>
          </cell>
          <cell r="J4">
            <v>0</v>
          </cell>
        </row>
        <row r="5">
          <cell r="A5" t="str">
            <v>6211041074</v>
          </cell>
          <cell r="B5">
            <v>62110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-48255</v>
          </cell>
          <cell r="I5">
            <v>-48255</v>
          </cell>
          <cell r="J5">
            <v>0</v>
          </cell>
        </row>
        <row r="6">
          <cell r="A6" t="str">
            <v>6211041082</v>
          </cell>
          <cell r="B6">
            <v>62110</v>
          </cell>
          <cell r="C6">
            <v>41082</v>
          </cell>
          <cell r="D6" t="str">
            <v>Rental Income - Operating Exp</v>
          </cell>
          <cell r="E6">
            <v>-32216.92</v>
          </cell>
          <cell r="F6">
            <v>-44603.67</v>
          </cell>
          <cell r="G6">
            <v>12386.75</v>
          </cell>
          <cell r="H6">
            <v>-535244.04</v>
          </cell>
          <cell r="I6">
            <v>-535244.04</v>
          </cell>
          <cell r="J6">
            <v>0</v>
          </cell>
        </row>
        <row r="7">
          <cell r="A7" t="str">
            <v>6211044610</v>
          </cell>
          <cell r="B7">
            <v>62110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6211045071</v>
          </cell>
          <cell r="B8">
            <v>62110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6211045010</v>
          </cell>
          <cell r="B9">
            <v>62110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6211045046</v>
          </cell>
          <cell r="B10">
            <v>62110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6211045070</v>
          </cell>
          <cell r="B11">
            <v>62110</v>
          </cell>
          <cell r="C11">
            <v>45070</v>
          </cell>
          <cell r="D11" t="str">
            <v>Other Income</v>
          </cell>
          <cell r="E11">
            <v>-25</v>
          </cell>
          <cell r="F11">
            <v>-75.28</v>
          </cell>
          <cell r="G11">
            <v>50.28</v>
          </cell>
          <cell r="H11">
            <v>-935.34</v>
          </cell>
          <cell r="I11">
            <v>-935.34</v>
          </cell>
          <cell r="J11">
            <v>0</v>
          </cell>
        </row>
        <row r="12">
          <cell r="A12" t="str">
            <v>6211041060</v>
          </cell>
          <cell r="B12">
            <v>62110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2899.17</v>
          </cell>
          <cell r="G12">
            <v>-2899.17</v>
          </cell>
          <cell r="H12">
            <v>34790</v>
          </cell>
          <cell r="I12">
            <v>34790</v>
          </cell>
          <cell r="J12">
            <v>0</v>
          </cell>
        </row>
        <row r="13">
          <cell r="A13" t="str">
            <v>6211044870</v>
          </cell>
          <cell r="B13">
            <v>62110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6211052542</v>
          </cell>
          <cell r="B14">
            <v>62110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6211072710</v>
          </cell>
          <cell r="B15">
            <v>62110</v>
          </cell>
          <cell r="C15">
            <v>72710</v>
          </cell>
          <cell r="D15" t="str">
            <v>Utilities - Electricity</v>
          </cell>
          <cell r="E15">
            <v>390.66</v>
          </cell>
          <cell r="F15">
            <v>2519.86</v>
          </cell>
          <cell r="G15">
            <v>-2129.1999999999998</v>
          </cell>
          <cell r="H15">
            <v>25369.24</v>
          </cell>
          <cell r="I15">
            <v>25369.24</v>
          </cell>
          <cell r="J15">
            <v>0</v>
          </cell>
        </row>
        <row r="16">
          <cell r="A16" t="str">
            <v>6211072740</v>
          </cell>
          <cell r="B16">
            <v>62110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6211072770</v>
          </cell>
          <cell r="B17">
            <v>62110</v>
          </cell>
          <cell r="C17">
            <v>72770</v>
          </cell>
          <cell r="D17" t="str">
            <v>Utilities - Water</v>
          </cell>
          <cell r="E17">
            <v>311.87</v>
          </cell>
          <cell r="F17">
            <v>234.26</v>
          </cell>
          <cell r="G17">
            <v>77.61</v>
          </cell>
          <cell r="H17">
            <v>5991.75</v>
          </cell>
          <cell r="I17">
            <v>5991.75</v>
          </cell>
          <cell r="J17">
            <v>0</v>
          </cell>
        </row>
        <row r="18">
          <cell r="A18" t="str">
            <v>6211076000</v>
          </cell>
          <cell r="B18">
            <v>62110</v>
          </cell>
          <cell r="C18">
            <v>76000</v>
          </cell>
          <cell r="D18" t="str">
            <v>Bldg Maintenance &amp; Repair</v>
          </cell>
          <cell r="E18">
            <v>866.23</v>
          </cell>
          <cell r="F18">
            <v>373.91</v>
          </cell>
          <cell r="G18">
            <v>492.32</v>
          </cell>
          <cell r="H18">
            <v>13755.11</v>
          </cell>
          <cell r="I18">
            <v>13755.11</v>
          </cell>
          <cell r="J18">
            <v>0</v>
          </cell>
        </row>
        <row r="19">
          <cell r="A19" t="str">
            <v>6211076020</v>
          </cell>
          <cell r="B19">
            <v>62110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6211076034</v>
          </cell>
          <cell r="B20">
            <v>62110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6211076050</v>
          </cell>
          <cell r="B21">
            <v>62110</v>
          </cell>
          <cell r="C21">
            <v>76050</v>
          </cell>
          <cell r="D21" t="str">
            <v>Cleaning Expense</v>
          </cell>
          <cell r="E21">
            <v>4491</v>
          </cell>
          <cell r="F21">
            <v>3947.84</v>
          </cell>
          <cell r="G21">
            <v>543.16</v>
          </cell>
          <cell r="H21">
            <v>54669.42</v>
          </cell>
          <cell r="I21">
            <v>54669.42</v>
          </cell>
          <cell r="J21">
            <v>0</v>
          </cell>
        </row>
        <row r="22">
          <cell r="A22" t="str">
            <v>6211076056</v>
          </cell>
          <cell r="B22">
            <v>62110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6211076070</v>
          </cell>
          <cell r="B23">
            <v>62110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6211076091</v>
          </cell>
          <cell r="B24">
            <v>62110</v>
          </cell>
          <cell r="C24">
            <v>76091</v>
          </cell>
          <cell r="D24" t="str">
            <v>Parking Maintenance</v>
          </cell>
          <cell r="E24">
            <v>3384.25</v>
          </cell>
          <cell r="F24">
            <v>3455.65</v>
          </cell>
          <cell r="G24">
            <v>-71.400000000000105</v>
          </cell>
          <cell r="H24">
            <v>55126.69</v>
          </cell>
          <cell r="I24">
            <v>55126.69</v>
          </cell>
          <cell r="J24">
            <v>0</v>
          </cell>
        </row>
        <row r="25">
          <cell r="A25" t="str">
            <v>6211077000</v>
          </cell>
          <cell r="B25">
            <v>62110</v>
          </cell>
          <cell r="C25">
            <v>77000</v>
          </cell>
          <cell r="D25" t="str">
            <v>Grounds Maintenance</v>
          </cell>
          <cell r="E25">
            <v>793.93</v>
          </cell>
          <cell r="F25">
            <v>9614.1299999999992</v>
          </cell>
          <cell r="G25">
            <v>-8820.2000000000007</v>
          </cell>
          <cell r="H25">
            <v>62302.97</v>
          </cell>
          <cell r="I25">
            <v>62302.97</v>
          </cell>
          <cell r="J25">
            <v>0</v>
          </cell>
        </row>
        <row r="26">
          <cell r="A26" t="str">
            <v>6211077053</v>
          </cell>
          <cell r="B26">
            <v>62110</v>
          </cell>
          <cell r="C26">
            <v>77053</v>
          </cell>
          <cell r="D26" t="str">
            <v>Landscaping</v>
          </cell>
          <cell r="E26">
            <v>1275</v>
          </cell>
          <cell r="F26">
            <v>2660.27</v>
          </cell>
          <cell r="G26">
            <v>-1385.27</v>
          </cell>
          <cell r="H26">
            <v>42474.71</v>
          </cell>
          <cell r="I26">
            <v>42474.71</v>
          </cell>
          <cell r="J26">
            <v>0</v>
          </cell>
        </row>
        <row r="27">
          <cell r="A27" t="str">
            <v>6211078020</v>
          </cell>
          <cell r="B27">
            <v>62110</v>
          </cell>
          <cell r="C27">
            <v>78020</v>
          </cell>
          <cell r="D27" t="str">
            <v>Amortized CAM Exp</v>
          </cell>
          <cell r="E27">
            <v>1571.08</v>
          </cell>
          <cell r="F27">
            <v>2513.92</v>
          </cell>
          <cell r="G27">
            <v>-942.84</v>
          </cell>
          <cell r="H27">
            <v>30167</v>
          </cell>
          <cell r="I27">
            <v>30167</v>
          </cell>
          <cell r="J27">
            <v>0</v>
          </cell>
        </row>
        <row r="28">
          <cell r="A28" t="str">
            <v>6211084264</v>
          </cell>
          <cell r="B28">
            <v>62110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6211085555</v>
          </cell>
          <cell r="B29">
            <v>62110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6211085584</v>
          </cell>
          <cell r="B30">
            <v>62110</v>
          </cell>
          <cell r="C30">
            <v>85584</v>
          </cell>
          <cell r="D30" t="str">
            <v>Bldg Admin-Office Costs</v>
          </cell>
          <cell r="E30">
            <v>694.05</v>
          </cell>
          <cell r="F30">
            <v>1069.5</v>
          </cell>
          <cell r="G30">
            <v>-375.45</v>
          </cell>
          <cell r="H30">
            <v>12834</v>
          </cell>
          <cell r="I30">
            <v>12834</v>
          </cell>
          <cell r="J30">
            <v>0</v>
          </cell>
        </row>
        <row r="31">
          <cell r="A31" t="str">
            <v>6211085582</v>
          </cell>
          <cell r="B31">
            <v>62110</v>
          </cell>
          <cell r="C31">
            <v>85582</v>
          </cell>
          <cell r="D31" t="str">
            <v>Bldg Admin-Salaries</v>
          </cell>
          <cell r="E31">
            <v>6035.79</v>
          </cell>
          <cell r="F31">
            <v>6019.83</v>
          </cell>
          <cell r="G31">
            <v>15.96</v>
          </cell>
          <cell r="H31">
            <v>77000.3</v>
          </cell>
          <cell r="I31">
            <v>77000.3</v>
          </cell>
          <cell r="J31">
            <v>0</v>
          </cell>
        </row>
        <row r="32">
          <cell r="A32" t="str">
            <v>6211086564</v>
          </cell>
          <cell r="B32">
            <v>62110</v>
          </cell>
          <cell r="C32">
            <v>86564</v>
          </cell>
          <cell r="D32" t="str">
            <v>Insurance</v>
          </cell>
          <cell r="E32">
            <v>3289</v>
          </cell>
          <cell r="F32">
            <v>3288.83</v>
          </cell>
          <cell r="G32">
            <v>0.17000000000007301</v>
          </cell>
          <cell r="H32">
            <v>39466</v>
          </cell>
          <cell r="I32">
            <v>39466</v>
          </cell>
          <cell r="J32">
            <v>0</v>
          </cell>
        </row>
        <row r="33">
          <cell r="A33" t="str">
            <v>6211088846</v>
          </cell>
          <cell r="B33">
            <v>62110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6211088890</v>
          </cell>
          <cell r="B34">
            <v>62110</v>
          </cell>
          <cell r="C34">
            <v>88890</v>
          </cell>
          <cell r="D34" t="str">
            <v>Security/Safety</v>
          </cell>
          <cell r="E34">
            <v>0</v>
          </cell>
          <cell r="F34">
            <v>877</v>
          </cell>
          <cell r="G34">
            <v>-877</v>
          </cell>
          <cell r="H34">
            <v>10524</v>
          </cell>
          <cell r="I34">
            <v>10524</v>
          </cell>
          <cell r="J34">
            <v>0</v>
          </cell>
        </row>
        <row r="35">
          <cell r="A35" t="str">
            <v>6211089775</v>
          </cell>
          <cell r="B35">
            <v>62110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6211089729</v>
          </cell>
          <cell r="B36">
            <v>62110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6211089786</v>
          </cell>
          <cell r="B37">
            <v>62110</v>
          </cell>
          <cell r="C37">
            <v>89786</v>
          </cell>
          <cell r="D37" t="str">
            <v>Property Tax Exp</v>
          </cell>
          <cell r="E37">
            <v>9940.58</v>
          </cell>
          <cell r="F37">
            <v>9940.58</v>
          </cell>
          <cell r="G37">
            <v>0</v>
          </cell>
          <cell r="H37">
            <v>119287</v>
          </cell>
          <cell r="I37">
            <v>119287</v>
          </cell>
          <cell r="J37">
            <v>0</v>
          </cell>
        </row>
        <row r="38">
          <cell r="A38" t="str">
            <v>6211071040</v>
          </cell>
          <cell r="B38">
            <v>62110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6211072701</v>
          </cell>
          <cell r="B39">
            <v>62110</v>
          </cell>
          <cell r="C39">
            <v>72701</v>
          </cell>
          <cell r="D39" t="str">
            <v>Utilities</v>
          </cell>
          <cell r="E39">
            <v>27.69</v>
          </cell>
          <cell r="F39">
            <v>0</v>
          </cell>
          <cell r="G39">
            <v>27.69</v>
          </cell>
          <cell r="H39">
            <v>88.42</v>
          </cell>
          <cell r="I39">
            <v>88.42</v>
          </cell>
          <cell r="J39">
            <v>0</v>
          </cell>
        </row>
        <row r="40">
          <cell r="A40" t="str">
            <v>6211072855</v>
          </cell>
          <cell r="B40">
            <v>62110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6211072870</v>
          </cell>
          <cell r="B41">
            <v>62110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6211076010</v>
          </cell>
          <cell r="B42">
            <v>62110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206</v>
          </cell>
          <cell r="I42">
            <v>206</v>
          </cell>
          <cell r="J42">
            <v>0</v>
          </cell>
        </row>
        <row r="43">
          <cell r="A43" t="str">
            <v>6211076040</v>
          </cell>
          <cell r="B43">
            <v>62110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6211076051</v>
          </cell>
          <cell r="B44">
            <v>62110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6211076054</v>
          </cell>
          <cell r="B45">
            <v>62110</v>
          </cell>
          <cell r="C45">
            <v>76054</v>
          </cell>
          <cell r="D45" t="str">
            <v>Bldg Maintenance &amp; Repair</v>
          </cell>
          <cell r="E45">
            <v>158.02000000000001</v>
          </cell>
          <cell r="F45">
            <v>25000</v>
          </cell>
          <cell r="G45">
            <v>-24841.98</v>
          </cell>
          <cell r="H45">
            <v>25011.93</v>
          </cell>
          <cell r="I45">
            <v>25011.93</v>
          </cell>
          <cell r="J45">
            <v>0</v>
          </cell>
        </row>
        <row r="46">
          <cell r="A46" t="str">
            <v>6211076060</v>
          </cell>
          <cell r="B46">
            <v>62110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6211076071</v>
          </cell>
          <cell r="B47">
            <v>62110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6211076090</v>
          </cell>
          <cell r="B48">
            <v>62110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6211077001</v>
          </cell>
          <cell r="B49">
            <v>62110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6211077022</v>
          </cell>
          <cell r="B50">
            <v>62110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6211084200</v>
          </cell>
          <cell r="B51">
            <v>62110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6211084240</v>
          </cell>
          <cell r="B52">
            <v>62110</v>
          </cell>
          <cell r="C52">
            <v>84240</v>
          </cell>
          <cell r="D52" t="str">
            <v>Marketing Leasing</v>
          </cell>
          <cell r="E52">
            <v>20.93</v>
          </cell>
          <cell r="F52">
            <v>255.08</v>
          </cell>
          <cell r="G52">
            <v>-234.15</v>
          </cell>
          <cell r="H52">
            <v>3061</v>
          </cell>
          <cell r="I52">
            <v>3061</v>
          </cell>
          <cell r="J52">
            <v>0</v>
          </cell>
        </row>
        <row r="53">
          <cell r="A53" t="str">
            <v>6211084242</v>
          </cell>
          <cell r="B53">
            <v>62110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6211084243</v>
          </cell>
          <cell r="B54">
            <v>62110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6211084244</v>
          </cell>
          <cell r="B55">
            <v>62110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6211084265</v>
          </cell>
          <cell r="B56">
            <v>62110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6211088037</v>
          </cell>
          <cell r="B57">
            <v>62110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6211085016</v>
          </cell>
          <cell r="B58">
            <v>62110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0</v>
          </cell>
          <cell r="G58">
            <v>0</v>
          </cell>
          <cell r="H58">
            <v>3772.89</v>
          </cell>
          <cell r="I58">
            <v>3772.89</v>
          </cell>
          <cell r="J58">
            <v>0</v>
          </cell>
        </row>
        <row r="59">
          <cell r="A59" t="str">
            <v>6211085022</v>
          </cell>
          <cell r="B59">
            <v>62110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3131.56</v>
          </cell>
          <cell r="I59">
            <v>3131.56</v>
          </cell>
          <cell r="J59">
            <v>0</v>
          </cell>
        </row>
        <row r="60">
          <cell r="A60" t="str">
            <v>6211085065</v>
          </cell>
          <cell r="B60">
            <v>62110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6211085500</v>
          </cell>
          <cell r="B61">
            <v>62110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551.04999999999995</v>
          </cell>
          <cell r="I61">
            <v>551.04999999999995</v>
          </cell>
          <cell r="J61">
            <v>0</v>
          </cell>
        </row>
        <row r="62">
          <cell r="A62" t="str">
            <v>6211085566</v>
          </cell>
          <cell r="B62">
            <v>62110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6211085581</v>
          </cell>
          <cell r="B63">
            <v>62110</v>
          </cell>
          <cell r="C63">
            <v>85581</v>
          </cell>
          <cell r="D63" t="str">
            <v>Bldg Admin- Salaries</v>
          </cell>
          <cell r="E63">
            <v>5258.93</v>
          </cell>
          <cell r="F63">
            <v>5255.08</v>
          </cell>
          <cell r="G63">
            <v>3.8500000000003598</v>
          </cell>
          <cell r="H63">
            <v>65951.8</v>
          </cell>
          <cell r="I63">
            <v>65951.8</v>
          </cell>
          <cell r="J63">
            <v>0</v>
          </cell>
        </row>
        <row r="64">
          <cell r="A64" t="str">
            <v>6211085583</v>
          </cell>
          <cell r="B64">
            <v>62110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6211085530</v>
          </cell>
          <cell r="B65">
            <v>62110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6211086012</v>
          </cell>
          <cell r="B66">
            <v>62110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6211086037</v>
          </cell>
          <cell r="B67">
            <v>62110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6211083050</v>
          </cell>
          <cell r="B68">
            <v>62110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6211086510</v>
          </cell>
          <cell r="B69">
            <v>62110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6211086537</v>
          </cell>
          <cell r="B70">
            <v>62110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6211086566</v>
          </cell>
          <cell r="B71">
            <v>62110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6211086955</v>
          </cell>
          <cell r="B72">
            <v>62110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6211086985</v>
          </cell>
          <cell r="B73">
            <v>62110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6211086880</v>
          </cell>
          <cell r="B74">
            <v>62110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6211088710</v>
          </cell>
          <cell r="B75">
            <v>62110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0.08</v>
          </cell>
          <cell r="G75">
            <v>-0.08</v>
          </cell>
          <cell r="H75">
            <v>34800.639999999999</v>
          </cell>
          <cell r="I75">
            <v>34800.639999999999</v>
          </cell>
          <cell r="J75">
            <v>0</v>
          </cell>
        </row>
        <row r="76">
          <cell r="A76" t="str">
            <v>6211088711</v>
          </cell>
          <cell r="B76">
            <v>62110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6211088785</v>
          </cell>
          <cell r="B77">
            <v>62110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6211088847</v>
          </cell>
          <cell r="B78">
            <v>62110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6211088866</v>
          </cell>
          <cell r="B79">
            <v>62110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6211088870</v>
          </cell>
          <cell r="B80">
            <v>62110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6211088889</v>
          </cell>
          <cell r="B81">
            <v>62110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6211089776</v>
          </cell>
          <cell r="B82">
            <v>62110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6211089787</v>
          </cell>
          <cell r="B83">
            <v>62110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6211089510</v>
          </cell>
          <cell r="B84">
            <v>62110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6211089511</v>
          </cell>
          <cell r="B85">
            <v>62110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6211089512</v>
          </cell>
          <cell r="B86">
            <v>62110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6211089528</v>
          </cell>
          <cell r="B87">
            <v>62110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6211089529</v>
          </cell>
          <cell r="B88">
            <v>62110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6211089567</v>
          </cell>
          <cell r="B89">
            <v>62110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6211085058</v>
          </cell>
          <cell r="B90">
            <v>62110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6211086513</v>
          </cell>
          <cell r="B91">
            <v>62110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371.4</v>
          </cell>
          <cell r="G91">
            <v>-371.4</v>
          </cell>
          <cell r="H91">
            <v>6382.19</v>
          </cell>
          <cell r="I91">
            <v>6382.19</v>
          </cell>
          <cell r="J91">
            <v>0</v>
          </cell>
        </row>
        <row r="92">
          <cell r="A92" t="str">
            <v>6211086519</v>
          </cell>
          <cell r="B92">
            <v>62110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6211088770</v>
          </cell>
          <cell r="B93">
            <v>62110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6211088862</v>
          </cell>
          <cell r="B94">
            <v>62110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6211088874</v>
          </cell>
          <cell r="B95">
            <v>62110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6211089910</v>
          </cell>
          <cell r="B96">
            <v>62110</v>
          </cell>
          <cell r="C96">
            <v>89910</v>
          </cell>
          <cell r="D96" t="str">
            <v>Depreciation</v>
          </cell>
          <cell r="E96">
            <v>0</v>
          </cell>
          <cell r="F96">
            <v>29906.39</v>
          </cell>
          <cell r="G96">
            <v>-29906.39</v>
          </cell>
          <cell r="H96">
            <v>359259.05</v>
          </cell>
          <cell r="I96">
            <v>359259.05</v>
          </cell>
          <cell r="J96">
            <v>0</v>
          </cell>
        </row>
        <row r="97">
          <cell r="A97" t="str">
            <v>6211089548</v>
          </cell>
          <cell r="B97">
            <v>62110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6212041010</v>
          </cell>
          <cell r="B98">
            <v>62120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6212041040</v>
          </cell>
          <cell r="B99">
            <v>62120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6212041050</v>
          </cell>
          <cell r="B100">
            <v>62120</v>
          </cell>
          <cell r="C100">
            <v>41050</v>
          </cell>
          <cell r="D100" t="str">
            <v>Rental Income - Fixed</v>
          </cell>
          <cell r="E100">
            <v>-118587.45</v>
          </cell>
          <cell r="F100">
            <v>-117063.13</v>
          </cell>
          <cell r="G100">
            <v>-1524.3199999999899</v>
          </cell>
          <cell r="H100">
            <v>-1418310.18</v>
          </cell>
          <cell r="I100">
            <v>-1418310.18</v>
          </cell>
          <cell r="J100">
            <v>0</v>
          </cell>
        </row>
        <row r="101">
          <cell r="A101" t="str">
            <v>6212041074</v>
          </cell>
          <cell r="B101">
            <v>62120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-49730</v>
          </cell>
          <cell r="I101">
            <v>-49730</v>
          </cell>
          <cell r="J101">
            <v>0</v>
          </cell>
        </row>
        <row r="102">
          <cell r="A102" t="str">
            <v>6212041082</v>
          </cell>
          <cell r="B102">
            <v>62120</v>
          </cell>
          <cell r="C102">
            <v>41082</v>
          </cell>
          <cell r="D102" t="str">
            <v>Rental Income - Operating Exp</v>
          </cell>
          <cell r="E102">
            <v>-25881.3</v>
          </cell>
          <cell r="F102">
            <v>-36651.14</v>
          </cell>
          <cell r="G102">
            <v>10769.84</v>
          </cell>
          <cell r="H102">
            <v>-439813.68</v>
          </cell>
          <cell r="I102">
            <v>-439813.68</v>
          </cell>
          <cell r="J102">
            <v>0</v>
          </cell>
        </row>
        <row r="103">
          <cell r="A103" t="str">
            <v>6212044610</v>
          </cell>
          <cell r="B103">
            <v>62120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6212045071</v>
          </cell>
          <cell r="B104">
            <v>62120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6212045010</v>
          </cell>
          <cell r="B105">
            <v>62120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6212045046</v>
          </cell>
          <cell r="B106">
            <v>62120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6212045070</v>
          </cell>
          <cell r="B107">
            <v>62120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-416.42</v>
          </cell>
          <cell r="I107">
            <v>-416.42</v>
          </cell>
          <cell r="J107">
            <v>0</v>
          </cell>
        </row>
        <row r="108">
          <cell r="A108" t="str">
            <v>6212041060</v>
          </cell>
          <cell r="B108">
            <v>62120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1589.92</v>
          </cell>
          <cell r="G108">
            <v>-1589.92</v>
          </cell>
          <cell r="H108">
            <v>19079</v>
          </cell>
          <cell r="I108">
            <v>19079</v>
          </cell>
          <cell r="J108">
            <v>0</v>
          </cell>
        </row>
        <row r="109">
          <cell r="A109" t="str">
            <v>6212044870</v>
          </cell>
          <cell r="B109">
            <v>62120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6212052542</v>
          </cell>
          <cell r="B110">
            <v>62120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6212072710</v>
          </cell>
          <cell r="B111">
            <v>62120</v>
          </cell>
          <cell r="C111">
            <v>72710</v>
          </cell>
          <cell r="D111" t="str">
            <v>Utilities - Electricity</v>
          </cell>
          <cell r="E111">
            <v>148.04</v>
          </cell>
          <cell r="F111">
            <v>393.17</v>
          </cell>
          <cell r="G111">
            <v>-245.13</v>
          </cell>
          <cell r="H111">
            <v>4718</v>
          </cell>
          <cell r="I111">
            <v>4718</v>
          </cell>
          <cell r="J111">
            <v>0</v>
          </cell>
        </row>
        <row r="112">
          <cell r="A112" t="str">
            <v>6212072740</v>
          </cell>
          <cell r="B112">
            <v>62120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6212072770</v>
          </cell>
          <cell r="B113">
            <v>62120</v>
          </cell>
          <cell r="C113">
            <v>72770</v>
          </cell>
          <cell r="D113" t="str">
            <v>Utilities - Water</v>
          </cell>
          <cell r="E113">
            <v>-6.39</v>
          </cell>
          <cell r="F113">
            <v>553.74</v>
          </cell>
          <cell r="G113">
            <v>-560.13</v>
          </cell>
          <cell r="H113">
            <v>5214.68</v>
          </cell>
          <cell r="I113">
            <v>5214.68</v>
          </cell>
          <cell r="J113">
            <v>0</v>
          </cell>
        </row>
        <row r="114">
          <cell r="A114" t="str">
            <v>6212076000</v>
          </cell>
          <cell r="B114">
            <v>62120</v>
          </cell>
          <cell r="C114">
            <v>76000</v>
          </cell>
          <cell r="D114" t="str">
            <v>Bldg Maintenance &amp; Repair</v>
          </cell>
          <cell r="E114">
            <v>292.44</v>
          </cell>
          <cell r="F114">
            <v>453.2</v>
          </cell>
          <cell r="G114">
            <v>-160.76</v>
          </cell>
          <cell r="H114">
            <v>19710.5</v>
          </cell>
          <cell r="I114">
            <v>19710.5</v>
          </cell>
          <cell r="J114">
            <v>0</v>
          </cell>
        </row>
        <row r="115">
          <cell r="A115" t="str">
            <v>6212076020</v>
          </cell>
          <cell r="B115">
            <v>62120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6212076034</v>
          </cell>
          <cell r="B116">
            <v>62120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6212076050</v>
          </cell>
          <cell r="B117">
            <v>62120</v>
          </cell>
          <cell r="C117">
            <v>76050</v>
          </cell>
          <cell r="D117" t="str">
            <v>Cleaning Expense</v>
          </cell>
          <cell r="E117">
            <v>2729.1</v>
          </cell>
          <cell r="F117">
            <v>1785.89</v>
          </cell>
          <cell r="G117">
            <v>943.21</v>
          </cell>
          <cell r="H117">
            <v>32507.37</v>
          </cell>
          <cell r="I117">
            <v>32507.37</v>
          </cell>
          <cell r="J117">
            <v>0</v>
          </cell>
        </row>
        <row r="118">
          <cell r="A118" t="str">
            <v>6212076056</v>
          </cell>
          <cell r="B118">
            <v>62120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6212076070</v>
          </cell>
          <cell r="B119">
            <v>62120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6212076091</v>
          </cell>
          <cell r="B120">
            <v>62120</v>
          </cell>
          <cell r="C120">
            <v>76091</v>
          </cell>
          <cell r="D120" t="str">
            <v>Parking Maintenance</v>
          </cell>
          <cell r="E120">
            <v>1740</v>
          </cell>
          <cell r="F120">
            <v>1740.7</v>
          </cell>
          <cell r="G120">
            <v>-0.70000000000004503</v>
          </cell>
          <cell r="H120">
            <v>26329.97</v>
          </cell>
          <cell r="I120">
            <v>26329.97</v>
          </cell>
          <cell r="J120">
            <v>0</v>
          </cell>
        </row>
        <row r="121">
          <cell r="A121" t="str">
            <v>6212077000</v>
          </cell>
          <cell r="B121">
            <v>62120</v>
          </cell>
          <cell r="C121">
            <v>77000</v>
          </cell>
          <cell r="D121" t="str">
            <v>Grounds Maintenance</v>
          </cell>
          <cell r="E121">
            <v>2138.91</v>
          </cell>
          <cell r="F121">
            <v>12956.23</v>
          </cell>
          <cell r="G121">
            <v>-10817.32</v>
          </cell>
          <cell r="H121">
            <v>39881.339999999997</v>
          </cell>
          <cell r="I121">
            <v>39881.339999999997</v>
          </cell>
          <cell r="J121">
            <v>0</v>
          </cell>
        </row>
        <row r="122">
          <cell r="A122" t="str">
            <v>6212077053</v>
          </cell>
          <cell r="B122">
            <v>62120</v>
          </cell>
          <cell r="C122">
            <v>77053</v>
          </cell>
          <cell r="D122" t="str">
            <v>Landscaping</v>
          </cell>
          <cell r="E122">
            <v>1250</v>
          </cell>
          <cell r="F122">
            <v>1983.32</v>
          </cell>
          <cell r="G122">
            <v>-733.32</v>
          </cell>
          <cell r="H122">
            <v>43191.05</v>
          </cell>
          <cell r="I122">
            <v>43191.05</v>
          </cell>
          <cell r="J122">
            <v>0</v>
          </cell>
        </row>
        <row r="123">
          <cell r="A123" t="str">
            <v>6212078020</v>
          </cell>
          <cell r="B123">
            <v>62120</v>
          </cell>
          <cell r="C123">
            <v>78020</v>
          </cell>
          <cell r="D123" t="str">
            <v>Amortized CAM Exp</v>
          </cell>
          <cell r="E123">
            <v>1883.33</v>
          </cell>
          <cell r="F123">
            <v>3816.67</v>
          </cell>
          <cell r="G123">
            <v>-1933.34</v>
          </cell>
          <cell r="H123">
            <v>45800</v>
          </cell>
          <cell r="I123">
            <v>45800</v>
          </cell>
          <cell r="J123">
            <v>0</v>
          </cell>
        </row>
        <row r="124">
          <cell r="A124" t="str">
            <v>6212084264</v>
          </cell>
          <cell r="B124">
            <v>62120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6212085555</v>
          </cell>
          <cell r="B125">
            <v>62120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6212085584</v>
          </cell>
          <cell r="B126">
            <v>62120</v>
          </cell>
          <cell r="C126">
            <v>85584</v>
          </cell>
          <cell r="D126" t="str">
            <v>Bldg Admin-Office Costs</v>
          </cell>
          <cell r="E126">
            <v>383.55</v>
          </cell>
          <cell r="F126">
            <v>604.41999999999996</v>
          </cell>
          <cell r="G126">
            <v>-220.87</v>
          </cell>
          <cell r="H126">
            <v>7253</v>
          </cell>
          <cell r="I126">
            <v>7253</v>
          </cell>
          <cell r="J126">
            <v>0</v>
          </cell>
        </row>
        <row r="127">
          <cell r="A127" t="str">
            <v>6212085582</v>
          </cell>
          <cell r="B127">
            <v>62120</v>
          </cell>
          <cell r="C127">
            <v>85582</v>
          </cell>
          <cell r="D127" t="str">
            <v>Bldg Admin-Salaries</v>
          </cell>
          <cell r="E127">
            <v>3506.69</v>
          </cell>
          <cell r="F127">
            <v>3498.08</v>
          </cell>
          <cell r="G127">
            <v>8.6100000000001309</v>
          </cell>
          <cell r="H127">
            <v>44767.8</v>
          </cell>
          <cell r="I127">
            <v>44767.8</v>
          </cell>
          <cell r="J127">
            <v>0</v>
          </cell>
        </row>
        <row r="128">
          <cell r="A128" t="str">
            <v>6212086564</v>
          </cell>
          <cell r="B128">
            <v>62120</v>
          </cell>
          <cell r="C128">
            <v>86564</v>
          </cell>
          <cell r="D128" t="str">
            <v>Insurance</v>
          </cell>
          <cell r="E128">
            <v>1997</v>
          </cell>
          <cell r="F128">
            <v>1997</v>
          </cell>
          <cell r="G128">
            <v>0</v>
          </cell>
          <cell r="H128">
            <v>23969</v>
          </cell>
          <cell r="I128">
            <v>23969</v>
          </cell>
          <cell r="J128">
            <v>0</v>
          </cell>
        </row>
        <row r="129">
          <cell r="A129" t="str">
            <v>6212088846</v>
          </cell>
          <cell r="B129">
            <v>62120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6212088890</v>
          </cell>
          <cell r="B130">
            <v>62120</v>
          </cell>
          <cell r="C130">
            <v>88890</v>
          </cell>
          <cell r="D130" t="str">
            <v>Security/Safety</v>
          </cell>
          <cell r="E130">
            <v>0</v>
          </cell>
          <cell r="F130">
            <v>790.75</v>
          </cell>
          <cell r="G130">
            <v>-790.75</v>
          </cell>
          <cell r="H130">
            <v>15104.75</v>
          </cell>
          <cell r="I130">
            <v>15104.75</v>
          </cell>
          <cell r="J130">
            <v>0</v>
          </cell>
        </row>
        <row r="131">
          <cell r="A131" t="str">
            <v>6212089775</v>
          </cell>
          <cell r="B131">
            <v>62120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6212089729</v>
          </cell>
          <cell r="B132">
            <v>62120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6212089786</v>
          </cell>
          <cell r="B133">
            <v>62120</v>
          </cell>
          <cell r="C133">
            <v>89786</v>
          </cell>
          <cell r="D133" t="str">
            <v>Property Tax Exp</v>
          </cell>
          <cell r="E133">
            <v>7108.17</v>
          </cell>
          <cell r="F133">
            <v>7108.17</v>
          </cell>
          <cell r="G133">
            <v>0</v>
          </cell>
          <cell r="H133">
            <v>85298</v>
          </cell>
          <cell r="I133">
            <v>85298</v>
          </cell>
          <cell r="J133">
            <v>0</v>
          </cell>
        </row>
        <row r="134">
          <cell r="A134" t="str">
            <v>6212071040</v>
          </cell>
          <cell r="B134">
            <v>62120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6212072701</v>
          </cell>
          <cell r="B135">
            <v>62120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256.3</v>
          </cell>
          <cell r="I135">
            <v>256.3</v>
          </cell>
          <cell r="J135">
            <v>0</v>
          </cell>
        </row>
        <row r="136">
          <cell r="A136" t="str">
            <v>6212072855</v>
          </cell>
          <cell r="B136">
            <v>62120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6212072870</v>
          </cell>
          <cell r="B137">
            <v>62120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6212076010</v>
          </cell>
          <cell r="B138">
            <v>62120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103</v>
          </cell>
          <cell r="I138">
            <v>103</v>
          </cell>
          <cell r="J138">
            <v>0</v>
          </cell>
        </row>
        <row r="139">
          <cell r="A139" t="str">
            <v>6212076040</v>
          </cell>
          <cell r="B139">
            <v>62120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6212076051</v>
          </cell>
          <cell r="B140">
            <v>62120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6212076054</v>
          </cell>
          <cell r="B141">
            <v>62120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6212076060</v>
          </cell>
          <cell r="B142">
            <v>62120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6212076071</v>
          </cell>
          <cell r="B143">
            <v>62120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10038</v>
          </cell>
          <cell r="I143">
            <v>10038</v>
          </cell>
          <cell r="J143">
            <v>0</v>
          </cell>
        </row>
        <row r="144">
          <cell r="A144" t="str">
            <v>6212076090</v>
          </cell>
          <cell r="B144">
            <v>62120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6212077001</v>
          </cell>
          <cell r="B145">
            <v>62120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6212077022</v>
          </cell>
          <cell r="B146">
            <v>62120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6212084200</v>
          </cell>
          <cell r="B147">
            <v>62120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6212084240</v>
          </cell>
          <cell r="B148">
            <v>62120</v>
          </cell>
          <cell r="C148">
            <v>84240</v>
          </cell>
          <cell r="D148" t="str">
            <v>Marketing Leasing</v>
          </cell>
          <cell r="E148">
            <v>11.57</v>
          </cell>
          <cell r="F148">
            <v>144.16999999999999</v>
          </cell>
          <cell r="G148">
            <v>-132.6</v>
          </cell>
          <cell r="H148">
            <v>1730</v>
          </cell>
          <cell r="I148">
            <v>1730</v>
          </cell>
          <cell r="J148">
            <v>0</v>
          </cell>
        </row>
        <row r="149">
          <cell r="A149" t="str">
            <v>6212084242</v>
          </cell>
          <cell r="B149">
            <v>62120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6212084243</v>
          </cell>
          <cell r="B150">
            <v>62120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6212084244</v>
          </cell>
          <cell r="B151">
            <v>62120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6212084265</v>
          </cell>
          <cell r="B152">
            <v>62120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6212088037</v>
          </cell>
          <cell r="B153">
            <v>62120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6212085016</v>
          </cell>
          <cell r="B154">
            <v>62120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0</v>
          </cell>
          <cell r="G154">
            <v>0</v>
          </cell>
          <cell r="H154">
            <v>515</v>
          </cell>
          <cell r="I154">
            <v>515</v>
          </cell>
          <cell r="J154">
            <v>0</v>
          </cell>
        </row>
        <row r="155">
          <cell r="A155" t="str">
            <v>6212085022</v>
          </cell>
          <cell r="B155">
            <v>62120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2731.92</v>
          </cell>
          <cell r="I155">
            <v>2731.92</v>
          </cell>
          <cell r="J155">
            <v>0</v>
          </cell>
        </row>
        <row r="156">
          <cell r="A156" t="str">
            <v>6212085065</v>
          </cell>
          <cell r="B156">
            <v>62120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6212085500</v>
          </cell>
          <cell r="B157">
            <v>62120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206</v>
          </cell>
          <cell r="I157">
            <v>206</v>
          </cell>
          <cell r="J157">
            <v>0</v>
          </cell>
        </row>
        <row r="158">
          <cell r="A158" t="str">
            <v>6212085566</v>
          </cell>
          <cell r="B158">
            <v>62120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6212085581</v>
          </cell>
          <cell r="B159">
            <v>62120</v>
          </cell>
          <cell r="C159">
            <v>85581</v>
          </cell>
          <cell r="D159" t="str">
            <v>Bldg Admin- Salaries</v>
          </cell>
          <cell r="E159">
            <v>2799.16</v>
          </cell>
          <cell r="F159">
            <v>2797.42</v>
          </cell>
          <cell r="G159">
            <v>1.7399999999997799</v>
          </cell>
          <cell r="H159">
            <v>35156.199999999997</v>
          </cell>
          <cell r="I159">
            <v>35156.199999999997</v>
          </cell>
          <cell r="J159">
            <v>0</v>
          </cell>
        </row>
        <row r="160">
          <cell r="A160" t="str">
            <v>6212085583</v>
          </cell>
          <cell r="B160">
            <v>62120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6212085530</v>
          </cell>
          <cell r="B161">
            <v>62120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6212086012</v>
          </cell>
          <cell r="B162">
            <v>62120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6212086037</v>
          </cell>
          <cell r="B163">
            <v>62120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6212083050</v>
          </cell>
          <cell r="B164">
            <v>62120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6212086510</v>
          </cell>
          <cell r="B165">
            <v>62120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6212086537</v>
          </cell>
          <cell r="B166">
            <v>62120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6212086566</v>
          </cell>
          <cell r="B167">
            <v>62120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6212086955</v>
          </cell>
          <cell r="B168">
            <v>62120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6212086985</v>
          </cell>
          <cell r="B169">
            <v>62120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6212086880</v>
          </cell>
          <cell r="B170">
            <v>62120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6212088710</v>
          </cell>
          <cell r="B171">
            <v>62120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19084</v>
          </cell>
          <cell r="I171">
            <v>19084</v>
          </cell>
          <cell r="J171">
            <v>0</v>
          </cell>
        </row>
        <row r="172">
          <cell r="A172" t="str">
            <v>6212088711</v>
          </cell>
          <cell r="B172">
            <v>62120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6212088785</v>
          </cell>
          <cell r="B173">
            <v>62120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6212088847</v>
          </cell>
          <cell r="B174">
            <v>62120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6212088866</v>
          </cell>
          <cell r="B175">
            <v>62120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6212088870</v>
          </cell>
          <cell r="B176">
            <v>62120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6212088889</v>
          </cell>
          <cell r="B177">
            <v>62120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6212089776</v>
          </cell>
          <cell r="B178">
            <v>62120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6212089787</v>
          </cell>
          <cell r="B179">
            <v>62120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6212089510</v>
          </cell>
          <cell r="B180">
            <v>62120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6212089511</v>
          </cell>
          <cell r="B181">
            <v>62120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6212089512</v>
          </cell>
          <cell r="B182">
            <v>62120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6212089528</v>
          </cell>
          <cell r="B183">
            <v>62120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6212089529</v>
          </cell>
          <cell r="B184">
            <v>62120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6212089567</v>
          </cell>
          <cell r="B185">
            <v>62120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6212085058</v>
          </cell>
          <cell r="B186">
            <v>62120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6212086513</v>
          </cell>
          <cell r="B187">
            <v>62120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322.62</v>
          </cell>
          <cell r="I187">
            <v>322.62</v>
          </cell>
          <cell r="J187">
            <v>0</v>
          </cell>
        </row>
        <row r="188">
          <cell r="A188" t="str">
            <v>6212086519</v>
          </cell>
          <cell r="B188">
            <v>62120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6212088770</v>
          </cell>
          <cell r="B189">
            <v>62120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6212088862</v>
          </cell>
          <cell r="B190">
            <v>62120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6212088874</v>
          </cell>
          <cell r="B191">
            <v>62120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6212089910</v>
          </cell>
          <cell r="B192">
            <v>62120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9203.68</v>
          </cell>
          <cell r="G192">
            <v>-9203.68</v>
          </cell>
          <cell r="H192">
            <v>110610.92</v>
          </cell>
          <cell r="I192">
            <v>110610.92</v>
          </cell>
          <cell r="J192">
            <v>0</v>
          </cell>
        </row>
        <row r="193">
          <cell r="A193" t="str">
            <v>6212089548</v>
          </cell>
          <cell r="B193">
            <v>62120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6213541010</v>
          </cell>
          <cell r="B194">
            <v>62135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6213541040</v>
          </cell>
          <cell r="B195">
            <v>62135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6213541050</v>
          </cell>
          <cell r="B196">
            <v>62135</v>
          </cell>
          <cell r="C196">
            <v>41050</v>
          </cell>
          <cell r="D196" t="str">
            <v>Rental Income - Fixed</v>
          </cell>
          <cell r="E196">
            <v>-264821.88</v>
          </cell>
          <cell r="F196">
            <v>-266282.21999999997</v>
          </cell>
          <cell r="G196">
            <v>1460.3399999999699</v>
          </cell>
          <cell r="H196">
            <v>-1637072.34</v>
          </cell>
          <cell r="I196">
            <v>-1637072.34</v>
          </cell>
          <cell r="J196">
            <v>0</v>
          </cell>
        </row>
        <row r="197">
          <cell r="A197" t="str">
            <v>6213541074</v>
          </cell>
          <cell r="B197">
            <v>62135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6213541082</v>
          </cell>
          <cell r="B198">
            <v>62135</v>
          </cell>
          <cell r="C198">
            <v>41082</v>
          </cell>
          <cell r="D198" t="str">
            <v>Rental Income - Operating Exp</v>
          </cell>
          <cell r="E198">
            <v>-63835.86</v>
          </cell>
          <cell r="F198">
            <v>-72781.02</v>
          </cell>
          <cell r="G198">
            <v>8945.16</v>
          </cell>
          <cell r="H198">
            <v>-436686.12</v>
          </cell>
          <cell r="I198">
            <v>-436686.12</v>
          </cell>
          <cell r="J198">
            <v>0</v>
          </cell>
        </row>
        <row r="199">
          <cell r="A199" t="str">
            <v>6213544610</v>
          </cell>
          <cell r="B199">
            <v>62135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6213545071</v>
          </cell>
          <cell r="B200">
            <v>62135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6213545010</v>
          </cell>
          <cell r="B201">
            <v>62135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6213545046</v>
          </cell>
          <cell r="B202">
            <v>62135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6213545070</v>
          </cell>
          <cell r="B203">
            <v>62135</v>
          </cell>
          <cell r="C203">
            <v>45070</v>
          </cell>
          <cell r="D203" t="str">
            <v>Other Income</v>
          </cell>
          <cell r="E203">
            <v>0</v>
          </cell>
          <cell r="F203">
            <v>0</v>
          </cell>
          <cell r="G203">
            <v>0</v>
          </cell>
          <cell r="H203">
            <v>-103</v>
          </cell>
          <cell r="I203">
            <v>-103</v>
          </cell>
          <cell r="J203">
            <v>0</v>
          </cell>
        </row>
        <row r="204">
          <cell r="A204" t="str">
            <v>6213541060</v>
          </cell>
          <cell r="B204">
            <v>62135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5184.34</v>
          </cell>
          <cell r="G204">
            <v>-5184.34</v>
          </cell>
          <cell r="H204">
            <v>31106</v>
          </cell>
          <cell r="I204">
            <v>31106</v>
          </cell>
          <cell r="J204">
            <v>0</v>
          </cell>
        </row>
        <row r="205">
          <cell r="A205" t="str">
            <v>6213544870</v>
          </cell>
          <cell r="B205">
            <v>62135</v>
          </cell>
          <cell r="C205">
            <v>44870</v>
          </cell>
          <cell r="D205" t="str">
            <v>Late Fees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6213552542</v>
          </cell>
          <cell r="B206">
            <v>62135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6213572710</v>
          </cell>
          <cell r="B207">
            <v>62135</v>
          </cell>
          <cell r="C207">
            <v>72710</v>
          </cell>
          <cell r="D207" t="str">
            <v>Utilities - Electricity</v>
          </cell>
          <cell r="E207">
            <v>2220.7399999999998</v>
          </cell>
          <cell r="F207">
            <v>2279.9299999999998</v>
          </cell>
          <cell r="G207">
            <v>-59.190000000000097</v>
          </cell>
          <cell r="H207">
            <v>18729.75</v>
          </cell>
          <cell r="I207">
            <v>18729.75</v>
          </cell>
          <cell r="J207">
            <v>0</v>
          </cell>
        </row>
        <row r="208">
          <cell r="A208" t="str">
            <v>6213572740</v>
          </cell>
          <cell r="B208">
            <v>62135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6213572770</v>
          </cell>
          <cell r="B209">
            <v>62135</v>
          </cell>
          <cell r="C209">
            <v>72770</v>
          </cell>
          <cell r="D209" t="str">
            <v>Utilities - Water</v>
          </cell>
          <cell r="E209">
            <v>2840.63</v>
          </cell>
          <cell r="F209">
            <v>127.52</v>
          </cell>
          <cell r="G209">
            <v>2713.11</v>
          </cell>
          <cell r="H209">
            <v>9675.6</v>
          </cell>
          <cell r="I209">
            <v>9675.6</v>
          </cell>
          <cell r="J209">
            <v>0</v>
          </cell>
        </row>
        <row r="210">
          <cell r="A210" t="str">
            <v>6213576000</v>
          </cell>
          <cell r="B210">
            <v>62135</v>
          </cell>
          <cell r="C210">
            <v>76000</v>
          </cell>
          <cell r="D210" t="str">
            <v>Bldg Maintenance &amp; Repair</v>
          </cell>
          <cell r="E210">
            <v>1152.8699999999999</v>
          </cell>
          <cell r="F210">
            <v>3058.31</v>
          </cell>
          <cell r="G210">
            <v>-1905.44</v>
          </cell>
          <cell r="H210">
            <v>39163.660000000003</v>
          </cell>
          <cell r="I210">
            <v>39163.660000000003</v>
          </cell>
          <cell r="J210">
            <v>0</v>
          </cell>
        </row>
        <row r="211">
          <cell r="A211" t="str">
            <v>6213576020</v>
          </cell>
          <cell r="B211">
            <v>62135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6213576034</v>
          </cell>
          <cell r="B212">
            <v>62135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6213576050</v>
          </cell>
          <cell r="B213">
            <v>62135</v>
          </cell>
          <cell r="C213">
            <v>76050</v>
          </cell>
          <cell r="D213" t="str">
            <v>Cleaning Expense</v>
          </cell>
          <cell r="E213">
            <v>4960</v>
          </cell>
          <cell r="F213">
            <v>5250.74</v>
          </cell>
          <cell r="G213">
            <v>-290.74</v>
          </cell>
          <cell r="H213">
            <v>31428.16</v>
          </cell>
          <cell r="I213">
            <v>31428.16</v>
          </cell>
          <cell r="J213">
            <v>0</v>
          </cell>
        </row>
        <row r="214">
          <cell r="A214" t="str">
            <v>6213576056</v>
          </cell>
          <cell r="B214">
            <v>62135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6213576070</v>
          </cell>
          <cell r="B215">
            <v>62135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6213576091</v>
          </cell>
          <cell r="B216">
            <v>62135</v>
          </cell>
          <cell r="C216">
            <v>76091</v>
          </cell>
          <cell r="D216" t="str">
            <v>Parking Maintenance</v>
          </cell>
          <cell r="E216">
            <v>4610</v>
          </cell>
          <cell r="F216">
            <v>4655.6000000000004</v>
          </cell>
          <cell r="G216">
            <v>-45.600000000000399</v>
          </cell>
          <cell r="H216">
            <v>40763.08</v>
          </cell>
          <cell r="I216">
            <v>40763.08</v>
          </cell>
          <cell r="J216">
            <v>0</v>
          </cell>
        </row>
        <row r="217">
          <cell r="A217" t="str">
            <v>6213577000</v>
          </cell>
          <cell r="B217">
            <v>62135</v>
          </cell>
          <cell r="C217">
            <v>77000</v>
          </cell>
          <cell r="D217" t="str">
            <v>Grounds Maintenance</v>
          </cell>
          <cell r="E217">
            <v>2418.21</v>
          </cell>
          <cell r="F217">
            <v>7495.92</v>
          </cell>
          <cell r="G217">
            <v>-5077.71</v>
          </cell>
          <cell r="H217">
            <v>51270.38</v>
          </cell>
          <cell r="I217">
            <v>51270.38</v>
          </cell>
          <cell r="J217">
            <v>0</v>
          </cell>
        </row>
        <row r="218">
          <cell r="A218" t="str">
            <v>6213577053</v>
          </cell>
          <cell r="B218">
            <v>62135</v>
          </cell>
          <cell r="C218">
            <v>77053</v>
          </cell>
          <cell r="D218" t="str">
            <v>Landscaping</v>
          </cell>
          <cell r="E218">
            <v>5772</v>
          </cell>
          <cell r="F218">
            <v>5618.52</v>
          </cell>
          <cell r="G218">
            <v>153.47999999999999</v>
          </cell>
          <cell r="H218">
            <v>40894.94</v>
          </cell>
          <cell r="I218">
            <v>40894.94</v>
          </cell>
          <cell r="J218">
            <v>0</v>
          </cell>
        </row>
        <row r="219">
          <cell r="A219" t="str">
            <v>6213578020</v>
          </cell>
          <cell r="B219">
            <v>62135</v>
          </cell>
          <cell r="C219">
            <v>78020</v>
          </cell>
          <cell r="D219" t="str">
            <v>Amortized CAM Exp</v>
          </cell>
          <cell r="E219">
            <v>3937.1</v>
          </cell>
          <cell r="F219">
            <v>3046.5</v>
          </cell>
          <cell r="G219">
            <v>890.6</v>
          </cell>
          <cell r="H219">
            <v>18279</v>
          </cell>
          <cell r="I219">
            <v>18279</v>
          </cell>
          <cell r="J219">
            <v>0</v>
          </cell>
        </row>
        <row r="220">
          <cell r="A220" t="str">
            <v>6213584264</v>
          </cell>
          <cell r="B220">
            <v>62135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6213585555</v>
          </cell>
          <cell r="B221">
            <v>62135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6213585584</v>
          </cell>
          <cell r="B222">
            <v>62135</v>
          </cell>
          <cell r="C222">
            <v>85584</v>
          </cell>
          <cell r="D222" t="str">
            <v>Bldg Admin-Office Costs</v>
          </cell>
          <cell r="E222">
            <v>1346.58</v>
          </cell>
          <cell r="F222">
            <v>1346.16</v>
          </cell>
          <cell r="G222">
            <v>0.419999999999845</v>
          </cell>
          <cell r="H222">
            <v>8077</v>
          </cell>
          <cell r="I222">
            <v>8077</v>
          </cell>
          <cell r="J222">
            <v>0</v>
          </cell>
        </row>
        <row r="223">
          <cell r="A223" t="str">
            <v>6213585582</v>
          </cell>
          <cell r="B223">
            <v>62135</v>
          </cell>
          <cell r="C223">
            <v>85582</v>
          </cell>
          <cell r="D223" t="str">
            <v>Bldg Admin-Salaries</v>
          </cell>
          <cell r="E223">
            <v>7577.49</v>
          </cell>
          <cell r="F223">
            <v>7577</v>
          </cell>
          <cell r="G223">
            <v>0.489999999999782</v>
          </cell>
          <cell r="H223">
            <v>48460</v>
          </cell>
          <cell r="I223">
            <v>48460</v>
          </cell>
          <cell r="J223">
            <v>0</v>
          </cell>
        </row>
        <row r="224">
          <cell r="A224" t="str">
            <v>6213586564</v>
          </cell>
          <cell r="B224">
            <v>62135</v>
          </cell>
          <cell r="C224">
            <v>86564</v>
          </cell>
          <cell r="D224" t="str">
            <v>Insurance</v>
          </cell>
          <cell r="E224">
            <v>4518</v>
          </cell>
          <cell r="F224">
            <v>4518</v>
          </cell>
          <cell r="G224">
            <v>0</v>
          </cell>
          <cell r="H224">
            <v>27108</v>
          </cell>
          <cell r="I224">
            <v>27108</v>
          </cell>
          <cell r="J224">
            <v>0</v>
          </cell>
        </row>
        <row r="225">
          <cell r="A225" t="str">
            <v>6213588846</v>
          </cell>
          <cell r="B225">
            <v>62135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6213588890</v>
          </cell>
          <cell r="B226">
            <v>62135</v>
          </cell>
          <cell r="C226">
            <v>88890</v>
          </cell>
          <cell r="D226" t="str">
            <v>Security/Safety</v>
          </cell>
          <cell r="E226">
            <v>6015.35</v>
          </cell>
          <cell r="F226">
            <v>502.7</v>
          </cell>
          <cell r="G226">
            <v>5512.65</v>
          </cell>
          <cell r="H226">
            <v>2976.06</v>
          </cell>
          <cell r="I226">
            <v>2976.06</v>
          </cell>
          <cell r="J226">
            <v>0</v>
          </cell>
        </row>
        <row r="227">
          <cell r="A227" t="str">
            <v>6213589775</v>
          </cell>
          <cell r="B227">
            <v>62135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6213589729</v>
          </cell>
          <cell r="B228">
            <v>62135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6213589786</v>
          </cell>
          <cell r="B229">
            <v>62135</v>
          </cell>
          <cell r="C229">
            <v>89786</v>
          </cell>
          <cell r="D229" t="str">
            <v>Property Tax Exp</v>
          </cell>
          <cell r="E229">
            <v>15216.34</v>
          </cell>
          <cell r="F229">
            <v>15216.34</v>
          </cell>
          <cell r="G229">
            <v>0</v>
          </cell>
          <cell r="H229">
            <v>91298</v>
          </cell>
          <cell r="I229">
            <v>91298</v>
          </cell>
          <cell r="J229">
            <v>0</v>
          </cell>
        </row>
        <row r="230">
          <cell r="A230" t="str">
            <v>6213571040</v>
          </cell>
          <cell r="B230">
            <v>62135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6213572701</v>
          </cell>
          <cell r="B231">
            <v>62135</v>
          </cell>
          <cell r="C231">
            <v>72701</v>
          </cell>
          <cell r="D231" t="str">
            <v>Utilities</v>
          </cell>
          <cell r="E231">
            <v>0</v>
          </cell>
          <cell r="F231">
            <v>0</v>
          </cell>
          <cell r="G231">
            <v>0</v>
          </cell>
          <cell r="H231">
            <v>51.5</v>
          </cell>
          <cell r="I231">
            <v>51.5</v>
          </cell>
          <cell r="J231">
            <v>0</v>
          </cell>
        </row>
        <row r="232">
          <cell r="A232" t="str">
            <v>6213572855</v>
          </cell>
          <cell r="B232">
            <v>62135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6213572870</v>
          </cell>
          <cell r="B233">
            <v>62135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6213576010</v>
          </cell>
          <cell r="B234">
            <v>62135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6213576040</v>
          </cell>
          <cell r="B235">
            <v>62135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6213576051</v>
          </cell>
          <cell r="B236">
            <v>62135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6213576054</v>
          </cell>
          <cell r="B237">
            <v>62135</v>
          </cell>
          <cell r="C237">
            <v>76054</v>
          </cell>
          <cell r="D237" t="str">
            <v>Bldg Maintenance &amp; Repair</v>
          </cell>
          <cell r="E237">
            <v>5.35</v>
          </cell>
          <cell r="F237">
            <v>375.13</v>
          </cell>
          <cell r="G237">
            <v>-369.78</v>
          </cell>
          <cell r="H237">
            <v>75837.59</v>
          </cell>
          <cell r="I237">
            <v>75837.59</v>
          </cell>
          <cell r="J237">
            <v>0</v>
          </cell>
        </row>
        <row r="238">
          <cell r="A238" t="str">
            <v>6213576060</v>
          </cell>
          <cell r="B238">
            <v>62135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6213576071</v>
          </cell>
          <cell r="B239">
            <v>62135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6213576090</v>
          </cell>
          <cell r="B240">
            <v>62135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6213577001</v>
          </cell>
          <cell r="B241">
            <v>62135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6213577022</v>
          </cell>
          <cell r="B242">
            <v>62135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6213584200</v>
          </cell>
          <cell r="B243">
            <v>62135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6213584240</v>
          </cell>
          <cell r="B244">
            <v>62135</v>
          </cell>
          <cell r="C244">
            <v>84240</v>
          </cell>
          <cell r="D244" t="str">
            <v>Marketing Leasing</v>
          </cell>
          <cell r="E244">
            <v>13.89</v>
          </cell>
          <cell r="F244">
            <v>321.16000000000003</v>
          </cell>
          <cell r="G244">
            <v>-307.27</v>
          </cell>
          <cell r="H244">
            <v>1927</v>
          </cell>
          <cell r="I244">
            <v>1927</v>
          </cell>
          <cell r="J244">
            <v>0</v>
          </cell>
        </row>
        <row r="245">
          <cell r="A245" t="str">
            <v>6213584242</v>
          </cell>
          <cell r="B245">
            <v>62135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6213584243</v>
          </cell>
          <cell r="B246">
            <v>62135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6213584244</v>
          </cell>
          <cell r="B247">
            <v>62135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6213584265</v>
          </cell>
          <cell r="B248">
            <v>62135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6213588037</v>
          </cell>
          <cell r="B249">
            <v>62135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6213585016</v>
          </cell>
          <cell r="B250">
            <v>62135</v>
          </cell>
          <cell r="C250">
            <v>85016</v>
          </cell>
          <cell r="D250" t="str">
            <v>Prof Svc-Attorney Outside</v>
          </cell>
          <cell r="E250">
            <v>0</v>
          </cell>
          <cell r="F250">
            <v>0</v>
          </cell>
          <cell r="G250">
            <v>0</v>
          </cell>
          <cell r="H250">
            <v>2210</v>
          </cell>
          <cell r="I250">
            <v>2210</v>
          </cell>
          <cell r="J250">
            <v>0</v>
          </cell>
        </row>
        <row r="251">
          <cell r="A251" t="str">
            <v>6213585022</v>
          </cell>
          <cell r="B251">
            <v>62135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2121.13</v>
          </cell>
          <cell r="I251">
            <v>2121.13</v>
          </cell>
          <cell r="J251">
            <v>0</v>
          </cell>
        </row>
        <row r="252">
          <cell r="A252" t="str">
            <v>6213585065</v>
          </cell>
          <cell r="B252">
            <v>62135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6213585500</v>
          </cell>
          <cell r="B253">
            <v>62135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208.58</v>
          </cell>
          <cell r="G253">
            <v>-208.58</v>
          </cell>
          <cell r="H253">
            <v>1238.58</v>
          </cell>
          <cell r="I253">
            <v>1238.58</v>
          </cell>
          <cell r="J253">
            <v>0</v>
          </cell>
        </row>
        <row r="254">
          <cell r="A254" t="str">
            <v>6213585566</v>
          </cell>
          <cell r="B254">
            <v>62135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6213585581</v>
          </cell>
          <cell r="B255">
            <v>62135</v>
          </cell>
          <cell r="C255">
            <v>85581</v>
          </cell>
          <cell r="D255" t="str">
            <v>Bldg Admin- Salaries</v>
          </cell>
          <cell r="E255">
            <v>6260.6</v>
          </cell>
          <cell r="F255">
            <v>6260.84</v>
          </cell>
          <cell r="G255">
            <v>-0.239999999999782</v>
          </cell>
          <cell r="H255">
            <v>39336.199999999997</v>
          </cell>
          <cell r="I255">
            <v>39336.199999999997</v>
          </cell>
          <cell r="J255">
            <v>0</v>
          </cell>
        </row>
        <row r="256">
          <cell r="A256" t="str">
            <v>6213585583</v>
          </cell>
          <cell r="B256">
            <v>62135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6213585530</v>
          </cell>
          <cell r="B257">
            <v>62135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6213586012</v>
          </cell>
          <cell r="B258">
            <v>62135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6213586037</v>
          </cell>
          <cell r="B259">
            <v>62135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6213583050</v>
          </cell>
          <cell r="B260">
            <v>62135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6213586510</v>
          </cell>
          <cell r="B261">
            <v>62135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6213586537</v>
          </cell>
          <cell r="B262">
            <v>62135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6213586566</v>
          </cell>
          <cell r="B263">
            <v>62135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6213586955</v>
          </cell>
          <cell r="B264">
            <v>62135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6213586985</v>
          </cell>
          <cell r="B265">
            <v>62135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6213586880</v>
          </cell>
          <cell r="B266">
            <v>62135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6213588710</v>
          </cell>
          <cell r="B267">
            <v>62135</v>
          </cell>
          <cell r="C267">
            <v>88710</v>
          </cell>
          <cell r="D267" t="str">
            <v>Losses-Bad Debts</v>
          </cell>
          <cell r="E267">
            <v>-1000</v>
          </cell>
          <cell r="F267">
            <v>0.16</v>
          </cell>
          <cell r="G267">
            <v>-1000.16</v>
          </cell>
          <cell r="H267">
            <v>31108.639999999999</v>
          </cell>
          <cell r="I267">
            <v>31108.639999999999</v>
          </cell>
          <cell r="J267">
            <v>0</v>
          </cell>
        </row>
        <row r="268">
          <cell r="A268" t="str">
            <v>6213588711</v>
          </cell>
          <cell r="B268">
            <v>62135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6213588785</v>
          </cell>
          <cell r="B269">
            <v>62135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6213588847</v>
          </cell>
          <cell r="B270">
            <v>62135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6213588866</v>
          </cell>
          <cell r="B271">
            <v>62135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6213588870</v>
          </cell>
          <cell r="B272">
            <v>62135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6213588889</v>
          </cell>
          <cell r="B273">
            <v>62135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6213589776</v>
          </cell>
          <cell r="B274">
            <v>62135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6213589787</v>
          </cell>
          <cell r="B275">
            <v>62135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6213589510</v>
          </cell>
          <cell r="B276">
            <v>62135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6213589511</v>
          </cell>
          <cell r="B277">
            <v>62135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6213589512</v>
          </cell>
          <cell r="B278">
            <v>62135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6213589528</v>
          </cell>
          <cell r="B279">
            <v>62135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6213589529</v>
          </cell>
          <cell r="B280">
            <v>62135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>6213589567</v>
          </cell>
          <cell r="B281">
            <v>62135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6213585058</v>
          </cell>
          <cell r="B282">
            <v>62135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6213586513</v>
          </cell>
          <cell r="B283">
            <v>62135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255.48</v>
          </cell>
          <cell r="G283">
            <v>-255.48</v>
          </cell>
          <cell r="H283">
            <v>1576.11</v>
          </cell>
          <cell r="I283">
            <v>1576.11</v>
          </cell>
          <cell r="J283">
            <v>0</v>
          </cell>
        </row>
        <row r="284">
          <cell r="A284" t="str">
            <v>6213586519</v>
          </cell>
          <cell r="B284">
            <v>62135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6213588770</v>
          </cell>
          <cell r="B285">
            <v>62135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6213588862</v>
          </cell>
          <cell r="B286">
            <v>62135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6213588874</v>
          </cell>
          <cell r="B287">
            <v>62135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6213589910</v>
          </cell>
          <cell r="B288">
            <v>62135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15785.31</v>
          </cell>
          <cell r="G288">
            <v>-15785.31</v>
          </cell>
          <cell r="H288">
            <v>93118.59</v>
          </cell>
          <cell r="I288">
            <v>93118.59</v>
          </cell>
          <cell r="J288">
            <v>0</v>
          </cell>
        </row>
        <row r="289">
          <cell r="A289" t="str">
            <v>6213589548</v>
          </cell>
          <cell r="B289">
            <v>62135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6214041010</v>
          </cell>
          <cell r="B290">
            <v>62140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6214041040</v>
          </cell>
          <cell r="B291">
            <v>62140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6214041050</v>
          </cell>
          <cell r="B292">
            <v>62140</v>
          </cell>
          <cell r="C292">
            <v>41050</v>
          </cell>
          <cell r="D292" t="str">
            <v>Rental Income - Fixed</v>
          </cell>
          <cell r="E292">
            <v>-74489.100000000006</v>
          </cell>
          <cell r="F292">
            <v>-77541.63</v>
          </cell>
          <cell r="G292">
            <v>3052.53</v>
          </cell>
          <cell r="H292">
            <v>-960440.68</v>
          </cell>
          <cell r="I292">
            <v>-960440.68</v>
          </cell>
          <cell r="J292">
            <v>0</v>
          </cell>
        </row>
        <row r="293">
          <cell r="A293" t="str">
            <v>6214041074</v>
          </cell>
          <cell r="B293">
            <v>62140</v>
          </cell>
          <cell r="C293">
            <v>41074</v>
          </cell>
          <cell r="D293" t="str">
            <v>Rental Income - Percentage</v>
          </cell>
          <cell r="E293">
            <v>-4181.25</v>
          </cell>
          <cell r="F293">
            <v>0</v>
          </cell>
          <cell r="G293">
            <v>-4181.25</v>
          </cell>
          <cell r="H293">
            <v>-81046</v>
          </cell>
          <cell r="I293">
            <v>-81046</v>
          </cell>
          <cell r="J293">
            <v>0</v>
          </cell>
        </row>
        <row r="294">
          <cell r="A294" t="str">
            <v>6214041082</v>
          </cell>
          <cell r="B294">
            <v>62140</v>
          </cell>
          <cell r="C294">
            <v>41082</v>
          </cell>
          <cell r="D294" t="str">
            <v>Rental Income - Operating Exp</v>
          </cell>
          <cell r="E294">
            <v>-22482.68</v>
          </cell>
          <cell r="F294">
            <v>-27574.04</v>
          </cell>
          <cell r="G294">
            <v>5091.3599999999997</v>
          </cell>
          <cell r="H294">
            <v>-330888.48</v>
          </cell>
          <cell r="I294">
            <v>-330888.48</v>
          </cell>
          <cell r="J294">
            <v>0</v>
          </cell>
        </row>
        <row r="295">
          <cell r="A295" t="str">
            <v>6214044610</v>
          </cell>
          <cell r="B295">
            <v>62140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6214045071</v>
          </cell>
          <cell r="B296">
            <v>62140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6214045010</v>
          </cell>
          <cell r="B297">
            <v>62140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6214045046</v>
          </cell>
          <cell r="B298">
            <v>62140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6214045070</v>
          </cell>
          <cell r="B299">
            <v>62140</v>
          </cell>
          <cell r="C299">
            <v>45070</v>
          </cell>
          <cell r="D299" t="str">
            <v>Other Income</v>
          </cell>
          <cell r="E299">
            <v>-3678.84</v>
          </cell>
          <cell r="F299">
            <v>-1000</v>
          </cell>
          <cell r="G299">
            <v>-2678.84</v>
          </cell>
          <cell r="H299">
            <v>-4000</v>
          </cell>
          <cell r="I299">
            <v>-4000</v>
          </cell>
          <cell r="J299">
            <v>0</v>
          </cell>
        </row>
        <row r="300">
          <cell r="A300" t="str">
            <v>6214041060</v>
          </cell>
          <cell r="B300">
            <v>62140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1715.5</v>
          </cell>
          <cell r="G300">
            <v>-1715.5</v>
          </cell>
          <cell r="H300">
            <v>20586</v>
          </cell>
          <cell r="I300">
            <v>20586</v>
          </cell>
          <cell r="J300">
            <v>0</v>
          </cell>
        </row>
        <row r="301">
          <cell r="A301" t="str">
            <v>6214044870</v>
          </cell>
          <cell r="B301">
            <v>62140</v>
          </cell>
          <cell r="C301">
            <v>44870</v>
          </cell>
          <cell r="D301" t="str">
            <v>Late Fees</v>
          </cell>
          <cell r="E301">
            <v>-1311.46</v>
          </cell>
          <cell r="F301">
            <v>0</v>
          </cell>
          <cell r="G301">
            <v>-1311.46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6214052542</v>
          </cell>
          <cell r="B302">
            <v>62140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6214072710</v>
          </cell>
          <cell r="B303">
            <v>62140</v>
          </cell>
          <cell r="C303">
            <v>72710</v>
          </cell>
          <cell r="D303" t="str">
            <v>Utilities - Electricity</v>
          </cell>
          <cell r="E303">
            <v>232.01</v>
          </cell>
          <cell r="F303">
            <v>277.06</v>
          </cell>
          <cell r="G303">
            <v>-45.05</v>
          </cell>
          <cell r="H303">
            <v>3799.67</v>
          </cell>
          <cell r="I303">
            <v>3799.67</v>
          </cell>
          <cell r="J303">
            <v>0</v>
          </cell>
        </row>
        <row r="304">
          <cell r="A304" t="str">
            <v>6214072740</v>
          </cell>
          <cell r="B304">
            <v>62140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6214072770</v>
          </cell>
          <cell r="B305">
            <v>62140</v>
          </cell>
          <cell r="C305">
            <v>72770</v>
          </cell>
          <cell r="D305" t="str">
            <v>Utilities - Water</v>
          </cell>
          <cell r="E305">
            <v>0</v>
          </cell>
          <cell r="F305">
            <v>-241.66</v>
          </cell>
          <cell r="G305">
            <v>241.66</v>
          </cell>
          <cell r="H305">
            <v>8656.2800000000007</v>
          </cell>
          <cell r="I305">
            <v>8656.2800000000007</v>
          </cell>
          <cell r="J305">
            <v>0</v>
          </cell>
        </row>
        <row r="306">
          <cell r="A306" t="str">
            <v>6214076000</v>
          </cell>
          <cell r="B306">
            <v>62140</v>
          </cell>
          <cell r="C306">
            <v>76000</v>
          </cell>
          <cell r="D306" t="str">
            <v>Bldg Maintenance &amp; Repair</v>
          </cell>
          <cell r="E306">
            <v>273.25</v>
          </cell>
          <cell r="F306">
            <v>412.19</v>
          </cell>
          <cell r="G306">
            <v>-138.94</v>
          </cell>
          <cell r="H306">
            <v>28885.14</v>
          </cell>
          <cell r="I306">
            <v>28885.14</v>
          </cell>
          <cell r="J306">
            <v>0</v>
          </cell>
        </row>
        <row r="307">
          <cell r="A307" t="str">
            <v>6214076020</v>
          </cell>
          <cell r="B307">
            <v>62140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6214076034</v>
          </cell>
          <cell r="B308">
            <v>62140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6214076050</v>
          </cell>
          <cell r="B309">
            <v>62140</v>
          </cell>
          <cell r="C309">
            <v>76050</v>
          </cell>
          <cell r="D309" t="str">
            <v>Cleaning Expense</v>
          </cell>
          <cell r="E309">
            <v>1993.8</v>
          </cell>
          <cell r="F309">
            <v>1799.2</v>
          </cell>
          <cell r="G309">
            <v>194.6</v>
          </cell>
          <cell r="H309">
            <v>22630.400000000001</v>
          </cell>
          <cell r="I309">
            <v>22630.400000000001</v>
          </cell>
          <cell r="J309">
            <v>0</v>
          </cell>
        </row>
        <row r="310">
          <cell r="A310" t="str">
            <v>6214076056</v>
          </cell>
          <cell r="B310">
            <v>62140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6214076070</v>
          </cell>
          <cell r="B311">
            <v>62140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6214076091</v>
          </cell>
          <cell r="B312">
            <v>62140</v>
          </cell>
          <cell r="C312">
            <v>76091</v>
          </cell>
          <cell r="D312" t="str">
            <v>Parking Maintenance</v>
          </cell>
          <cell r="E312">
            <v>1741.6</v>
          </cell>
          <cell r="F312">
            <v>1631.52</v>
          </cell>
          <cell r="G312">
            <v>110.08</v>
          </cell>
          <cell r="H312">
            <v>24620.06</v>
          </cell>
          <cell r="I312">
            <v>24620.06</v>
          </cell>
          <cell r="J312">
            <v>0</v>
          </cell>
        </row>
        <row r="313">
          <cell r="A313" t="str">
            <v>6214077000</v>
          </cell>
          <cell r="B313">
            <v>62140</v>
          </cell>
          <cell r="C313">
            <v>77000</v>
          </cell>
          <cell r="D313" t="str">
            <v>Grounds Maintenance</v>
          </cell>
          <cell r="E313">
            <v>406.01</v>
          </cell>
          <cell r="F313">
            <v>4318.83</v>
          </cell>
          <cell r="G313">
            <v>-3912.82</v>
          </cell>
          <cell r="H313">
            <v>23898.03</v>
          </cell>
          <cell r="I313">
            <v>23898.03</v>
          </cell>
          <cell r="J313">
            <v>0</v>
          </cell>
        </row>
        <row r="314">
          <cell r="A314" t="str">
            <v>6214077053</v>
          </cell>
          <cell r="B314">
            <v>62140</v>
          </cell>
          <cell r="C314">
            <v>77053</v>
          </cell>
          <cell r="D314" t="str">
            <v>Landscaping</v>
          </cell>
          <cell r="E314">
            <v>1915</v>
          </cell>
          <cell r="F314">
            <v>1902.7</v>
          </cell>
          <cell r="G314">
            <v>12.3</v>
          </cell>
          <cell r="H314">
            <v>45464.67</v>
          </cell>
          <cell r="I314">
            <v>45464.67</v>
          </cell>
          <cell r="J314">
            <v>0</v>
          </cell>
        </row>
        <row r="315">
          <cell r="A315" t="str">
            <v>6214078020</v>
          </cell>
          <cell r="B315">
            <v>62140</v>
          </cell>
          <cell r="C315">
            <v>78020</v>
          </cell>
          <cell r="D315" t="str">
            <v>Amortized CAM Exp</v>
          </cell>
          <cell r="E315">
            <v>1007.51</v>
          </cell>
          <cell r="F315">
            <v>607.01</v>
          </cell>
          <cell r="G315">
            <v>400.5</v>
          </cell>
          <cell r="H315">
            <v>11129</v>
          </cell>
          <cell r="I315">
            <v>11129</v>
          </cell>
          <cell r="J315">
            <v>0</v>
          </cell>
        </row>
        <row r="316">
          <cell r="A316" t="str">
            <v>6214084264</v>
          </cell>
          <cell r="B316">
            <v>62140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6214085555</v>
          </cell>
          <cell r="B317">
            <v>62140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6214085584</v>
          </cell>
          <cell r="B318">
            <v>62140</v>
          </cell>
          <cell r="C318">
            <v>85584</v>
          </cell>
          <cell r="D318" t="str">
            <v>Bldg Admin-Office Costs</v>
          </cell>
          <cell r="E318">
            <v>420.86</v>
          </cell>
          <cell r="F318">
            <v>653.91999999999996</v>
          </cell>
          <cell r="G318">
            <v>-233.06</v>
          </cell>
          <cell r="H318">
            <v>7847</v>
          </cell>
          <cell r="I318">
            <v>7847</v>
          </cell>
          <cell r="J318">
            <v>0</v>
          </cell>
        </row>
        <row r="319">
          <cell r="A319" t="str">
            <v>6214085582</v>
          </cell>
          <cell r="B319">
            <v>62140</v>
          </cell>
          <cell r="C319">
            <v>85582</v>
          </cell>
          <cell r="D319" t="str">
            <v>Bldg Admin-Salaries</v>
          </cell>
          <cell r="E319">
            <v>3550.45</v>
          </cell>
          <cell r="F319">
            <v>3550.33</v>
          </cell>
          <cell r="G319">
            <v>0.119999999999891</v>
          </cell>
          <cell r="H319">
            <v>45335.3</v>
          </cell>
          <cell r="I319">
            <v>45335.3</v>
          </cell>
          <cell r="J319">
            <v>0</v>
          </cell>
        </row>
        <row r="320">
          <cell r="A320" t="str">
            <v>6214086564</v>
          </cell>
          <cell r="B320">
            <v>62140</v>
          </cell>
          <cell r="C320">
            <v>86564</v>
          </cell>
          <cell r="D320" t="str">
            <v>Insurance</v>
          </cell>
          <cell r="E320">
            <v>1901</v>
          </cell>
          <cell r="F320">
            <v>1901.33</v>
          </cell>
          <cell r="G320">
            <v>-0.32999999999992702</v>
          </cell>
          <cell r="H320">
            <v>22816</v>
          </cell>
          <cell r="I320">
            <v>22816</v>
          </cell>
          <cell r="J320">
            <v>0</v>
          </cell>
        </row>
        <row r="321">
          <cell r="A321" t="str">
            <v>6214088846</v>
          </cell>
          <cell r="B321">
            <v>62140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6214088890</v>
          </cell>
          <cell r="B322">
            <v>62140</v>
          </cell>
          <cell r="C322">
            <v>88890</v>
          </cell>
          <cell r="D322" t="str">
            <v>Security/Safety</v>
          </cell>
          <cell r="E322">
            <v>4412.41</v>
          </cell>
          <cell r="F322">
            <v>2512.36</v>
          </cell>
          <cell r="G322">
            <v>1900.05</v>
          </cell>
          <cell r="H322">
            <v>30314.18</v>
          </cell>
          <cell r="I322">
            <v>30314.18</v>
          </cell>
          <cell r="J322">
            <v>0</v>
          </cell>
        </row>
        <row r="323">
          <cell r="A323" t="str">
            <v>6214089775</v>
          </cell>
          <cell r="B323">
            <v>62140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6214089729</v>
          </cell>
          <cell r="B324">
            <v>62140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6214089786</v>
          </cell>
          <cell r="B325">
            <v>62140</v>
          </cell>
          <cell r="C325">
            <v>89786</v>
          </cell>
          <cell r="D325" t="str">
            <v>Property Tax Exp</v>
          </cell>
          <cell r="E325">
            <v>4652</v>
          </cell>
          <cell r="F325">
            <v>4652</v>
          </cell>
          <cell r="G325">
            <v>0</v>
          </cell>
          <cell r="H325">
            <v>55824</v>
          </cell>
          <cell r="I325">
            <v>55824</v>
          </cell>
          <cell r="J325">
            <v>0</v>
          </cell>
        </row>
        <row r="326">
          <cell r="A326" t="str">
            <v>6214071040</v>
          </cell>
          <cell r="B326">
            <v>62140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6214072701</v>
          </cell>
          <cell r="B327">
            <v>62140</v>
          </cell>
          <cell r="C327">
            <v>72701</v>
          </cell>
          <cell r="D327" t="str">
            <v>Utilities</v>
          </cell>
          <cell r="E327">
            <v>0</v>
          </cell>
          <cell r="F327">
            <v>15.03</v>
          </cell>
          <cell r="G327">
            <v>-15.03</v>
          </cell>
          <cell r="H327">
            <v>338.19</v>
          </cell>
          <cell r="I327">
            <v>338.19</v>
          </cell>
          <cell r="J327">
            <v>0</v>
          </cell>
        </row>
        <row r="328">
          <cell r="A328" t="str">
            <v>6214072855</v>
          </cell>
          <cell r="B328">
            <v>62140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6214072870</v>
          </cell>
          <cell r="B329">
            <v>62140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6214076010</v>
          </cell>
          <cell r="B330">
            <v>62140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108.15</v>
          </cell>
          <cell r="I330">
            <v>108.15</v>
          </cell>
          <cell r="J330">
            <v>0</v>
          </cell>
        </row>
        <row r="331">
          <cell r="A331" t="str">
            <v>6214076040</v>
          </cell>
          <cell r="B331">
            <v>62140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6214076051</v>
          </cell>
          <cell r="B332">
            <v>62140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6214076054</v>
          </cell>
          <cell r="B333">
            <v>62140</v>
          </cell>
          <cell r="C333">
            <v>76054</v>
          </cell>
          <cell r="D333" t="str">
            <v>Bldg Maintenance &amp; Repair</v>
          </cell>
          <cell r="E333">
            <v>0</v>
          </cell>
          <cell r="F333">
            <v>9.67</v>
          </cell>
          <cell r="G333">
            <v>-9.67</v>
          </cell>
          <cell r="H333">
            <v>157.72</v>
          </cell>
          <cell r="I333">
            <v>157.72</v>
          </cell>
          <cell r="J333">
            <v>0</v>
          </cell>
        </row>
        <row r="334">
          <cell r="A334" t="str">
            <v>6214076060</v>
          </cell>
          <cell r="B334">
            <v>62140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6214076071</v>
          </cell>
          <cell r="B335">
            <v>62140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6214076090</v>
          </cell>
          <cell r="B336">
            <v>62140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6214077001</v>
          </cell>
          <cell r="B337">
            <v>62140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6214077022</v>
          </cell>
          <cell r="B338">
            <v>62140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6214084200</v>
          </cell>
          <cell r="B339">
            <v>62140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6214084240</v>
          </cell>
          <cell r="B340">
            <v>62140</v>
          </cell>
          <cell r="C340">
            <v>84240</v>
          </cell>
          <cell r="D340" t="str">
            <v>Marketing Leasing</v>
          </cell>
          <cell r="E340">
            <v>12.69</v>
          </cell>
          <cell r="F340">
            <v>156</v>
          </cell>
          <cell r="G340">
            <v>-143.31</v>
          </cell>
          <cell r="H340">
            <v>1872</v>
          </cell>
          <cell r="I340">
            <v>1872</v>
          </cell>
          <cell r="J340">
            <v>0</v>
          </cell>
        </row>
        <row r="341">
          <cell r="A341" t="str">
            <v>6214084242</v>
          </cell>
          <cell r="B341">
            <v>62140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6214084243</v>
          </cell>
          <cell r="B342">
            <v>62140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6214084244</v>
          </cell>
          <cell r="B343">
            <v>62140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6214084265</v>
          </cell>
          <cell r="B344">
            <v>62140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6214088037</v>
          </cell>
          <cell r="B345">
            <v>62140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6214085016</v>
          </cell>
          <cell r="B346">
            <v>62140</v>
          </cell>
          <cell r="C346">
            <v>85016</v>
          </cell>
          <cell r="D346" t="str">
            <v>Prof Svc-Attorney Outside</v>
          </cell>
          <cell r="E346">
            <v>0</v>
          </cell>
          <cell r="F346">
            <v>0</v>
          </cell>
          <cell r="G346">
            <v>0</v>
          </cell>
          <cell r="H346">
            <v>1492.48</v>
          </cell>
          <cell r="I346">
            <v>1492.48</v>
          </cell>
          <cell r="J346">
            <v>0</v>
          </cell>
        </row>
        <row r="347">
          <cell r="A347" t="str">
            <v>6214085022</v>
          </cell>
          <cell r="B347">
            <v>62140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2104.65</v>
          </cell>
          <cell r="I347">
            <v>2104.65</v>
          </cell>
          <cell r="J347">
            <v>0</v>
          </cell>
        </row>
        <row r="348">
          <cell r="A348" t="str">
            <v>6214085065</v>
          </cell>
          <cell r="B348">
            <v>62140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6214085500</v>
          </cell>
          <cell r="B349">
            <v>62140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2683.15</v>
          </cell>
          <cell r="I349">
            <v>2683.15</v>
          </cell>
          <cell r="J349">
            <v>0</v>
          </cell>
        </row>
        <row r="350">
          <cell r="A350" t="str">
            <v>6214085566</v>
          </cell>
          <cell r="B350">
            <v>62140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6214085581</v>
          </cell>
          <cell r="B351">
            <v>62140</v>
          </cell>
          <cell r="C351">
            <v>85581</v>
          </cell>
          <cell r="D351" t="str">
            <v>Bldg Admin- Salaries</v>
          </cell>
          <cell r="E351">
            <v>2432.38</v>
          </cell>
          <cell r="F351">
            <v>2429.83</v>
          </cell>
          <cell r="G351">
            <v>2.5500000000001801</v>
          </cell>
          <cell r="H351">
            <v>30854.3</v>
          </cell>
          <cell r="I351">
            <v>30854.3</v>
          </cell>
          <cell r="J351">
            <v>0</v>
          </cell>
        </row>
        <row r="352">
          <cell r="A352" t="str">
            <v>6214085583</v>
          </cell>
          <cell r="B352">
            <v>62140</v>
          </cell>
          <cell r="C352">
            <v>85583</v>
          </cell>
          <cell r="D352" t="str">
            <v>Bldg Admin-Office Exp.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6214085530</v>
          </cell>
          <cell r="B353">
            <v>62140</v>
          </cell>
          <cell r="C353">
            <v>85530</v>
          </cell>
          <cell r="D353" t="str">
            <v>Bldg Admin - Office Exp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6214086012</v>
          </cell>
          <cell r="B354">
            <v>62140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6214086037</v>
          </cell>
          <cell r="B355">
            <v>62140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6214083050</v>
          </cell>
          <cell r="B356">
            <v>62140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6214086510</v>
          </cell>
          <cell r="B357">
            <v>62140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6214086537</v>
          </cell>
          <cell r="B358">
            <v>62140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6214086566</v>
          </cell>
          <cell r="B359">
            <v>62140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6214086955</v>
          </cell>
          <cell r="B360">
            <v>62140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6214086985</v>
          </cell>
          <cell r="B361">
            <v>62140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6214086880</v>
          </cell>
          <cell r="B362">
            <v>62140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6214088710</v>
          </cell>
          <cell r="B363">
            <v>62140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0.08</v>
          </cell>
          <cell r="G363">
            <v>-0.08</v>
          </cell>
          <cell r="H363">
            <v>20644.64</v>
          </cell>
          <cell r="I363">
            <v>20644.64</v>
          </cell>
          <cell r="J363">
            <v>0</v>
          </cell>
        </row>
        <row r="364">
          <cell r="A364" t="str">
            <v>6214088711</v>
          </cell>
          <cell r="B364">
            <v>62140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6214088785</v>
          </cell>
          <cell r="B365">
            <v>62140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6214088847</v>
          </cell>
          <cell r="B366">
            <v>62140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6214088866</v>
          </cell>
          <cell r="B367">
            <v>62140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6214088870</v>
          </cell>
          <cell r="B368">
            <v>62140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6214088889</v>
          </cell>
          <cell r="B369">
            <v>62140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6214089776</v>
          </cell>
          <cell r="B370">
            <v>62140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6214089787</v>
          </cell>
          <cell r="B371">
            <v>62140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6214089510</v>
          </cell>
          <cell r="B372">
            <v>62140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6214089511</v>
          </cell>
          <cell r="B373">
            <v>62140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6214089512</v>
          </cell>
          <cell r="B374">
            <v>62140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6214089528</v>
          </cell>
          <cell r="B375">
            <v>62140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6214089529</v>
          </cell>
          <cell r="B376">
            <v>62140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6214089567</v>
          </cell>
          <cell r="B377">
            <v>62140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6214085058</v>
          </cell>
          <cell r="B378">
            <v>62140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6214086513</v>
          </cell>
          <cell r="B379">
            <v>62140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356.07</v>
          </cell>
          <cell r="I379">
            <v>356.07</v>
          </cell>
          <cell r="J379">
            <v>0</v>
          </cell>
        </row>
        <row r="380">
          <cell r="A380" t="str">
            <v>6214086519</v>
          </cell>
          <cell r="B380">
            <v>62140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6214088770</v>
          </cell>
          <cell r="B381">
            <v>62140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6214088862</v>
          </cell>
          <cell r="B382">
            <v>62140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6214088874</v>
          </cell>
          <cell r="B383">
            <v>62140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6214089910</v>
          </cell>
          <cell r="B384">
            <v>62140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7971.81</v>
          </cell>
          <cell r="G384">
            <v>-7971.81</v>
          </cell>
          <cell r="H384">
            <v>97784.23</v>
          </cell>
          <cell r="I384">
            <v>97784.23</v>
          </cell>
          <cell r="J384">
            <v>0</v>
          </cell>
        </row>
        <row r="385">
          <cell r="A385" t="str">
            <v>6214089548</v>
          </cell>
          <cell r="B385">
            <v>62140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6216041010</v>
          </cell>
          <cell r="B386">
            <v>62160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6216041040</v>
          </cell>
          <cell r="B387">
            <v>62160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6216041050</v>
          </cell>
          <cell r="B388">
            <v>62160</v>
          </cell>
          <cell r="C388">
            <v>41050</v>
          </cell>
          <cell r="D388" t="str">
            <v>Rental Income - Fixed</v>
          </cell>
          <cell r="E388">
            <v>-1552664.5</v>
          </cell>
          <cell r="F388">
            <v>-1589708.57</v>
          </cell>
          <cell r="G388">
            <v>37044.070000000102</v>
          </cell>
          <cell r="H388">
            <v>-1710299.84</v>
          </cell>
          <cell r="I388">
            <v>-1740878.67</v>
          </cell>
          <cell r="J388">
            <v>-30578.829999999802</v>
          </cell>
        </row>
        <row r="389">
          <cell r="A389" t="str">
            <v>6216041074</v>
          </cell>
          <cell r="B389">
            <v>62160</v>
          </cell>
          <cell r="C389">
            <v>41074</v>
          </cell>
          <cell r="D389" t="str">
            <v>Rental Income - Percentage</v>
          </cell>
          <cell r="E389">
            <v>-6370.98</v>
          </cell>
          <cell r="F389">
            <v>-146.05999999999901</v>
          </cell>
          <cell r="G389">
            <v>-6224.92</v>
          </cell>
          <cell r="H389">
            <v>-4100.63</v>
          </cell>
          <cell r="I389">
            <v>627.33000000000095</v>
          </cell>
          <cell r="J389">
            <v>4727.96</v>
          </cell>
        </row>
        <row r="390">
          <cell r="A390" t="str">
            <v>6216041082</v>
          </cell>
          <cell r="B390">
            <v>62160</v>
          </cell>
          <cell r="C390">
            <v>41082</v>
          </cell>
          <cell r="D390" t="str">
            <v>Rental Income - Operating Exp</v>
          </cell>
          <cell r="E390">
            <v>-309016.94</v>
          </cell>
          <cell r="F390">
            <v>-325026.05</v>
          </cell>
          <cell r="G390">
            <v>16009.11</v>
          </cell>
          <cell r="H390">
            <v>-356920.51</v>
          </cell>
          <cell r="I390">
            <v>-350941.76</v>
          </cell>
          <cell r="J390">
            <v>5978.75</v>
          </cell>
        </row>
        <row r="391">
          <cell r="A391" t="str">
            <v>6216044610</v>
          </cell>
          <cell r="B391">
            <v>62160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6216045071</v>
          </cell>
          <cell r="B392">
            <v>62160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6216045010</v>
          </cell>
          <cell r="B393">
            <v>62160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6216045046</v>
          </cell>
          <cell r="B394">
            <v>62160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6216045070</v>
          </cell>
          <cell r="B395">
            <v>62160</v>
          </cell>
          <cell r="C395">
            <v>45070</v>
          </cell>
          <cell r="D395" t="str">
            <v>Other Income</v>
          </cell>
          <cell r="E395">
            <v>-882.51</v>
          </cell>
          <cell r="F395">
            <v>-675</v>
          </cell>
          <cell r="G395">
            <v>-207.51</v>
          </cell>
          <cell r="H395">
            <v>-902.25</v>
          </cell>
          <cell r="I395">
            <v>-810</v>
          </cell>
          <cell r="J395">
            <v>92.25</v>
          </cell>
        </row>
        <row r="396">
          <cell r="A396" t="str">
            <v>6216041060</v>
          </cell>
          <cell r="B396">
            <v>62160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38434</v>
          </cell>
          <cell r="G396">
            <v>-38434</v>
          </cell>
          <cell r="H396">
            <v>13976</v>
          </cell>
          <cell r="I396">
            <v>41928</v>
          </cell>
          <cell r="J396">
            <v>27952</v>
          </cell>
        </row>
        <row r="397">
          <cell r="A397" t="str">
            <v>6216044870</v>
          </cell>
          <cell r="B397">
            <v>62160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6216052542</v>
          </cell>
          <cell r="B398">
            <v>62160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6216072710</v>
          </cell>
          <cell r="B399">
            <v>62160</v>
          </cell>
          <cell r="C399">
            <v>72710</v>
          </cell>
          <cell r="D399" t="str">
            <v>Utilities - Electricity</v>
          </cell>
          <cell r="E399">
            <v>9600.07</v>
          </cell>
          <cell r="F399">
            <v>8724</v>
          </cell>
          <cell r="G399">
            <v>876.07</v>
          </cell>
          <cell r="H399">
            <v>10455.89</v>
          </cell>
          <cell r="I399">
            <v>9330</v>
          </cell>
          <cell r="J399">
            <v>-1125.8900000000001</v>
          </cell>
        </row>
        <row r="400">
          <cell r="A400" t="str">
            <v>6216072740</v>
          </cell>
          <cell r="B400">
            <v>62160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6216072770</v>
          </cell>
          <cell r="B401">
            <v>62160</v>
          </cell>
          <cell r="C401">
            <v>72770</v>
          </cell>
          <cell r="D401" t="str">
            <v>Utilities - Water</v>
          </cell>
          <cell r="E401">
            <v>2284.94</v>
          </cell>
          <cell r="F401">
            <v>2381</v>
          </cell>
          <cell r="G401">
            <v>-96.059999999999903</v>
          </cell>
          <cell r="H401">
            <v>2833.93</v>
          </cell>
          <cell r="I401">
            <v>2781</v>
          </cell>
          <cell r="J401">
            <v>-52.929999999999801</v>
          </cell>
        </row>
        <row r="402">
          <cell r="A402" t="str">
            <v>6216076000</v>
          </cell>
          <cell r="B402">
            <v>62160</v>
          </cell>
          <cell r="C402">
            <v>76000</v>
          </cell>
          <cell r="D402" t="str">
            <v>Bldg Maintenance &amp; Repair</v>
          </cell>
          <cell r="E402">
            <v>17077.11</v>
          </cell>
          <cell r="F402">
            <v>11837</v>
          </cell>
          <cell r="G402">
            <v>5240.1099999999997</v>
          </cell>
          <cell r="H402">
            <v>13351.26</v>
          </cell>
          <cell r="I402">
            <v>12357</v>
          </cell>
          <cell r="J402">
            <v>-994.26</v>
          </cell>
        </row>
        <row r="403">
          <cell r="A403" t="str">
            <v>6216076020</v>
          </cell>
          <cell r="B403">
            <v>62160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6216076034</v>
          </cell>
          <cell r="B404">
            <v>62160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6216076050</v>
          </cell>
          <cell r="B405">
            <v>62160</v>
          </cell>
          <cell r="C405">
            <v>76050</v>
          </cell>
          <cell r="D405" t="str">
            <v>Cleaning Expense</v>
          </cell>
          <cell r="E405">
            <v>33351.43</v>
          </cell>
          <cell r="F405">
            <v>31361</v>
          </cell>
          <cell r="G405">
            <v>1990.43</v>
          </cell>
          <cell r="H405">
            <v>36033.589999999997</v>
          </cell>
          <cell r="I405">
            <v>34212</v>
          </cell>
          <cell r="J405">
            <v>-1821.59</v>
          </cell>
        </row>
        <row r="406">
          <cell r="A406" t="str">
            <v>6216076056</v>
          </cell>
          <cell r="B406">
            <v>62160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6216076070</v>
          </cell>
          <cell r="B407">
            <v>62160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6216076091</v>
          </cell>
          <cell r="B408">
            <v>62160</v>
          </cell>
          <cell r="C408">
            <v>76091</v>
          </cell>
          <cell r="D408" t="str">
            <v>Parking Maintenance</v>
          </cell>
          <cell r="E408">
            <v>22912.44</v>
          </cell>
          <cell r="F408">
            <v>23857</v>
          </cell>
          <cell r="G408">
            <v>-944.56000000000097</v>
          </cell>
          <cell r="H408">
            <v>27187.54</v>
          </cell>
          <cell r="I408">
            <v>25484</v>
          </cell>
          <cell r="J408">
            <v>-1703.54</v>
          </cell>
        </row>
        <row r="409">
          <cell r="A409" t="str">
            <v>6216077000</v>
          </cell>
          <cell r="B409">
            <v>62160</v>
          </cell>
          <cell r="C409">
            <v>77000</v>
          </cell>
          <cell r="D409" t="str">
            <v>Grounds Maintenance</v>
          </cell>
          <cell r="E409">
            <v>24676.560000000001</v>
          </cell>
          <cell r="F409">
            <v>29771</v>
          </cell>
          <cell r="G409">
            <v>-5094.4399999999996</v>
          </cell>
          <cell r="H409">
            <v>32820.839999999997</v>
          </cell>
          <cell r="I409">
            <v>30090</v>
          </cell>
          <cell r="J409">
            <v>-2730.84</v>
          </cell>
        </row>
        <row r="410">
          <cell r="A410" t="str">
            <v>6216077053</v>
          </cell>
          <cell r="B410">
            <v>62160</v>
          </cell>
          <cell r="C410">
            <v>77053</v>
          </cell>
          <cell r="D410" t="str">
            <v>Landscaping</v>
          </cell>
          <cell r="E410">
            <v>21802.58</v>
          </cell>
          <cell r="F410">
            <v>44700</v>
          </cell>
          <cell r="G410">
            <v>-22897.42</v>
          </cell>
          <cell r="H410">
            <v>38818.58</v>
          </cell>
          <cell r="I410">
            <v>45925</v>
          </cell>
          <cell r="J410">
            <v>7106.42</v>
          </cell>
        </row>
        <row r="411">
          <cell r="A411" t="str">
            <v>6216078020</v>
          </cell>
          <cell r="B411">
            <v>62160</v>
          </cell>
          <cell r="C411">
            <v>78020</v>
          </cell>
          <cell r="D411" t="str">
            <v>Amortized CAM Exp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</row>
        <row r="412">
          <cell r="A412" t="str">
            <v>6216084264</v>
          </cell>
          <cell r="B412">
            <v>62160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6216085555</v>
          </cell>
          <cell r="B413">
            <v>62160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6216085584</v>
          </cell>
          <cell r="B414">
            <v>62160</v>
          </cell>
          <cell r="C414">
            <v>85584</v>
          </cell>
          <cell r="D414" t="str">
            <v>Bldg Admin-Office Costs</v>
          </cell>
          <cell r="E414">
            <v>9862.3799999999992</v>
          </cell>
          <cell r="F414">
            <v>7506.62</v>
          </cell>
          <cell r="G414">
            <v>2355.7600000000002</v>
          </cell>
          <cell r="H414">
            <v>10068.65</v>
          </cell>
          <cell r="I414">
            <v>8189</v>
          </cell>
          <cell r="J414">
            <v>-1879.65</v>
          </cell>
        </row>
        <row r="415">
          <cell r="A415" t="str">
            <v>6216085582</v>
          </cell>
          <cell r="B415">
            <v>62160</v>
          </cell>
          <cell r="C415">
            <v>85582</v>
          </cell>
          <cell r="D415" t="str">
            <v>Bldg Admin-Salaries</v>
          </cell>
          <cell r="E415">
            <v>37715.89</v>
          </cell>
          <cell r="F415">
            <v>42468.3</v>
          </cell>
          <cell r="G415">
            <v>-4752.41</v>
          </cell>
          <cell r="H415">
            <v>44507</v>
          </cell>
          <cell r="I415">
            <v>49382.3</v>
          </cell>
          <cell r="J415">
            <v>4875.3</v>
          </cell>
        </row>
        <row r="416">
          <cell r="A416" t="str">
            <v>6216086564</v>
          </cell>
          <cell r="B416">
            <v>62160</v>
          </cell>
          <cell r="C416">
            <v>86564</v>
          </cell>
          <cell r="D416" t="str">
            <v>Insurance</v>
          </cell>
          <cell r="E416">
            <v>25113</v>
          </cell>
          <cell r="F416">
            <v>32015.5</v>
          </cell>
          <cell r="G416">
            <v>-6902.5</v>
          </cell>
          <cell r="H416">
            <v>27405</v>
          </cell>
          <cell r="I416">
            <v>34926</v>
          </cell>
          <cell r="J416">
            <v>7521</v>
          </cell>
        </row>
        <row r="417">
          <cell r="A417" t="str">
            <v>6216088846</v>
          </cell>
          <cell r="B417">
            <v>62160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6216088890</v>
          </cell>
          <cell r="B418">
            <v>62160</v>
          </cell>
          <cell r="C418">
            <v>88890</v>
          </cell>
          <cell r="D418" t="str">
            <v>Security/Safety</v>
          </cell>
          <cell r="E418">
            <v>2393.2399999999998</v>
          </cell>
          <cell r="F418">
            <v>5645</v>
          </cell>
          <cell r="G418">
            <v>-3251.76</v>
          </cell>
          <cell r="H418">
            <v>892</v>
          </cell>
          <cell r="I418">
            <v>5868</v>
          </cell>
          <cell r="J418">
            <v>4976</v>
          </cell>
        </row>
        <row r="419">
          <cell r="A419" t="str">
            <v>6216089775</v>
          </cell>
          <cell r="B419">
            <v>62160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6216089729</v>
          </cell>
          <cell r="B420">
            <v>62160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6216089786</v>
          </cell>
          <cell r="B421">
            <v>62160</v>
          </cell>
          <cell r="C421">
            <v>89786</v>
          </cell>
          <cell r="D421" t="str">
            <v>Property Tax Exp</v>
          </cell>
          <cell r="E421">
            <v>83076</v>
          </cell>
          <cell r="F421">
            <v>78701.259999999995</v>
          </cell>
          <cell r="G421">
            <v>4374.7400000000098</v>
          </cell>
          <cell r="H421">
            <v>87930</v>
          </cell>
          <cell r="I421">
            <v>85856</v>
          </cell>
          <cell r="J421">
            <v>-2074</v>
          </cell>
        </row>
        <row r="422">
          <cell r="A422" t="str">
            <v>6216071040</v>
          </cell>
          <cell r="B422">
            <v>62160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6216072701</v>
          </cell>
          <cell r="B423">
            <v>62160</v>
          </cell>
          <cell r="C423">
            <v>72701</v>
          </cell>
          <cell r="D423" t="str">
            <v>Utilities</v>
          </cell>
          <cell r="E423">
            <v>741.96</v>
          </cell>
          <cell r="F423">
            <v>0</v>
          </cell>
          <cell r="G423">
            <v>741.96</v>
          </cell>
          <cell r="H423">
            <v>514.91</v>
          </cell>
          <cell r="I423">
            <v>0</v>
          </cell>
          <cell r="J423">
            <v>-514.91</v>
          </cell>
        </row>
        <row r="424">
          <cell r="A424" t="str">
            <v>6216072855</v>
          </cell>
          <cell r="B424">
            <v>62160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6216072870</v>
          </cell>
          <cell r="B425">
            <v>62160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6216076010</v>
          </cell>
          <cell r="B426">
            <v>62160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1000</v>
          </cell>
          <cell r="G426">
            <v>-1000</v>
          </cell>
          <cell r="H426">
            <v>0</v>
          </cell>
          <cell r="I426">
            <v>1000</v>
          </cell>
          <cell r="J426">
            <v>1000</v>
          </cell>
        </row>
        <row r="427">
          <cell r="A427" t="str">
            <v>6216076040</v>
          </cell>
          <cell r="B427">
            <v>62160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6216076051</v>
          </cell>
          <cell r="B428">
            <v>62160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6216076054</v>
          </cell>
          <cell r="B429">
            <v>62160</v>
          </cell>
          <cell r="C429">
            <v>76054</v>
          </cell>
          <cell r="D429" t="str">
            <v>Bldg Maintenance &amp; Repair</v>
          </cell>
          <cell r="E429">
            <v>300.08</v>
          </cell>
          <cell r="F429">
            <v>0</v>
          </cell>
          <cell r="G429">
            <v>300.08</v>
          </cell>
          <cell r="H429">
            <v>300.08</v>
          </cell>
          <cell r="I429">
            <v>0</v>
          </cell>
          <cell r="J429">
            <v>-300.08</v>
          </cell>
        </row>
        <row r="430">
          <cell r="A430" t="str">
            <v>6216076060</v>
          </cell>
          <cell r="B430">
            <v>62160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6216076071</v>
          </cell>
          <cell r="B431">
            <v>62160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9600</v>
          </cell>
          <cell r="I431">
            <v>0</v>
          </cell>
          <cell r="J431">
            <v>-9600</v>
          </cell>
        </row>
        <row r="432">
          <cell r="A432" t="str">
            <v>6216076090</v>
          </cell>
          <cell r="B432">
            <v>62160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6216077001</v>
          </cell>
          <cell r="B433">
            <v>62160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6216077022</v>
          </cell>
          <cell r="B434">
            <v>62160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6216084200</v>
          </cell>
          <cell r="B435">
            <v>62160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6216084240</v>
          </cell>
          <cell r="B436">
            <v>62160</v>
          </cell>
          <cell r="C436">
            <v>84240</v>
          </cell>
          <cell r="D436" t="str">
            <v>Marketing Leasing</v>
          </cell>
          <cell r="E436">
            <v>283.74</v>
          </cell>
          <cell r="F436">
            <v>0</v>
          </cell>
          <cell r="G436">
            <v>283.74</v>
          </cell>
          <cell r="H436">
            <v>244.68</v>
          </cell>
          <cell r="I436">
            <v>0</v>
          </cell>
          <cell r="J436">
            <v>-244.68</v>
          </cell>
        </row>
        <row r="437">
          <cell r="A437" t="str">
            <v>6216084242</v>
          </cell>
          <cell r="B437">
            <v>62160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6216084243</v>
          </cell>
          <cell r="B438">
            <v>62160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6216084244</v>
          </cell>
          <cell r="B439">
            <v>62160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6216084265</v>
          </cell>
          <cell r="B440">
            <v>62160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6216088037</v>
          </cell>
          <cell r="B441">
            <v>62160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6216085016</v>
          </cell>
          <cell r="B442">
            <v>62160</v>
          </cell>
          <cell r="C442">
            <v>85016</v>
          </cell>
          <cell r="D442" t="str">
            <v>Prof Svc-Attorney Outside</v>
          </cell>
          <cell r="E442">
            <v>1464.45</v>
          </cell>
          <cell r="F442">
            <v>1500</v>
          </cell>
          <cell r="G442">
            <v>-35.549999999999997</v>
          </cell>
          <cell r="H442">
            <v>2382</v>
          </cell>
          <cell r="I442">
            <v>2000</v>
          </cell>
          <cell r="J442">
            <v>-382</v>
          </cell>
        </row>
        <row r="443">
          <cell r="A443" t="str">
            <v>6216085022</v>
          </cell>
          <cell r="B443">
            <v>62160</v>
          </cell>
          <cell r="C443">
            <v>85022</v>
          </cell>
          <cell r="D443" t="str">
            <v>Prof Svc-Audit/Acctng</v>
          </cell>
          <cell r="E443">
            <v>1221.93</v>
          </cell>
          <cell r="F443">
            <v>650</v>
          </cell>
          <cell r="G443">
            <v>571.92999999999995</v>
          </cell>
          <cell r="H443">
            <v>2071.35</v>
          </cell>
          <cell r="I443">
            <v>1872</v>
          </cell>
          <cell r="J443">
            <v>-199.35</v>
          </cell>
        </row>
        <row r="444">
          <cell r="A444" t="str">
            <v>6216085065</v>
          </cell>
          <cell r="B444">
            <v>62160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6216085500</v>
          </cell>
          <cell r="B445">
            <v>62160</v>
          </cell>
          <cell r="C445">
            <v>85500</v>
          </cell>
          <cell r="D445" t="str">
            <v>Consulting Services</v>
          </cell>
          <cell r="E445">
            <v>170.52</v>
          </cell>
          <cell r="F445">
            <v>800</v>
          </cell>
          <cell r="G445">
            <v>-629.48</v>
          </cell>
          <cell r="H445">
            <v>335</v>
          </cell>
          <cell r="I445">
            <v>800</v>
          </cell>
          <cell r="J445">
            <v>465</v>
          </cell>
        </row>
        <row r="446">
          <cell r="A446" t="str">
            <v>6216085566</v>
          </cell>
          <cell r="B446">
            <v>62160</v>
          </cell>
          <cell r="C446">
            <v>85566</v>
          </cell>
          <cell r="D446" t="str">
            <v>Management Fee</v>
          </cell>
          <cell r="E446">
            <v>36929.35</v>
          </cell>
          <cell r="F446">
            <v>36925</v>
          </cell>
          <cell r="G446">
            <v>4.3499999999985404</v>
          </cell>
          <cell r="H446">
            <v>40271.760000000002</v>
          </cell>
          <cell r="I446">
            <v>40272</v>
          </cell>
          <cell r="J446">
            <v>0.23999999999796301</v>
          </cell>
        </row>
        <row r="447">
          <cell r="A447" t="str">
            <v>6216085581</v>
          </cell>
          <cell r="B447">
            <v>62160</v>
          </cell>
          <cell r="C447">
            <v>85581</v>
          </cell>
          <cell r="D447" t="str">
            <v>Bldg Admin- Salaries</v>
          </cell>
          <cell r="E447">
            <v>5315.61</v>
          </cell>
          <cell r="F447">
            <v>5783.7</v>
          </cell>
          <cell r="G447">
            <v>-468.09</v>
          </cell>
          <cell r="H447">
            <v>6562.49</v>
          </cell>
          <cell r="I447">
            <v>6717.7</v>
          </cell>
          <cell r="J447">
            <v>155.21</v>
          </cell>
        </row>
        <row r="448">
          <cell r="A448" t="str">
            <v>6216085583</v>
          </cell>
          <cell r="B448">
            <v>62160</v>
          </cell>
          <cell r="C448">
            <v>85583</v>
          </cell>
          <cell r="D448" t="str">
            <v>Bldg Admin-Office Exp.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6216085530</v>
          </cell>
          <cell r="B449">
            <v>62160</v>
          </cell>
          <cell r="C449">
            <v>85530</v>
          </cell>
          <cell r="D449" t="str">
            <v>Bldg Admin - Office Exp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6216086012</v>
          </cell>
          <cell r="B450">
            <v>62160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6216086037</v>
          </cell>
          <cell r="B451">
            <v>62160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6216083050</v>
          </cell>
          <cell r="B452">
            <v>62160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6216086510</v>
          </cell>
          <cell r="B453">
            <v>62160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6216086537</v>
          </cell>
          <cell r="B454">
            <v>62160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6216086566</v>
          </cell>
          <cell r="B455">
            <v>62160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6216086955</v>
          </cell>
          <cell r="B456">
            <v>62160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6216086985</v>
          </cell>
          <cell r="B457">
            <v>62160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6216086880</v>
          </cell>
          <cell r="B458">
            <v>62160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6216088710</v>
          </cell>
          <cell r="B459">
            <v>62160</v>
          </cell>
          <cell r="C459">
            <v>88710</v>
          </cell>
          <cell r="D459" t="str">
            <v>Losses-Bad Debts</v>
          </cell>
          <cell r="E459">
            <v>-10102.18</v>
          </cell>
          <cell r="F459">
            <v>31773.360000000001</v>
          </cell>
          <cell r="G459">
            <v>-41875.54</v>
          </cell>
          <cell r="H459">
            <v>2927</v>
          </cell>
          <cell r="I459">
            <v>42364.72</v>
          </cell>
          <cell r="J459">
            <v>39437.72</v>
          </cell>
        </row>
        <row r="460">
          <cell r="A460" t="str">
            <v>6216088711</v>
          </cell>
          <cell r="B460">
            <v>62160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6216088785</v>
          </cell>
          <cell r="B461">
            <v>62160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6216088847</v>
          </cell>
          <cell r="B462">
            <v>62160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6216088866</v>
          </cell>
          <cell r="B463">
            <v>62160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6216088870</v>
          </cell>
          <cell r="B464">
            <v>62160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6216088889</v>
          </cell>
          <cell r="B465">
            <v>62160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6216089776</v>
          </cell>
          <cell r="B466">
            <v>62160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6216089787</v>
          </cell>
          <cell r="B467">
            <v>62160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6216089510</v>
          </cell>
          <cell r="B468">
            <v>62160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414892</v>
          </cell>
          <cell r="G468">
            <v>-414892</v>
          </cell>
          <cell r="H468">
            <v>243144</v>
          </cell>
          <cell r="I468">
            <v>433410</v>
          </cell>
          <cell r="J468">
            <v>190266</v>
          </cell>
        </row>
        <row r="469">
          <cell r="A469" t="str">
            <v>6216089511</v>
          </cell>
          <cell r="B469">
            <v>62160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6216089512</v>
          </cell>
          <cell r="B470">
            <v>62160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6216089528</v>
          </cell>
          <cell r="B471">
            <v>62160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6216089529</v>
          </cell>
          <cell r="B472">
            <v>62160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7810</v>
          </cell>
          <cell r="G472">
            <v>-7810</v>
          </cell>
          <cell r="H472">
            <v>5681</v>
          </cell>
          <cell r="I472">
            <v>9231</v>
          </cell>
          <cell r="J472">
            <v>3550</v>
          </cell>
        </row>
        <row r="473">
          <cell r="A473" t="str">
            <v>6216089567</v>
          </cell>
          <cell r="B473">
            <v>62160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6216085058</v>
          </cell>
          <cell r="B474">
            <v>62160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6216086513</v>
          </cell>
          <cell r="B475">
            <v>62160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4506.4799999999996</v>
          </cell>
          <cell r="G475">
            <v>-4506.4799999999996</v>
          </cell>
          <cell r="H475">
            <v>757.14</v>
          </cell>
          <cell r="I475">
            <v>5279.8</v>
          </cell>
          <cell r="J475">
            <v>4522.66</v>
          </cell>
        </row>
        <row r="476">
          <cell r="A476" t="str">
            <v>6216086519</v>
          </cell>
          <cell r="B476">
            <v>62160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6216088770</v>
          </cell>
          <cell r="B477">
            <v>62160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6216088862</v>
          </cell>
          <cell r="B478">
            <v>62160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6216088874</v>
          </cell>
          <cell r="B479">
            <v>62160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6216089910</v>
          </cell>
          <cell r="B480">
            <v>62160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84919.6</v>
          </cell>
          <cell r="G480">
            <v>-84919.6</v>
          </cell>
          <cell r="H480">
            <v>97808.54</v>
          </cell>
          <cell r="I480">
            <v>93431.02</v>
          </cell>
          <cell r="J480">
            <v>-4377.5199999999904</v>
          </cell>
        </row>
        <row r="481">
          <cell r="A481" t="str">
            <v>6216089548</v>
          </cell>
          <cell r="B481">
            <v>62160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6223041010</v>
          </cell>
          <cell r="B482">
            <v>62230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6223041040</v>
          </cell>
          <cell r="B483">
            <v>62230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6223041050</v>
          </cell>
          <cell r="B484">
            <v>62230</v>
          </cell>
          <cell r="C484">
            <v>41050</v>
          </cell>
          <cell r="D484" t="str">
            <v>Rental Income - Fixed</v>
          </cell>
          <cell r="E484">
            <v>-153611.07</v>
          </cell>
          <cell r="F484">
            <v>-153769.07</v>
          </cell>
          <cell r="G484">
            <v>158</v>
          </cell>
          <cell r="H484">
            <v>-1827501.54</v>
          </cell>
          <cell r="I484">
            <v>-1827501.54</v>
          </cell>
          <cell r="J484">
            <v>0</v>
          </cell>
        </row>
        <row r="485">
          <cell r="A485" t="str">
            <v>6223041074</v>
          </cell>
          <cell r="B485">
            <v>62230</v>
          </cell>
          <cell r="C485">
            <v>41074</v>
          </cell>
          <cell r="D485" t="str">
            <v>Rental Income - Percentage</v>
          </cell>
          <cell r="E485">
            <v>0</v>
          </cell>
          <cell r="F485">
            <v>0</v>
          </cell>
          <cell r="G485">
            <v>0</v>
          </cell>
          <cell r="H485">
            <v>-30296</v>
          </cell>
          <cell r="I485">
            <v>-30296</v>
          </cell>
          <cell r="J485">
            <v>0</v>
          </cell>
        </row>
        <row r="486">
          <cell r="A486" t="str">
            <v>6223041082</v>
          </cell>
          <cell r="B486">
            <v>62230</v>
          </cell>
          <cell r="C486">
            <v>41082</v>
          </cell>
          <cell r="D486" t="str">
            <v>Rental Income - Operating Exp</v>
          </cell>
          <cell r="E486">
            <v>-26253.27</v>
          </cell>
          <cell r="F486">
            <v>-36653.410000000003</v>
          </cell>
          <cell r="G486">
            <v>10400.14</v>
          </cell>
          <cell r="H486">
            <v>-439840.92</v>
          </cell>
          <cell r="I486">
            <v>-439840.92</v>
          </cell>
          <cell r="J486">
            <v>0</v>
          </cell>
        </row>
        <row r="487">
          <cell r="A487" t="str">
            <v>6223044610</v>
          </cell>
          <cell r="B487">
            <v>62230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6223045071</v>
          </cell>
          <cell r="B488">
            <v>62230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6223045010</v>
          </cell>
          <cell r="B489">
            <v>62230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6223045046</v>
          </cell>
          <cell r="B490">
            <v>62230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6223045070</v>
          </cell>
          <cell r="B491">
            <v>62230</v>
          </cell>
          <cell r="C491">
            <v>45070</v>
          </cell>
          <cell r="D491" t="str">
            <v>Other Income</v>
          </cell>
          <cell r="E491">
            <v>-25.17</v>
          </cell>
          <cell r="F491">
            <v>-110.24</v>
          </cell>
          <cell r="G491">
            <v>85.07</v>
          </cell>
          <cell r="H491">
            <v>-864.91</v>
          </cell>
          <cell r="I491">
            <v>-864.91</v>
          </cell>
          <cell r="J491">
            <v>0</v>
          </cell>
        </row>
        <row r="492">
          <cell r="A492" t="str">
            <v>6223041060</v>
          </cell>
          <cell r="B492">
            <v>62230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1914.58</v>
          </cell>
          <cell r="G492">
            <v>-1914.58</v>
          </cell>
          <cell r="H492">
            <v>22975</v>
          </cell>
          <cell r="I492">
            <v>22975</v>
          </cell>
          <cell r="J492">
            <v>0</v>
          </cell>
        </row>
        <row r="493">
          <cell r="A493" t="str">
            <v>6223044870</v>
          </cell>
          <cell r="B493">
            <v>62230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6223052542</v>
          </cell>
          <cell r="B494">
            <v>62230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6223072710</v>
          </cell>
          <cell r="B495">
            <v>62230</v>
          </cell>
          <cell r="C495">
            <v>72710</v>
          </cell>
          <cell r="D495" t="str">
            <v>Utilities - Electricity</v>
          </cell>
          <cell r="E495">
            <v>472.08</v>
          </cell>
          <cell r="F495">
            <v>288.24</v>
          </cell>
          <cell r="G495">
            <v>183.84</v>
          </cell>
          <cell r="H495">
            <v>8128.52</v>
          </cell>
          <cell r="I495">
            <v>8128.52</v>
          </cell>
          <cell r="J495">
            <v>0</v>
          </cell>
        </row>
        <row r="496">
          <cell r="A496" t="str">
            <v>6223072740</v>
          </cell>
          <cell r="B496">
            <v>62230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6223072770</v>
          </cell>
          <cell r="B497">
            <v>62230</v>
          </cell>
          <cell r="C497">
            <v>72770</v>
          </cell>
          <cell r="D497" t="str">
            <v>Utilities - Water</v>
          </cell>
          <cell r="E497">
            <v>3212.35</v>
          </cell>
          <cell r="F497">
            <v>1002.58</v>
          </cell>
          <cell r="G497">
            <v>2209.77</v>
          </cell>
          <cell r="H497">
            <v>39877.550000000003</v>
          </cell>
          <cell r="I497">
            <v>39877.550000000003</v>
          </cell>
          <cell r="J497">
            <v>0</v>
          </cell>
        </row>
        <row r="498">
          <cell r="A498" t="str">
            <v>6223076000</v>
          </cell>
          <cell r="B498">
            <v>62230</v>
          </cell>
          <cell r="C498">
            <v>76000</v>
          </cell>
          <cell r="D498" t="str">
            <v>Bldg Maintenance &amp; Repair</v>
          </cell>
          <cell r="E498">
            <v>1335.27</v>
          </cell>
          <cell r="F498">
            <v>3042.96</v>
          </cell>
          <cell r="G498">
            <v>-1707.69</v>
          </cell>
          <cell r="H498">
            <v>54134.04</v>
          </cell>
          <cell r="I498">
            <v>54134.04</v>
          </cell>
          <cell r="J498">
            <v>0</v>
          </cell>
        </row>
        <row r="499">
          <cell r="A499" t="str">
            <v>6223076020</v>
          </cell>
          <cell r="B499">
            <v>62230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6223076034</v>
          </cell>
          <cell r="B500">
            <v>62230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6223076050</v>
          </cell>
          <cell r="B501">
            <v>62230</v>
          </cell>
          <cell r="C501">
            <v>76050</v>
          </cell>
          <cell r="D501" t="str">
            <v>Cleaning Expense</v>
          </cell>
          <cell r="E501">
            <v>1985.76</v>
          </cell>
          <cell r="F501">
            <v>2262.79</v>
          </cell>
          <cell r="G501">
            <v>-277.02999999999997</v>
          </cell>
          <cell r="H501">
            <v>26313.119999999999</v>
          </cell>
          <cell r="I501">
            <v>26313.119999999999</v>
          </cell>
          <cell r="J501">
            <v>0</v>
          </cell>
        </row>
        <row r="502">
          <cell r="A502" t="str">
            <v>6223076056</v>
          </cell>
          <cell r="B502">
            <v>62230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6223076070</v>
          </cell>
          <cell r="B503">
            <v>62230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6223076091</v>
          </cell>
          <cell r="B504">
            <v>62230</v>
          </cell>
          <cell r="C504">
            <v>76091</v>
          </cell>
          <cell r="D504" t="str">
            <v>Parking Maintenance</v>
          </cell>
          <cell r="E504">
            <v>2125</v>
          </cell>
          <cell r="F504">
            <v>2188.75</v>
          </cell>
          <cell r="G504">
            <v>-63.75</v>
          </cell>
          <cell r="H504">
            <v>41314.99</v>
          </cell>
          <cell r="I504">
            <v>41314.99</v>
          </cell>
          <cell r="J504">
            <v>0</v>
          </cell>
        </row>
        <row r="505">
          <cell r="A505" t="str">
            <v>6223077000</v>
          </cell>
          <cell r="B505">
            <v>62230</v>
          </cell>
          <cell r="C505">
            <v>77000</v>
          </cell>
          <cell r="D505" t="str">
            <v>Grounds Maintenance</v>
          </cell>
          <cell r="E505">
            <v>175.76</v>
          </cell>
          <cell r="F505">
            <v>8707.3700000000008</v>
          </cell>
          <cell r="G505">
            <v>-8531.61</v>
          </cell>
          <cell r="H505">
            <v>35406.46</v>
          </cell>
          <cell r="I505">
            <v>35406.46</v>
          </cell>
          <cell r="J505">
            <v>0</v>
          </cell>
        </row>
        <row r="506">
          <cell r="A506" t="str">
            <v>6223077053</v>
          </cell>
          <cell r="B506">
            <v>62230</v>
          </cell>
          <cell r="C506">
            <v>77053</v>
          </cell>
          <cell r="D506" t="str">
            <v>Landscaping</v>
          </cell>
          <cell r="E506">
            <v>1953</v>
          </cell>
          <cell r="F506">
            <v>2424</v>
          </cell>
          <cell r="G506">
            <v>-471</v>
          </cell>
          <cell r="H506">
            <v>40007.22</v>
          </cell>
          <cell r="I506">
            <v>40007.22</v>
          </cell>
          <cell r="J506">
            <v>0</v>
          </cell>
        </row>
        <row r="507">
          <cell r="A507" t="str">
            <v>6223078020</v>
          </cell>
          <cell r="B507">
            <v>62230</v>
          </cell>
          <cell r="C507">
            <v>78020</v>
          </cell>
          <cell r="D507" t="str">
            <v>Amortized CAM Exp</v>
          </cell>
          <cell r="E507">
            <v>2250.66</v>
          </cell>
          <cell r="F507">
            <v>2000</v>
          </cell>
          <cell r="G507">
            <v>250.66</v>
          </cell>
          <cell r="H507">
            <v>24000</v>
          </cell>
          <cell r="I507">
            <v>24000</v>
          </cell>
          <cell r="J507">
            <v>0</v>
          </cell>
        </row>
        <row r="508">
          <cell r="A508" t="str">
            <v>6223084264</v>
          </cell>
          <cell r="B508">
            <v>62230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6223085555</v>
          </cell>
          <cell r="B509">
            <v>62230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6223085584</v>
          </cell>
          <cell r="B510">
            <v>62230</v>
          </cell>
          <cell r="C510">
            <v>85584</v>
          </cell>
          <cell r="D510" t="str">
            <v>Bldg Admin-Office Costs</v>
          </cell>
          <cell r="E510">
            <v>289.86</v>
          </cell>
          <cell r="F510">
            <v>450.67</v>
          </cell>
          <cell r="G510">
            <v>-160.81</v>
          </cell>
          <cell r="H510">
            <v>5408</v>
          </cell>
          <cell r="I510">
            <v>5408</v>
          </cell>
          <cell r="J510">
            <v>0</v>
          </cell>
        </row>
        <row r="511">
          <cell r="A511" t="str">
            <v>6223085582</v>
          </cell>
          <cell r="B511">
            <v>62230</v>
          </cell>
          <cell r="C511">
            <v>85582</v>
          </cell>
          <cell r="D511" t="str">
            <v>Bldg Admin-Salaries</v>
          </cell>
          <cell r="E511">
            <v>2543.56</v>
          </cell>
          <cell r="F511">
            <v>2536.83</v>
          </cell>
          <cell r="G511">
            <v>6.73000000000002</v>
          </cell>
          <cell r="H511">
            <v>32449.3</v>
          </cell>
          <cell r="I511">
            <v>32449.3</v>
          </cell>
          <cell r="J511">
            <v>0</v>
          </cell>
        </row>
        <row r="512">
          <cell r="A512" t="str">
            <v>6223086564</v>
          </cell>
          <cell r="B512">
            <v>62230</v>
          </cell>
          <cell r="C512">
            <v>86564</v>
          </cell>
          <cell r="D512" t="str">
            <v>Insurance</v>
          </cell>
          <cell r="E512">
            <v>1639</v>
          </cell>
          <cell r="F512">
            <v>1638.17</v>
          </cell>
          <cell r="G512">
            <v>0.82999999999992702</v>
          </cell>
          <cell r="H512">
            <v>19658</v>
          </cell>
          <cell r="I512">
            <v>19658</v>
          </cell>
          <cell r="J512">
            <v>0</v>
          </cell>
        </row>
        <row r="513">
          <cell r="A513" t="str">
            <v>6223088846</v>
          </cell>
          <cell r="B513">
            <v>62230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6223088890</v>
          </cell>
          <cell r="B514">
            <v>62230</v>
          </cell>
          <cell r="C514">
            <v>88890</v>
          </cell>
          <cell r="D514" t="str">
            <v>Security/Safety</v>
          </cell>
          <cell r="E514">
            <v>447.55</v>
          </cell>
          <cell r="F514">
            <v>532.83000000000004</v>
          </cell>
          <cell r="G514">
            <v>-85.28</v>
          </cell>
          <cell r="H514">
            <v>6394</v>
          </cell>
          <cell r="I514">
            <v>6394</v>
          </cell>
          <cell r="J514">
            <v>0</v>
          </cell>
        </row>
        <row r="515">
          <cell r="A515" t="str">
            <v>6223089775</v>
          </cell>
          <cell r="B515">
            <v>62230</v>
          </cell>
          <cell r="C515">
            <v>89775</v>
          </cell>
          <cell r="D515" t="str">
            <v>Assmt Dist Taxes- Reimb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6223089729</v>
          </cell>
          <cell r="B516">
            <v>62230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6223089786</v>
          </cell>
          <cell r="B517">
            <v>62230</v>
          </cell>
          <cell r="C517">
            <v>89786</v>
          </cell>
          <cell r="D517" t="str">
            <v>Property Tax Exp</v>
          </cell>
          <cell r="E517">
            <v>5115.42</v>
          </cell>
          <cell r="F517">
            <v>5115.42</v>
          </cell>
          <cell r="G517">
            <v>0</v>
          </cell>
          <cell r="H517">
            <v>61385</v>
          </cell>
          <cell r="I517">
            <v>61385</v>
          </cell>
          <cell r="J517">
            <v>0</v>
          </cell>
        </row>
        <row r="518">
          <cell r="A518" t="str">
            <v>6223071040</v>
          </cell>
          <cell r="B518">
            <v>62230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6223072701</v>
          </cell>
          <cell r="B519">
            <v>62230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51.5</v>
          </cell>
          <cell r="I519">
            <v>51.5</v>
          </cell>
          <cell r="J519">
            <v>0</v>
          </cell>
        </row>
        <row r="520">
          <cell r="A520" t="str">
            <v>6223072855</v>
          </cell>
          <cell r="B520">
            <v>62230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6223072870</v>
          </cell>
          <cell r="B521">
            <v>62230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6223076010</v>
          </cell>
          <cell r="B522">
            <v>62230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6223076040</v>
          </cell>
          <cell r="B523">
            <v>62230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6223076051</v>
          </cell>
          <cell r="B524">
            <v>62230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6223076054</v>
          </cell>
          <cell r="B525">
            <v>62230</v>
          </cell>
          <cell r="C525">
            <v>76054</v>
          </cell>
          <cell r="D525" t="str">
            <v>Bldg Maintenance &amp; Repair</v>
          </cell>
          <cell r="E525">
            <v>0</v>
          </cell>
          <cell r="F525">
            <v>0</v>
          </cell>
          <cell r="G525">
            <v>0</v>
          </cell>
          <cell r="H525">
            <v>1376.05</v>
          </cell>
          <cell r="I525">
            <v>1376.05</v>
          </cell>
          <cell r="J525">
            <v>0</v>
          </cell>
        </row>
        <row r="526">
          <cell r="A526" t="str">
            <v>6223076060</v>
          </cell>
          <cell r="B526">
            <v>62230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6223076071</v>
          </cell>
          <cell r="B527">
            <v>62230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136216</v>
          </cell>
          <cell r="I527">
            <v>136216</v>
          </cell>
          <cell r="J527">
            <v>0</v>
          </cell>
        </row>
        <row r="528">
          <cell r="A528" t="str">
            <v>6223076090</v>
          </cell>
          <cell r="B528">
            <v>62230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6223077001</v>
          </cell>
          <cell r="B529">
            <v>62230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6223077022</v>
          </cell>
          <cell r="B530">
            <v>62230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6223084200</v>
          </cell>
          <cell r="B531">
            <v>62230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6223084240</v>
          </cell>
          <cell r="B532">
            <v>62230</v>
          </cell>
          <cell r="C532">
            <v>84240</v>
          </cell>
          <cell r="D532" t="str">
            <v>Marketing Leasing</v>
          </cell>
          <cell r="E532">
            <v>8.74</v>
          </cell>
          <cell r="F532">
            <v>107.5</v>
          </cell>
          <cell r="G532">
            <v>-98.76</v>
          </cell>
          <cell r="H532">
            <v>1290</v>
          </cell>
          <cell r="I532">
            <v>1290</v>
          </cell>
          <cell r="J532">
            <v>0</v>
          </cell>
        </row>
        <row r="533">
          <cell r="A533" t="str">
            <v>6223084242</v>
          </cell>
          <cell r="B533">
            <v>62230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6223084243</v>
          </cell>
          <cell r="B534">
            <v>62230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6223084244</v>
          </cell>
          <cell r="B535">
            <v>62230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6223084265</v>
          </cell>
          <cell r="B536">
            <v>62230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6223088037</v>
          </cell>
          <cell r="B537">
            <v>62230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6223085016</v>
          </cell>
          <cell r="B538">
            <v>62230</v>
          </cell>
          <cell r="C538">
            <v>85016</v>
          </cell>
          <cell r="D538" t="str">
            <v>Prof Svc-Attorney Outside</v>
          </cell>
          <cell r="E538">
            <v>50</v>
          </cell>
          <cell r="F538">
            <v>0</v>
          </cell>
          <cell r="G538">
            <v>50</v>
          </cell>
          <cell r="H538">
            <v>566.5</v>
          </cell>
          <cell r="I538">
            <v>566.5</v>
          </cell>
          <cell r="J538">
            <v>0</v>
          </cell>
        </row>
        <row r="539">
          <cell r="A539" t="str">
            <v>6223085022</v>
          </cell>
          <cell r="B539">
            <v>62230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1930.58</v>
          </cell>
          <cell r="I539">
            <v>1930.58</v>
          </cell>
          <cell r="J539">
            <v>0</v>
          </cell>
        </row>
        <row r="540">
          <cell r="A540" t="str">
            <v>6223085065</v>
          </cell>
          <cell r="B540">
            <v>62230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6223085500</v>
          </cell>
          <cell r="B541">
            <v>62230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139.05000000000001</v>
          </cell>
          <cell r="I541">
            <v>139.05000000000001</v>
          </cell>
          <cell r="J541">
            <v>0</v>
          </cell>
        </row>
        <row r="542">
          <cell r="A542" t="str">
            <v>6223085566</v>
          </cell>
          <cell r="B542">
            <v>62230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6223085581</v>
          </cell>
          <cell r="B543">
            <v>62230</v>
          </cell>
          <cell r="C543">
            <v>85581</v>
          </cell>
          <cell r="D543" t="str">
            <v>Bldg Admin- Salaries</v>
          </cell>
          <cell r="E543">
            <v>2778.65</v>
          </cell>
          <cell r="F543">
            <v>2776.75</v>
          </cell>
          <cell r="G543">
            <v>1.9000000000000901</v>
          </cell>
          <cell r="H543">
            <v>34478.5</v>
          </cell>
          <cell r="I543">
            <v>34478.5</v>
          </cell>
          <cell r="J543">
            <v>0</v>
          </cell>
        </row>
        <row r="544">
          <cell r="A544" t="str">
            <v>6223085583</v>
          </cell>
          <cell r="B544">
            <v>62230</v>
          </cell>
          <cell r="C544">
            <v>85583</v>
          </cell>
          <cell r="D544" t="str">
            <v>Bldg Admin-Office Exp.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6223085530</v>
          </cell>
          <cell r="B545">
            <v>62230</v>
          </cell>
          <cell r="C545">
            <v>85530</v>
          </cell>
          <cell r="D545" t="str">
            <v>Bldg Admin - Office Exp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6223086012</v>
          </cell>
          <cell r="B546">
            <v>62230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6223086037</v>
          </cell>
          <cell r="B547">
            <v>62230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6223083050</v>
          </cell>
          <cell r="B548">
            <v>62230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6223086510</v>
          </cell>
          <cell r="B549">
            <v>62230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6223086537</v>
          </cell>
          <cell r="B550">
            <v>62230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6223086566</v>
          </cell>
          <cell r="B551">
            <v>62230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6223086955</v>
          </cell>
          <cell r="B552">
            <v>62230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6223086985</v>
          </cell>
          <cell r="B553">
            <v>62230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6223086880</v>
          </cell>
          <cell r="B554">
            <v>62230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6223088710</v>
          </cell>
          <cell r="B555">
            <v>62230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0.08</v>
          </cell>
          <cell r="G555">
            <v>-0.08</v>
          </cell>
          <cell r="H555">
            <v>22984.639999999999</v>
          </cell>
          <cell r="I555">
            <v>22984.639999999999</v>
          </cell>
          <cell r="J555">
            <v>0</v>
          </cell>
        </row>
        <row r="556">
          <cell r="A556" t="str">
            <v>6223088711</v>
          </cell>
          <cell r="B556">
            <v>62230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6223088785</v>
          </cell>
          <cell r="B557">
            <v>62230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6223088847</v>
          </cell>
          <cell r="B558">
            <v>62230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6223088866</v>
          </cell>
          <cell r="B559">
            <v>62230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6223088870</v>
          </cell>
          <cell r="B560">
            <v>62230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6223088889</v>
          </cell>
          <cell r="B561">
            <v>62230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6223089776</v>
          </cell>
          <cell r="B562">
            <v>62230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6223089787</v>
          </cell>
          <cell r="B563">
            <v>62230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6223089510</v>
          </cell>
          <cell r="B564">
            <v>62230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6223089511</v>
          </cell>
          <cell r="B565">
            <v>62230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6223089512</v>
          </cell>
          <cell r="B566">
            <v>62230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6223089528</v>
          </cell>
          <cell r="B567">
            <v>62230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6223089529</v>
          </cell>
          <cell r="B568">
            <v>62230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6223089567</v>
          </cell>
          <cell r="B569">
            <v>62230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6223085058</v>
          </cell>
          <cell r="B570">
            <v>62230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6223086513</v>
          </cell>
          <cell r="B571">
            <v>62230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176.35</v>
          </cell>
          <cell r="I571">
            <v>176.35</v>
          </cell>
          <cell r="J571">
            <v>0</v>
          </cell>
        </row>
        <row r="572">
          <cell r="A572" t="str">
            <v>6223086519</v>
          </cell>
          <cell r="B572">
            <v>62230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6223088770</v>
          </cell>
          <cell r="B573">
            <v>62230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6223088862</v>
          </cell>
          <cell r="B574">
            <v>62230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6223088874</v>
          </cell>
          <cell r="B575">
            <v>62230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6223089910</v>
          </cell>
          <cell r="B576">
            <v>62230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11117.92</v>
          </cell>
          <cell r="G576">
            <v>-11117.92</v>
          </cell>
          <cell r="H576">
            <v>133414.78</v>
          </cell>
          <cell r="I576">
            <v>133414.78</v>
          </cell>
          <cell r="J576">
            <v>0</v>
          </cell>
        </row>
        <row r="577">
          <cell r="A577" t="str">
            <v>6223089548</v>
          </cell>
          <cell r="B577">
            <v>62230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6225541010</v>
          </cell>
          <cell r="B578">
            <v>62255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6225541040</v>
          </cell>
          <cell r="B579">
            <v>62255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6225541050</v>
          </cell>
          <cell r="B580">
            <v>62255</v>
          </cell>
          <cell r="C580">
            <v>41050</v>
          </cell>
          <cell r="D580" t="str">
            <v>Rental Income - Fixed</v>
          </cell>
          <cell r="E580">
            <v>-587336.49</v>
          </cell>
          <cell r="F580">
            <v>-583671.22</v>
          </cell>
          <cell r="G580">
            <v>-3665.27000000002</v>
          </cell>
          <cell r="H580">
            <v>-3599476.8</v>
          </cell>
          <cell r="I580">
            <v>-3599476.8</v>
          </cell>
          <cell r="J580">
            <v>0</v>
          </cell>
        </row>
        <row r="581">
          <cell r="A581" t="str">
            <v>6225541074</v>
          </cell>
          <cell r="B581">
            <v>62255</v>
          </cell>
          <cell r="C581">
            <v>41074</v>
          </cell>
          <cell r="D581" t="str">
            <v>Rental Income - Percentage</v>
          </cell>
          <cell r="E581">
            <v>-60059.39</v>
          </cell>
          <cell r="F581">
            <v>-114844</v>
          </cell>
          <cell r="G581">
            <v>54784.61</v>
          </cell>
          <cell r="H581">
            <v>-744677</v>
          </cell>
          <cell r="I581">
            <v>-744677</v>
          </cell>
          <cell r="J581">
            <v>0</v>
          </cell>
        </row>
        <row r="582">
          <cell r="A582" t="str">
            <v>6225541082</v>
          </cell>
          <cell r="B582">
            <v>62255</v>
          </cell>
          <cell r="C582">
            <v>41082</v>
          </cell>
          <cell r="D582" t="str">
            <v>Rental Income - Operating Exp</v>
          </cell>
          <cell r="E582">
            <v>-172044.9</v>
          </cell>
          <cell r="F582">
            <v>-190625</v>
          </cell>
          <cell r="G582">
            <v>18580.099999999999</v>
          </cell>
          <cell r="H582">
            <v>-1143750</v>
          </cell>
          <cell r="I582">
            <v>-1143750</v>
          </cell>
          <cell r="J582">
            <v>0</v>
          </cell>
        </row>
        <row r="583">
          <cell r="A583" t="str">
            <v>6225544610</v>
          </cell>
          <cell r="B583">
            <v>62255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6225545071</v>
          </cell>
          <cell r="B584">
            <v>62255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6225545010</v>
          </cell>
          <cell r="B585">
            <v>62255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6225545046</v>
          </cell>
          <cell r="B586">
            <v>62255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6225545070</v>
          </cell>
          <cell r="B587">
            <v>62255</v>
          </cell>
          <cell r="C587">
            <v>45070</v>
          </cell>
          <cell r="D587" t="str">
            <v>Other Income</v>
          </cell>
          <cell r="E587">
            <v>-390.02</v>
          </cell>
          <cell r="F587">
            <v>-9.86</v>
          </cell>
          <cell r="G587">
            <v>-380.16</v>
          </cell>
          <cell r="H587">
            <v>-454.41</v>
          </cell>
          <cell r="I587">
            <v>-454.41</v>
          </cell>
          <cell r="J587">
            <v>0</v>
          </cell>
        </row>
        <row r="588">
          <cell r="A588" t="str">
            <v>6225541060</v>
          </cell>
          <cell r="B588">
            <v>62255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9146.5</v>
          </cell>
          <cell r="G588">
            <v>-9146.5</v>
          </cell>
          <cell r="H588">
            <v>54879</v>
          </cell>
          <cell r="I588">
            <v>54879</v>
          </cell>
          <cell r="J588">
            <v>0</v>
          </cell>
        </row>
        <row r="589">
          <cell r="A589" t="str">
            <v>6225544870</v>
          </cell>
          <cell r="B589">
            <v>62255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</row>
        <row r="590">
          <cell r="A590" t="str">
            <v>6225552542</v>
          </cell>
          <cell r="B590">
            <v>62255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6225572710</v>
          </cell>
          <cell r="B591">
            <v>62255</v>
          </cell>
          <cell r="C591">
            <v>72710</v>
          </cell>
          <cell r="D591" t="str">
            <v>Utilities - Electricity</v>
          </cell>
          <cell r="E591">
            <v>4162.43</v>
          </cell>
          <cell r="F591">
            <v>4452.2</v>
          </cell>
          <cell r="G591">
            <v>-289.77</v>
          </cell>
          <cell r="H591">
            <v>28424.9</v>
          </cell>
          <cell r="I591">
            <v>28424.9</v>
          </cell>
          <cell r="J591">
            <v>0</v>
          </cell>
        </row>
        <row r="592">
          <cell r="A592" t="str">
            <v>6225572740</v>
          </cell>
          <cell r="B592">
            <v>62255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6225572770</v>
          </cell>
          <cell r="B593">
            <v>62255</v>
          </cell>
          <cell r="C593">
            <v>72770</v>
          </cell>
          <cell r="D593" t="str">
            <v>Utilities - Water</v>
          </cell>
          <cell r="E593">
            <v>9240.26</v>
          </cell>
          <cell r="F593">
            <v>8068.66</v>
          </cell>
          <cell r="G593">
            <v>1171.5999999999999</v>
          </cell>
          <cell r="H593">
            <v>37959.879999999997</v>
          </cell>
          <cell r="I593">
            <v>37959.879999999997</v>
          </cell>
          <cell r="J593">
            <v>0</v>
          </cell>
        </row>
        <row r="594">
          <cell r="A594" t="str">
            <v>6225576000</v>
          </cell>
          <cell r="B594">
            <v>62255</v>
          </cell>
          <cell r="C594">
            <v>76000</v>
          </cell>
          <cell r="D594" t="str">
            <v>Bldg Maintenance &amp; Repair</v>
          </cell>
          <cell r="E594">
            <v>6414.5</v>
          </cell>
          <cell r="F594">
            <v>6810.23</v>
          </cell>
          <cell r="G594">
            <v>-395.73</v>
          </cell>
          <cell r="H594">
            <v>43624.87</v>
          </cell>
          <cell r="I594">
            <v>43624.87</v>
          </cell>
          <cell r="J594">
            <v>0</v>
          </cell>
        </row>
        <row r="595">
          <cell r="A595" t="str">
            <v>6225576020</v>
          </cell>
          <cell r="B595">
            <v>62255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6225576034</v>
          </cell>
          <cell r="B596">
            <v>62255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6225576050</v>
          </cell>
          <cell r="B597">
            <v>62255</v>
          </cell>
          <cell r="C597">
            <v>76050</v>
          </cell>
          <cell r="D597" t="str">
            <v>Cleaning Expense</v>
          </cell>
          <cell r="E597">
            <v>11055.74</v>
          </cell>
          <cell r="F597">
            <v>11123.56</v>
          </cell>
          <cell r="G597">
            <v>-67.819999999999695</v>
          </cell>
          <cell r="H597">
            <v>68062.720000000001</v>
          </cell>
          <cell r="I597">
            <v>68062.720000000001</v>
          </cell>
          <cell r="J597">
            <v>0</v>
          </cell>
        </row>
        <row r="598">
          <cell r="A598" t="str">
            <v>6225576056</v>
          </cell>
          <cell r="B598">
            <v>62255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6225576070</v>
          </cell>
          <cell r="B599">
            <v>62255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6225576091</v>
          </cell>
          <cell r="B600">
            <v>62255</v>
          </cell>
          <cell r="C600">
            <v>76091</v>
          </cell>
          <cell r="D600" t="str">
            <v>Parking Maintenance</v>
          </cell>
          <cell r="E600">
            <v>7120</v>
          </cell>
          <cell r="F600">
            <v>7276.95</v>
          </cell>
          <cell r="G600">
            <v>-156.94999999999999</v>
          </cell>
          <cell r="H600">
            <v>52388.73</v>
          </cell>
          <cell r="I600">
            <v>52388.73</v>
          </cell>
          <cell r="J600">
            <v>0</v>
          </cell>
        </row>
        <row r="601">
          <cell r="A601" t="str">
            <v>6225577000</v>
          </cell>
          <cell r="B601">
            <v>62255</v>
          </cell>
          <cell r="C601">
            <v>77000</v>
          </cell>
          <cell r="D601" t="str">
            <v>Grounds Maintenance</v>
          </cell>
          <cell r="E601">
            <v>5510.13</v>
          </cell>
          <cell r="F601">
            <v>19842.73</v>
          </cell>
          <cell r="G601">
            <v>-14332.6</v>
          </cell>
          <cell r="H601">
            <v>65694.600000000006</v>
          </cell>
          <cell r="I601">
            <v>65694.600000000006</v>
          </cell>
          <cell r="J601">
            <v>0</v>
          </cell>
        </row>
        <row r="602">
          <cell r="A602" t="str">
            <v>6225577053</v>
          </cell>
          <cell r="B602">
            <v>62255</v>
          </cell>
          <cell r="C602">
            <v>77053</v>
          </cell>
          <cell r="D602" t="str">
            <v>Landscaping</v>
          </cell>
          <cell r="E602">
            <v>8646</v>
          </cell>
          <cell r="F602">
            <v>7104.22</v>
          </cell>
          <cell r="G602">
            <v>1541.78</v>
          </cell>
          <cell r="H602">
            <v>74286.95</v>
          </cell>
          <cell r="I602">
            <v>74286.95</v>
          </cell>
          <cell r="J602">
            <v>0</v>
          </cell>
        </row>
        <row r="603">
          <cell r="A603" t="str">
            <v>6225578020</v>
          </cell>
          <cell r="B603">
            <v>62255</v>
          </cell>
          <cell r="C603">
            <v>78020</v>
          </cell>
          <cell r="D603" t="str">
            <v>Amortized CAM Exp</v>
          </cell>
          <cell r="E603">
            <v>7277.34</v>
          </cell>
          <cell r="F603">
            <v>7361.16</v>
          </cell>
          <cell r="G603">
            <v>-83.819999999999695</v>
          </cell>
          <cell r="H603">
            <v>44167</v>
          </cell>
          <cell r="I603">
            <v>44167</v>
          </cell>
          <cell r="J603">
            <v>0</v>
          </cell>
        </row>
        <row r="604">
          <cell r="A604" t="str">
            <v>6225584264</v>
          </cell>
          <cell r="B604">
            <v>62255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6225585555</v>
          </cell>
          <cell r="B605">
            <v>62255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6225585584</v>
          </cell>
          <cell r="B606">
            <v>62255</v>
          </cell>
          <cell r="C606">
            <v>85584</v>
          </cell>
          <cell r="D606" t="str">
            <v>Bldg Admin-Office Costs</v>
          </cell>
          <cell r="E606">
            <v>2022.92</v>
          </cell>
          <cell r="F606">
            <v>2022.66</v>
          </cell>
          <cell r="G606">
            <v>0.25999999999999102</v>
          </cell>
          <cell r="H606">
            <v>12136</v>
          </cell>
          <cell r="I606">
            <v>12136</v>
          </cell>
          <cell r="J606">
            <v>0</v>
          </cell>
        </row>
        <row r="607">
          <cell r="A607" t="str">
            <v>6225585582</v>
          </cell>
          <cell r="B607">
            <v>62255</v>
          </cell>
          <cell r="C607">
            <v>85582</v>
          </cell>
          <cell r="D607" t="str">
            <v>Bldg Admin-Salaries</v>
          </cell>
          <cell r="E607">
            <v>11707.52</v>
          </cell>
          <cell r="F607">
            <v>11707.16</v>
          </cell>
          <cell r="G607">
            <v>0.36000000000058202</v>
          </cell>
          <cell r="H607">
            <v>74913.8</v>
          </cell>
          <cell r="I607">
            <v>74913.8</v>
          </cell>
          <cell r="J607">
            <v>0</v>
          </cell>
        </row>
        <row r="608">
          <cell r="A608" t="str">
            <v>6225586564</v>
          </cell>
          <cell r="B608">
            <v>62255</v>
          </cell>
          <cell r="C608">
            <v>86564</v>
          </cell>
          <cell r="D608" t="str">
            <v>Insurance</v>
          </cell>
          <cell r="E608">
            <v>8057</v>
          </cell>
          <cell r="F608">
            <v>8057.34</v>
          </cell>
          <cell r="G608">
            <v>-0.34000000000014602</v>
          </cell>
          <cell r="H608">
            <v>48344</v>
          </cell>
          <cell r="I608">
            <v>48344</v>
          </cell>
          <cell r="J608">
            <v>0</v>
          </cell>
        </row>
        <row r="609">
          <cell r="A609" t="str">
            <v>6225588846</v>
          </cell>
          <cell r="B609">
            <v>62255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6225588890</v>
          </cell>
          <cell r="B610">
            <v>62255</v>
          </cell>
          <cell r="C610">
            <v>88890</v>
          </cell>
          <cell r="D610" t="str">
            <v>Security/Safety</v>
          </cell>
          <cell r="E610">
            <v>3632</v>
          </cell>
          <cell r="F610">
            <v>3333.34</v>
          </cell>
          <cell r="G610">
            <v>298.66000000000003</v>
          </cell>
          <cell r="H610">
            <v>63000.33</v>
          </cell>
          <cell r="I610">
            <v>63000.33</v>
          </cell>
          <cell r="J610">
            <v>0</v>
          </cell>
        </row>
        <row r="611">
          <cell r="A611" t="str">
            <v>6225589775</v>
          </cell>
          <cell r="B611">
            <v>62255</v>
          </cell>
          <cell r="C611">
            <v>89775</v>
          </cell>
          <cell r="D611" t="str">
            <v>Assmt Dist Taxes- Reimb</v>
          </cell>
          <cell r="E611">
            <v>27781.16</v>
          </cell>
          <cell r="F611">
            <v>27781.16</v>
          </cell>
          <cell r="G611">
            <v>0</v>
          </cell>
          <cell r="H611">
            <v>166687</v>
          </cell>
          <cell r="I611">
            <v>166687</v>
          </cell>
          <cell r="J611">
            <v>0</v>
          </cell>
        </row>
        <row r="612">
          <cell r="A612" t="str">
            <v>6225589729</v>
          </cell>
          <cell r="B612">
            <v>62255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6225589786</v>
          </cell>
          <cell r="B613">
            <v>62255</v>
          </cell>
          <cell r="C613">
            <v>89786</v>
          </cell>
          <cell r="D613" t="str">
            <v>Property Tax Exp</v>
          </cell>
          <cell r="E613">
            <v>47757.32</v>
          </cell>
          <cell r="F613">
            <v>47757.32</v>
          </cell>
          <cell r="G613">
            <v>0</v>
          </cell>
          <cell r="H613">
            <v>286544</v>
          </cell>
          <cell r="I613">
            <v>286544</v>
          </cell>
          <cell r="J613">
            <v>0</v>
          </cell>
        </row>
        <row r="614">
          <cell r="A614" t="str">
            <v>6225571040</v>
          </cell>
          <cell r="B614">
            <v>62255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6225572701</v>
          </cell>
          <cell r="B615">
            <v>62255</v>
          </cell>
          <cell r="C615">
            <v>72701</v>
          </cell>
          <cell r="D615" t="str">
            <v>Utilities</v>
          </cell>
          <cell r="E615">
            <v>31.7</v>
          </cell>
          <cell r="F615">
            <v>0</v>
          </cell>
          <cell r="G615">
            <v>31.7</v>
          </cell>
          <cell r="H615">
            <v>59.73</v>
          </cell>
          <cell r="I615">
            <v>59.73</v>
          </cell>
          <cell r="J615">
            <v>0</v>
          </cell>
        </row>
        <row r="616">
          <cell r="A616" t="str">
            <v>6225572855</v>
          </cell>
          <cell r="B616">
            <v>62255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6225572870</v>
          </cell>
          <cell r="B617">
            <v>62255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6225576010</v>
          </cell>
          <cell r="B618">
            <v>62255</v>
          </cell>
          <cell r="C618">
            <v>76010</v>
          </cell>
          <cell r="D618" t="str">
            <v>Tenant Alterations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</row>
        <row r="619">
          <cell r="A619" t="str">
            <v>6225576040</v>
          </cell>
          <cell r="B619">
            <v>62255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6225576051</v>
          </cell>
          <cell r="B620">
            <v>62255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6225576054</v>
          </cell>
          <cell r="B621">
            <v>62255</v>
          </cell>
          <cell r="C621">
            <v>76054</v>
          </cell>
          <cell r="D621" t="str">
            <v>Bldg Maintenance &amp; Repair</v>
          </cell>
          <cell r="E621">
            <v>188</v>
          </cell>
          <cell r="F621">
            <v>3333.34</v>
          </cell>
          <cell r="G621">
            <v>-3145.34</v>
          </cell>
          <cell r="H621">
            <v>20930.95</v>
          </cell>
          <cell r="I621">
            <v>20930.95</v>
          </cell>
          <cell r="J621">
            <v>0</v>
          </cell>
        </row>
        <row r="622">
          <cell r="A622" t="str">
            <v>6225576060</v>
          </cell>
          <cell r="B622">
            <v>62255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6225576071</v>
          </cell>
          <cell r="B623">
            <v>62255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6225576090</v>
          </cell>
          <cell r="B624">
            <v>62255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6225577001</v>
          </cell>
          <cell r="B625">
            <v>62255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6225577022</v>
          </cell>
          <cell r="B626">
            <v>62255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6225584200</v>
          </cell>
          <cell r="B627">
            <v>62255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6225584240</v>
          </cell>
          <cell r="B628">
            <v>62255</v>
          </cell>
          <cell r="C628">
            <v>84240</v>
          </cell>
          <cell r="D628" t="str">
            <v>Marketing Leasing</v>
          </cell>
          <cell r="E628">
            <v>5501.24</v>
          </cell>
          <cell r="F628">
            <v>5965</v>
          </cell>
          <cell r="G628">
            <v>-463.76</v>
          </cell>
          <cell r="H628">
            <v>37763.5</v>
          </cell>
          <cell r="I628">
            <v>37763.5</v>
          </cell>
          <cell r="J628">
            <v>0</v>
          </cell>
        </row>
        <row r="629">
          <cell r="A629" t="str">
            <v>6225584242</v>
          </cell>
          <cell r="B629">
            <v>62255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6225584243</v>
          </cell>
          <cell r="B630">
            <v>62255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-33946</v>
          </cell>
          <cell r="I630">
            <v>-33946</v>
          </cell>
          <cell r="J630">
            <v>0</v>
          </cell>
        </row>
        <row r="631">
          <cell r="A631" t="str">
            <v>6225584244</v>
          </cell>
          <cell r="B631">
            <v>62255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6225584265</v>
          </cell>
          <cell r="B632">
            <v>62255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6225588037</v>
          </cell>
          <cell r="B633">
            <v>62255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6225585016</v>
          </cell>
          <cell r="B634">
            <v>62255</v>
          </cell>
          <cell r="C634">
            <v>85016</v>
          </cell>
          <cell r="D634" t="str">
            <v>Prof Svc-Attorney Outside</v>
          </cell>
          <cell r="E634">
            <v>12820.64</v>
          </cell>
          <cell r="F634">
            <v>0</v>
          </cell>
          <cell r="G634">
            <v>12820.64</v>
          </cell>
          <cell r="H634">
            <v>1028.28</v>
          </cell>
          <cell r="I634">
            <v>1028.28</v>
          </cell>
          <cell r="J634">
            <v>0</v>
          </cell>
        </row>
        <row r="635">
          <cell r="A635" t="str">
            <v>6225585022</v>
          </cell>
          <cell r="B635">
            <v>62255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0</v>
          </cell>
          <cell r="G635">
            <v>0</v>
          </cell>
          <cell r="H635">
            <v>5089.59</v>
          </cell>
          <cell r="I635">
            <v>5089.59</v>
          </cell>
          <cell r="J635">
            <v>0</v>
          </cell>
        </row>
        <row r="636">
          <cell r="A636" t="str">
            <v>6225585065</v>
          </cell>
          <cell r="B636">
            <v>62255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6225585500</v>
          </cell>
          <cell r="B637">
            <v>62255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206</v>
          </cell>
          <cell r="I637">
            <v>206</v>
          </cell>
          <cell r="J637">
            <v>0</v>
          </cell>
        </row>
        <row r="638">
          <cell r="A638" t="str">
            <v>6225585566</v>
          </cell>
          <cell r="B638">
            <v>62255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6225585581</v>
          </cell>
          <cell r="B639">
            <v>62255</v>
          </cell>
          <cell r="C639">
            <v>85581</v>
          </cell>
          <cell r="D639" t="str">
            <v>Bldg Admin- Salaries</v>
          </cell>
          <cell r="E639">
            <v>11580.61</v>
          </cell>
          <cell r="F639">
            <v>11580.66</v>
          </cell>
          <cell r="G639">
            <v>-4.9999999999272397E-2</v>
          </cell>
          <cell r="H639">
            <v>72269.3</v>
          </cell>
          <cell r="I639">
            <v>72269.3</v>
          </cell>
          <cell r="J639">
            <v>0</v>
          </cell>
        </row>
        <row r="640">
          <cell r="A640" t="str">
            <v>6225585583</v>
          </cell>
          <cell r="B640">
            <v>62255</v>
          </cell>
          <cell r="C640">
            <v>85583</v>
          </cell>
          <cell r="D640" t="str">
            <v>Bldg Admin-Office Exp.</v>
          </cell>
          <cell r="E640">
            <v>129.30000000000001</v>
          </cell>
          <cell r="F640">
            <v>0</v>
          </cell>
          <cell r="G640">
            <v>129.30000000000001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6225585530</v>
          </cell>
          <cell r="B641">
            <v>62255</v>
          </cell>
          <cell r="C641">
            <v>85530</v>
          </cell>
          <cell r="D641" t="str">
            <v>Bldg Admin - Office Exp</v>
          </cell>
          <cell r="E641">
            <v>129.30000000000001</v>
          </cell>
          <cell r="F641">
            <v>0</v>
          </cell>
          <cell r="G641">
            <v>129.30000000000001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6225586012</v>
          </cell>
          <cell r="B642">
            <v>62255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6225586037</v>
          </cell>
          <cell r="B643">
            <v>62255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6225583050</v>
          </cell>
          <cell r="B644">
            <v>62255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6225586510</v>
          </cell>
          <cell r="B645">
            <v>62255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6225586537</v>
          </cell>
          <cell r="B646">
            <v>62255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6225586566</v>
          </cell>
          <cell r="B647">
            <v>62255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6225586955</v>
          </cell>
          <cell r="B648">
            <v>62255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6225586985</v>
          </cell>
          <cell r="B649">
            <v>62255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6225586880</v>
          </cell>
          <cell r="B650">
            <v>62255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6225588710</v>
          </cell>
          <cell r="B651">
            <v>62255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</v>
          </cell>
          <cell r="G651">
            <v>0</v>
          </cell>
          <cell r="H651">
            <v>54884</v>
          </cell>
          <cell r="I651">
            <v>54884</v>
          </cell>
          <cell r="J651">
            <v>0</v>
          </cell>
        </row>
        <row r="652">
          <cell r="A652" t="str">
            <v>6225588711</v>
          </cell>
          <cell r="B652">
            <v>62255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6225588785</v>
          </cell>
          <cell r="B653">
            <v>62255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6225588847</v>
          </cell>
          <cell r="B654">
            <v>62255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6225588866</v>
          </cell>
          <cell r="B655">
            <v>62255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6225588870</v>
          </cell>
          <cell r="B656">
            <v>62255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6225588889</v>
          </cell>
          <cell r="B657">
            <v>62255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6225589776</v>
          </cell>
          <cell r="B658">
            <v>62255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6225589787</v>
          </cell>
          <cell r="B659">
            <v>62255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6225589510</v>
          </cell>
          <cell r="B660">
            <v>62255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262235</v>
          </cell>
          <cell r="G660">
            <v>-262235</v>
          </cell>
          <cell r="H660">
            <v>407051</v>
          </cell>
          <cell r="I660">
            <v>407051</v>
          </cell>
          <cell r="J660">
            <v>0</v>
          </cell>
        </row>
        <row r="661">
          <cell r="A661" t="str">
            <v>6225589511</v>
          </cell>
          <cell r="B661">
            <v>62255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6225589512</v>
          </cell>
          <cell r="B662">
            <v>62255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6225589528</v>
          </cell>
          <cell r="B663">
            <v>62255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6225589529</v>
          </cell>
          <cell r="B664">
            <v>62255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6225589567</v>
          </cell>
          <cell r="B665">
            <v>62255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6225585058</v>
          </cell>
          <cell r="B666">
            <v>62255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6225586513</v>
          </cell>
          <cell r="B667">
            <v>62255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240.44</v>
          </cell>
          <cell r="G667">
            <v>-240.44</v>
          </cell>
          <cell r="H667">
            <v>2294.64</v>
          </cell>
          <cell r="I667">
            <v>2294.64</v>
          </cell>
          <cell r="J667">
            <v>0</v>
          </cell>
        </row>
        <row r="668">
          <cell r="A668" t="str">
            <v>6225586519</v>
          </cell>
          <cell r="B668">
            <v>62255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6225588770</v>
          </cell>
          <cell r="B669">
            <v>62255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6225588862</v>
          </cell>
          <cell r="B670">
            <v>62255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6225588874</v>
          </cell>
          <cell r="B671">
            <v>62255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6225589910</v>
          </cell>
          <cell r="B672">
            <v>62255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106120.53</v>
          </cell>
          <cell r="G672">
            <v>-106120.53</v>
          </cell>
          <cell r="H672">
            <v>641254.89</v>
          </cell>
          <cell r="I672">
            <v>641254.89</v>
          </cell>
          <cell r="J672">
            <v>0</v>
          </cell>
        </row>
        <row r="673">
          <cell r="A673" t="str">
            <v>6225589548</v>
          </cell>
          <cell r="B673">
            <v>62255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6228041010</v>
          </cell>
          <cell r="B674">
            <v>62280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6228041040</v>
          </cell>
          <cell r="B675">
            <v>62280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6228041050</v>
          </cell>
          <cell r="B676">
            <v>62280</v>
          </cell>
          <cell r="C676">
            <v>41050</v>
          </cell>
          <cell r="D676" t="str">
            <v>Rental Income - Fixed</v>
          </cell>
          <cell r="E676">
            <v>-1034444.83</v>
          </cell>
          <cell r="F676">
            <v>-926720.6</v>
          </cell>
          <cell r="G676">
            <v>-107724.23</v>
          </cell>
          <cell r="H676">
            <v>-12009575.869999999</v>
          </cell>
          <cell r="I676">
            <v>-12009575.869999999</v>
          </cell>
          <cell r="J676">
            <v>0</v>
          </cell>
        </row>
        <row r="677">
          <cell r="A677" t="str">
            <v>6228041074</v>
          </cell>
          <cell r="B677">
            <v>62280</v>
          </cell>
          <cell r="C677">
            <v>41074</v>
          </cell>
          <cell r="D677" t="str">
            <v>Rental Income - Percentage</v>
          </cell>
          <cell r="E677">
            <v>-87047.14</v>
          </cell>
          <cell r="F677">
            <v>-91460</v>
          </cell>
          <cell r="G677">
            <v>4412.8599999999997</v>
          </cell>
          <cell r="H677">
            <v>-529635</v>
          </cell>
          <cell r="I677">
            <v>-529635</v>
          </cell>
          <cell r="J677">
            <v>0</v>
          </cell>
        </row>
        <row r="678">
          <cell r="A678" t="str">
            <v>6228041082</v>
          </cell>
          <cell r="B678">
            <v>62280</v>
          </cell>
          <cell r="C678">
            <v>41082</v>
          </cell>
          <cell r="D678" t="str">
            <v>Rental Income - Operating Exp</v>
          </cell>
          <cell r="E678">
            <v>-661997.63</v>
          </cell>
          <cell r="F678">
            <v>-716983.5</v>
          </cell>
          <cell r="G678">
            <v>54985.87</v>
          </cell>
          <cell r="H678">
            <v>-8607161.5999999996</v>
          </cell>
          <cell r="I678">
            <v>-8607161.5999999996</v>
          </cell>
          <cell r="J678">
            <v>0</v>
          </cell>
        </row>
        <row r="679">
          <cell r="A679" t="str">
            <v>6228044610</v>
          </cell>
          <cell r="B679">
            <v>62280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6228045071</v>
          </cell>
          <cell r="B680">
            <v>62280</v>
          </cell>
          <cell r="C680">
            <v>45071</v>
          </cell>
          <cell r="D680" t="str">
            <v>Termination Fee</v>
          </cell>
          <cell r="E680">
            <v>-1000000</v>
          </cell>
          <cell r="F680">
            <v>0</v>
          </cell>
          <cell r="G680">
            <v>-1000000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6228045010</v>
          </cell>
          <cell r="B681">
            <v>62280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6228045046</v>
          </cell>
          <cell r="B682">
            <v>62280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6228045070</v>
          </cell>
          <cell r="B683">
            <v>62280</v>
          </cell>
          <cell r="C683">
            <v>45070</v>
          </cell>
          <cell r="D683" t="str">
            <v>Other Income</v>
          </cell>
          <cell r="E683">
            <v>-147150</v>
          </cell>
          <cell r="F683">
            <v>-142250</v>
          </cell>
          <cell r="G683">
            <v>-4900</v>
          </cell>
          <cell r="H683">
            <v>-1186350</v>
          </cell>
          <cell r="I683">
            <v>-1186350</v>
          </cell>
          <cell r="J683">
            <v>0</v>
          </cell>
        </row>
        <row r="684">
          <cell r="A684" t="str">
            <v>6228041060</v>
          </cell>
          <cell r="B684">
            <v>62280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35240.58</v>
          </cell>
          <cell r="G684">
            <v>-35240.58</v>
          </cell>
          <cell r="H684">
            <v>422887</v>
          </cell>
          <cell r="I684">
            <v>422887</v>
          </cell>
          <cell r="J684">
            <v>0</v>
          </cell>
        </row>
        <row r="685">
          <cell r="A685" t="str">
            <v>6228044870</v>
          </cell>
          <cell r="B685">
            <v>62280</v>
          </cell>
          <cell r="C685">
            <v>44870</v>
          </cell>
          <cell r="D685" t="str">
            <v>Late Fees</v>
          </cell>
          <cell r="E685">
            <v>-2250</v>
          </cell>
          <cell r="F685">
            <v>0</v>
          </cell>
          <cell r="G685">
            <v>-2250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6228052542</v>
          </cell>
          <cell r="B686">
            <v>62280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6228072710</v>
          </cell>
          <cell r="B687">
            <v>62280</v>
          </cell>
          <cell r="C687">
            <v>72710</v>
          </cell>
          <cell r="D687" t="str">
            <v>Utilities - Electricity</v>
          </cell>
          <cell r="E687">
            <v>43106.23</v>
          </cell>
          <cell r="F687">
            <v>50000</v>
          </cell>
          <cell r="G687">
            <v>-6893.77</v>
          </cell>
          <cell r="H687">
            <v>570000</v>
          </cell>
          <cell r="I687">
            <v>570000</v>
          </cell>
          <cell r="J687">
            <v>0</v>
          </cell>
        </row>
        <row r="688">
          <cell r="A688" t="str">
            <v>6228072740</v>
          </cell>
          <cell r="B688">
            <v>62280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6228072770</v>
          </cell>
          <cell r="B689">
            <v>62280</v>
          </cell>
          <cell r="C689">
            <v>72770</v>
          </cell>
          <cell r="D689" t="str">
            <v>Utilities - Water</v>
          </cell>
          <cell r="E689">
            <v>11527.14</v>
          </cell>
          <cell r="F689">
            <v>11040</v>
          </cell>
          <cell r="G689">
            <v>487.13999999999902</v>
          </cell>
          <cell r="H689">
            <v>104680</v>
          </cell>
          <cell r="I689">
            <v>104680</v>
          </cell>
          <cell r="J689">
            <v>0</v>
          </cell>
        </row>
        <row r="690">
          <cell r="A690" t="str">
            <v>6228076000</v>
          </cell>
          <cell r="B690">
            <v>62280</v>
          </cell>
          <cell r="C690">
            <v>76000</v>
          </cell>
          <cell r="D690" t="str">
            <v>Bldg Maintenance &amp; Repair</v>
          </cell>
          <cell r="E690">
            <v>23698.46</v>
          </cell>
          <cell r="F690">
            <v>66241</v>
          </cell>
          <cell r="G690">
            <v>-42542.54</v>
          </cell>
          <cell r="H690">
            <v>559442.06000000006</v>
          </cell>
          <cell r="I690">
            <v>559442.06000000006</v>
          </cell>
          <cell r="J690">
            <v>0</v>
          </cell>
        </row>
        <row r="691">
          <cell r="A691" t="str">
            <v>6228076020</v>
          </cell>
          <cell r="B691">
            <v>62280</v>
          </cell>
          <cell r="C691">
            <v>76020</v>
          </cell>
          <cell r="D691" t="str">
            <v>Food Court Expense</v>
          </cell>
          <cell r="E691">
            <v>18413.080000000002</v>
          </cell>
          <cell r="F691">
            <v>22097.33</v>
          </cell>
          <cell r="G691">
            <v>-3684.25</v>
          </cell>
          <cell r="H691">
            <v>225748</v>
          </cell>
          <cell r="I691">
            <v>225748</v>
          </cell>
          <cell r="J691">
            <v>0</v>
          </cell>
        </row>
        <row r="692">
          <cell r="A692" t="str">
            <v>6228076034</v>
          </cell>
          <cell r="B692">
            <v>62280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6228076050</v>
          </cell>
          <cell r="B693">
            <v>62280</v>
          </cell>
          <cell r="C693">
            <v>76050</v>
          </cell>
          <cell r="D693" t="str">
            <v>Cleaning Expense</v>
          </cell>
          <cell r="E693">
            <v>75036.81</v>
          </cell>
          <cell r="F693">
            <v>77300</v>
          </cell>
          <cell r="G693">
            <v>-2263.19</v>
          </cell>
          <cell r="H693">
            <v>936700</v>
          </cell>
          <cell r="I693">
            <v>936700</v>
          </cell>
          <cell r="J693">
            <v>0</v>
          </cell>
        </row>
        <row r="694">
          <cell r="A694" t="str">
            <v>6228076056</v>
          </cell>
          <cell r="B694">
            <v>62280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6228076070</v>
          </cell>
          <cell r="B695">
            <v>62280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6228076091</v>
          </cell>
          <cell r="B696">
            <v>62280</v>
          </cell>
          <cell r="C696">
            <v>76091</v>
          </cell>
          <cell r="D696" t="str">
            <v>Parking Maintenance</v>
          </cell>
          <cell r="E696">
            <v>9033.4699999999993</v>
          </cell>
          <cell r="F696">
            <v>10770</v>
          </cell>
          <cell r="G696">
            <v>-1736.53</v>
          </cell>
          <cell r="H696">
            <v>149838</v>
          </cell>
          <cell r="I696">
            <v>149838</v>
          </cell>
          <cell r="J696">
            <v>0</v>
          </cell>
        </row>
        <row r="697">
          <cell r="A697" t="str">
            <v>6228077000</v>
          </cell>
          <cell r="B697">
            <v>62280</v>
          </cell>
          <cell r="C697">
            <v>77000</v>
          </cell>
          <cell r="D697" t="str">
            <v>Grounds Maintenance</v>
          </cell>
          <cell r="E697">
            <v>51995.7</v>
          </cell>
          <cell r="F697">
            <v>80570</v>
          </cell>
          <cell r="G697">
            <v>-28574.3</v>
          </cell>
          <cell r="H697">
            <v>684120</v>
          </cell>
          <cell r="I697">
            <v>684120</v>
          </cell>
          <cell r="J697">
            <v>0</v>
          </cell>
        </row>
        <row r="698">
          <cell r="A698" t="str">
            <v>6228077053</v>
          </cell>
          <cell r="B698">
            <v>62280</v>
          </cell>
          <cell r="C698">
            <v>77053</v>
          </cell>
          <cell r="D698" t="str">
            <v>Landscaping</v>
          </cell>
          <cell r="E698">
            <v>23516</v>
          </cell>
          <cell r="F698">
            <v>48940</v>
          </cell>
          <cell r="G698">
            <v>-25424</v>
          </cell>
          <cell r="H698">
            <v>443350</v>
          </cell>
          <cell r="I698">
            <v>443350</v>
          </cell>
          <cell r="J698">
            <v>0</v>
          </cell>
        </row>
        <row r="699">
          <cell r="A699" t="str">
            <v>6228078020</v>
          </cell>
          <cell r="B699">
            <v>62280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1944.42</v>
          </cell>
          <cell r="G699">
            <v>-1944.42</v>
          </cell>
          <cell r="H699">
            <v>23333</v>
          </cell>
          <cell r="I699">
            <v>23333</v>
          </cell>
          <cell r="J699">
            <v>0</v>
          </cell>
        </row>
        <row r="700">
          <cell r="A700" t="str">
            <v>6228084264</v>
          </cell>
          <cell r="B700">
            <v>62280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6228085555</v>
          </cell>
          <cell r="B701">
            <v>62280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6228085584</v>
          </cell>
          <cell r="B702">
            <v>62280</v>
          </cell>
          <cell r="C702">
            <v>85584</v>
          </cell>
          <cell r="D702" t="str">
            <v>Bldg Admin-Office Costs</v>
          </cell>
          <cell r="E702">
            <v>6578.83</v>
          </cell>
          <cell r="F702">
            <v>14879.34</v>
          </cell>
          <cell r="G702">
            <v>-8300.51</v>
          </cell>
          <cell r="H702">
            <v>178552</v>
          </cell>
          <cell r="I702">
            <v>178552</v>
          </cell>
          <cell r="J702">
            <v>0</v>
          </cell>
        </row>
        <row r="703">
          <cell r="A703" t="str">
            <v>6228085582</v>
          </cell>
          <cell r="B703">
            <v>62280</v>
          </cell>
          <cell r="C703">
            <v>85582</v>
          </cell>
          <cell r="D703" t="str">
            <v>Bldg Admin-Salaries</v>
          </cell>
          <cell r="E703">
            <v>49651</v>
          </cell>
          <cell r="F703">
            <v>49651</v>
          </cell>
          <cell r="G703">
            <v>0</v>
          </cell>
          <cell r="H703">
            <v>671991</v>
          </cell>
          <cell r="I703">
            <v>671991</v>
          </cell>
          <cell r="J703">
            <v>0</v>
          </cell>
        </row>
        <row r="704">
          <cell r="A704" t="str">
            <v>6228086564</v>
          </cell>
          <cell r="B704">
            <v>62280</v>
          </cell>
          <cell r="C704">
            <v>86564</v>
          </cell>
          <cell r="D704" t="str">
            <v>Insurance</v>
          </cell>
          <cell r="E704">
            <v>26258</v>
          </cell>
          <cell r="F704">
            <v>26258.33</v>
          </cell>
          <cell r="G704">
            <v>-0.33000000000174601</v>
          </cell>
          <cell r="H704">
            <v>315100</v>
          </cell>
          <cell r="I704">
            <v>315100</v>
          </cell>
          <cell r="J704">
            <v>0</v>
          </cell>
        </row>
        <row r="705">
          <cell r="A705" t="str">
            <v>6228088846</v>
          </cell>
          <cell r="B705">
            <v>62280</v>
          </cell>
          <cell r="C705">
            <v>88846</v>
          </cell>
          <cell r="D705" t="str">
            <v>Expenses -Other</v>
          </cell>
          <cell r="E705">
            <v>15934.26</v>
          </cell>
          <cell r="F705">
            <v>12500</v>
          </cell>
          <cell r="G705">
            <v>3434.26</v>
          </cell>
          <cell r="H705">
            <v>31000</v>
          </cell>
          <cell r="I705">
            <v>31000</v>
          </cell>
          <cell r="J705">
            <v>0</v>
          </cell>
        </row>
        <row r="706">
          <cell r="A706" t="str">
            <v>6228088890</v>
          </cell>
          <cell r="B706">
            <v>62280</v>
          </cell>
          <cell r="C706">
            <v>88890</v>
          </cell>
          <cell r="D706" t="str">
            <v>Security/Safety</v>
          </cell>
          <cell r="E706">
            <v>185462.23</v>
          </cell>
          <cell r="F706">
            <v>191338.91</v>
          </cell>
          <cell r="G706">
            <v>-5876.6799999999903</v>
          </cell>
          <cell r="H706">
            <v>2249127</v>
          </cell>
          <cell r="I706">
            <v>2249127</v>
          </cell>
          <cell r="J706">
            <v>0</v>
          </cell>
        </row>
        <row r="707">
          <cell r="A707" t="str">
            <v>6228089775</v>
          </cell>
          <cell r="B707">
            <v>62280</v>
          </cell>
          <cell r="C707">
            <v>89775</v>
          </cell>
          <cell r="D707" t="str">
            <v>Assmt Dist Taxes- Reimb</v>
          </cell>
          <cell r="E707">
            <v>16331</v>
          </cell>
          <cell r="F707">
            <v>16331.17</v>
          </cell>
          <cell r="G707">
            <v>-0.17000000000007301</v>
          </cell>
          <cell r="H707">
            <v>195974</v>
          </cell>
          <cell r="I707">
            <v>195974</v>
          </cell>
          <cell r="J707">
            <v>0</v>
          </cell>
        </row>
        <row r="708">
          <cell r="A708" t="str">
            <v>6228089729</v>
          </cell>
          <cell r="B708">
            <v>62280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6228089786</v>
          </cell>
          <cell r="B709">
            <v>62280</v>
          </cell>
          <cell r="C709">
            <v>89786</v>
          </cell>
          <cell r="D709" t="str">
            <v>Property Tax Exp</v>
          </cell>
          <cell r="E709">
            <v>105613</v>
          </cell>
          <cell r="F709">
            <v>106512.67</v>
          </cell>
          <cell r="G709">
            <v>-899.66999999999803</v>
          </cell>
          <cell r="H709">
            <v>1278152</v>
          </cell>
          <cell r="I709">
            <v>1278152</v>
          </cell>
          <cell r="J709">
            <v>0</v>
          </cell>
        </row>
        <row r="710">
          <cell r="A710" t="str">
            <v>6228071040</v>
          </cell>
          <cell r="B710">
            <v>62280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6228072701</v>
          </cell>
          <cell r="B711">
            <v>62280</v>
          </cell>
          <cell r="C711">
            <v>72701</v>
          </cell>
          <cell r="D711" t="str">
            <v>Utilities</v>
          </cell>
          <cell r="E711">
            <v>13913.38</v>
          </cell>
          <cell r="F711">
            <v>12383.34</v>
          </cell>
          <cell r="G711">
            <v>1530.04</v>
          </cell>
          <cell r="H711">
            <v>148600</v>
          </cell>
          <cell r="I711">
            <v>148600</v>
          </cell>
          <cell r="J711">
            <v>0</v>
          </cell>
        </row>
        <row r="712">
          <cell r="A712" t="str">
            <v>6228072855</v>
          </cell>
          <cell r="B712">
            <v>62280</v>
          </cell>
          <cell r="C712">
            <v>72855</v>
          </cell>
          <cell r="D712" t="str">
            <v>Rent Expense-Ground</v>
          </cell>
          <cell r="E712">
            <v>7513.4</v>
          </cell>
          <cell r="F712">
            <v>7666.67</v>
          </cell>
          <cell r="G712">
            <v>-153.27000000000001</v>
          </cell>
          <cell r="H712">
            <v>92000</v>
          </cell>
          <cell r="I712">
            <v>92000</v>
          </cell>
          <cell r="J712">
            <v>0</v>
          </cell>
        </row>
        <row r="713">
          <cell r="A713" t="str">
            <v>6228072870</v>
          </cell>
          <cell r="B713">
            <v>62280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6228076010</v>
          </cell>
          <cell r="B714">
            <v>62280</v>
          </cell>
          <cell r="C714">
            <v>76010</v>
          </cell>
          <cell r="D714" t="str">
            <v>Tenant Alterations</v>
          </cell>
          <cell r="E714">
            <v>795.84</v>
          </cell>
          <cell r="F714">
            <v>5300</v>
          </cell>
          <cell r="G714">
            <v>-4504.16</v>
          </cell>
          <cell r="H714">
            <v>41100</v>
          </cell>
          <cell r="I714">
            <v>41100</v>
          </cell>
          <cell r="J714">
            <v>0</v>
          </cell>
        </row>
        <row r="715">
          <cell r="A715" t="str">
            <v>6228076040</v>
          </cell>
          <cell r="B715">
            <v>62280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6228076051</v>
          </cell>
          <cell r="B716">
            <v>62280</v>
          </cell>
          <cell r="C716">
            <v>76051</v>
          </cell>
          <cell r="D716" t="str">
            <v>Cleaning</v>
          </cell>
          <cell r="E716">
            <v>4000</v>
          </cell>
          <cell r="F716">
            <v>4000</v>
          </cell>
          <cell r="G716">
            <v>0</v>
          </cell>
          <cell r="H716">
            <v>48000</v>
          </cell>
          <cell r="I716">
            <v>48000</v>
          </cell>
          <cell r="J716">
            <v>0</v>
          </cell>
        </row>
        <row r="717">
          <cell r="A717" t="str">
            <v>6228076054</v>
          </cell>
          <cell r="B717">
            <v>62280</v>
          </cell>
          <cell r="C717">
            <v>76054</v>
          </cell>
          <cell r="D717" t="str">
            <v>Bldg Maintenance &amp; Repair</v>
          </cell>
          <cell r="E717">
            <v>2587.6999999999998</v>
          </cell>
          <cell r="F717">
            <v>16300</v>
          </cell>
          <cell r="G717">
            <v>-13712.3</v>
          </cell>
          <cell r="H717">
            <v>210150</v>
          </cell>
          <cell r="I717">
            <v>210150</v>
          </cell>
          <cell r="J717">
            <v>0</v>
          </cell>
        </row>
        <row r="718">
          <cell r="A718" t="str">
            <v>6228076060</v>
          </cell>
          <cell r="B718">
            <v>62280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6228076071</v>
          </cell>
          <cell r="B719">
            <v>62280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6228076090</v>
          </cell>
          <cell r="B720">
            <v>62280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6228077001</v>
          </cell>
          <cell r="B721">
            <v>62280</v>
          </cell>
          <cell r="C721">
            <v>77001</v>
          </cell>
          <cell r="D721" t="str">
            <v>Grounds Maintenance</v>
          </cell>
          <cell r="E721">
            <v>40704.1</v>
          </cell>
          <cell r="F721">
            <v>44080.92</v>
          </cell>
          <cell r="G721">
            <v>-3376.82</v>
          </cell>
          <cell r="H721">
            <v>503339</v>
          </cell>
          <cell r="I721">
            <v>503339</v>
          </cell>
          <cell r="J721">
            <v>0</v>
          </cell>
        </row>
        <row r="722">
          <cell r="A722" t="str">
            <v>6228077022</v>
          </cell>
          <cell r="B722">
            <v>62280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6228084200</v>
          </cell>
          <cell r="B723">
            <v>62280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6228084240</v>
          </cell>
          <cell r="B724">
            <v>62280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4500</v>
          </cell>
          <cell r="G724">
            <v>-4500</v>
          </cell>
          <cell r="H724">
            <v>66700</v>
          </cell>
          <cell r="I724">
            <v>66700</v>
          </cell>
          <cell r="J724">
            <v>0</v>
          </cell>
        </row>
        <row r="725">
          <cell r="A725" t="str">
            <v>6228084242</v>
          </cell>
          <cell r="B725">
            <v>62280</v>
          </cell>
          <cell r="C725">
            <v>84242</v>
          </cell>
          <cell r="D725" t="str">
            <v>Marketing-Subsidy</v>
          </cell>
          <cell r="E725">
            <v>25</v>
          </cell>
          <cell r="F725">
            <v>100</v>
          </cell>
          <cell r="G725">
            <v>-75</v>
          </cell>
          <cell r="H725">
            <v>1000</v>
          </cell>
          <cell r="I725">
            <v>1000</v>
          </cell>
          <cell r="J725">
            <v>0</v>
          </cell>
        </row>
        <row r="726">
          <cell r="A726" t="str">
            <v>6228084243</v>
          </cell>
          <cell r="B726">
            <v>62280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6228084244</v>
          </cell>
          <cell r="B727">
            <v>62280</v>
          </cell>
          <cell r="C727">
            <v>84244</v>
          </cell>
          <cell r="D727" t="str">
            <v>Marketing-Net Required</v>
          </cell>
          <cell r="E727">
            <v>205367</v>
          </cell>
          <cell r="F727">
            <v>205367</v>
          </cell>
          <cell r="G727">
            <v>0</v>
          </cell>
          <cell r="H727">
            <v>410734</v>
          </cell>
          <cell r="I727">
            <v>410734</v>
          </cell>
          <cell r="J727">
            <v>0</v>
          </cell>
        </row>
        <row r="728">
          <cell r="A728" t="str">
            <v>6228084265</v>
          </cell>
          <cell r="B728">
            <v>62280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6228088037</v>
          </cell>
          <cell r="B729">
            <v>62280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6228085016</v>
          </cell>
          <cell r="B730">
            <v>62280</v>
          </cell>
          <cell r="C730">
            <v>85016</v>
          </cell>
          <cell r="D730" t="str">
            <v>Prof Svc-Attorney Outside</v>
          </cell>
          <cell r="E730">
            <v>-446.38</v>
          </cell>
          <cell r="F730">
            <v>2350</v>
          </cell>
          <cell r="G730">
            <v>-2796.38</v>
          </cell>
          <cell r="H730">
            <v>28200</v>
          </cell>
          <cell r="I730">
            <v>28200</v>
          </cell>
          <cell r="J730">
            <v>0</v>
          </cell>
        </row>
        <row r="731">
          <cell r="A731" t="str">
            <v>6228085022</v>
          </cell>
          <cell r="B731">
            <v>62280</v>
          </cell>
          <cell r="C731">
            <v>85022</v>
          </cell>
          <cell r="D731" t="str">
            <v>Prof Svc-Audit/Acctng</v>
          </cell>
          <cell r="E731">
            <v>1022.58</v>
          </cell>
          <cell r="F731">
            <v>0</v>
          </cell>
          <cell r="G731">
            <v>1022.58</v>
          </cell>
          <cell r="H731">
            <v>7800</v>
          </cell>
          <cell r="I731">
            <v>7800</v>
          </cell>
          <cell r="J731">
            <v>0</v>
          </cell>
        </row>
        <row r="732">
          <cell r="A732" t="str">
            <v>6228085065</v>
          </cell>
          <cell r="B732">
            <v>62280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6228085500</v>
          </cell>
          <cell r="B733">
            <v>62280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2000</v>
          </cell>
          <cell r="G733">
            <v>-2000</v>
          </cell>
          <cell r="H733">
            <v>16000</v>
          </cell>
          <cell r="I733">
            <v>16000</v>
          </cell>
          <cell r="J733">
            <v>0</v>
          </cell>
        </row>
        <row r="734">
          <cell r="A734" t="str">
            <v>6228085566</v>
          </cell>
          <cell r="B734">
            <v>62280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6228085581</v>
          </cell>
          <cell r="B735">
            <v>62280</v>
          </cell>
          <cell r="C735">
            <v>85581</v>
          </cell>
          <cell r="D735" t="str">
            <v>Bldg Admin- Salaries</v>
          </cell>
          <cell r="E735">
            <v>50367</v>
          </cell>
          <cell r="F735">
            <v>50367</v>
          </cell>
          <cell r="G735">
            <v>0</v>
          </cell>
          <cell r="H735">
            <v>646284</v>
          </cell>
          <cell r="I735">
            <v>646284</v>
          </cell>
          <cell r="J735">
            <v>0</v>
          </cell>
        </row>
        <row r="736">
          <cell r="A736" t="str">
            <v>6228085583</v>
          </cell>
          <cell r="B736">
            <v>62280</v>
          </cell>
          <cell r="C736">
            <v>85583</v>
          </cell>
          <cell r="D736" t="str">
            <v>Bldg Admin-Office Exp.</v>
          </cell>
          <cell r="E736">
            <v>966.87</v>
          </cell>
          <cell r="F736">
            <v>18465.5</v>
          </cell>
          <cell r="G736">
            <v>-17498.63</v>
          </cell>
          <cell r="H736">
            <v>71341</v>
          </cell>
          <cell r="I736">
            <v>71341</v>
          </cell>
          <cell r="J736">
            <v>0</v>
          </cell>
        </row>
        <row r="737">
          <cell r="A737" t="str">
            <v>6228085530</v>
          </cell>
          <cell r="B737">
            <v>62280</v>
          </cell>
          <cell r="C737">
            <v>85530</v>
          </cell>
          <cell r="D737" t="str">
            <v>Bldg Admin - Office Exp</v>
          </cell>
          <cell r="E737">
            <v>966.87</v>
          </cell>
          <cell r="F737">
            <v>18465.5</v>
          </cell>
          <cell r="G737">
            <v>-17498.63</v>
          </cell>
          <cell r="H737">
            <v>71341</v>
          </cell>
          <cell r="I737">
            <v>71341</v>
          </cell>
          <cell r="J737">
            <v>0</v>
          </cell>
        </row>
        <row r="738">
          <cell r="A738" t="str">
            <v>6228086012</v>
          </cell>
          <cell r="B738">
            <v>62280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6228086037</v>
          </cell>
          <cell r="B739">
            <v>62280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6228083050</v>
          </cell>
          <cell r="B740">
            <v>62280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6228086510</v>
          </cell>
          <cell r="B741">
            <v>62280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6228086537</v>
          </cell>
          <cell r="B742">
            <v>62280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6228086566</v>
          </cell>
          <cell r="B743">
            <v>62280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6228086955</v>
          </cell>
          <cell r="B744">
            <v>62280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6228086985</v>
          </cell>
          <cell r="B745">
            <v>62280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6228086880</v>
          </cell>
          <cell r="B746">
            <v>62280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6228088710</v>
          </cell>
          <cell r="B747">
            <v>62280</v>
          </cell>
          <cell r="C747">
            <v>88710</v>
          </cell>
          <cell r="D747" t="str">
            <v>Losses-Bad Debts</v>
          </cell>
          <cell r="E747">
            <v>0</v>
          </cell>
          <cell r="F747">
            <v>18608.919999999998</v>
          </cell>
          <cell r="G747">
            <v>-18608.919999999998</v>
          </cell>
          <cell r="H747">
            <v>223307</v>
          </cell>
          <cell r="I747">
            <v>223307</v>
          </cell>
          <cell r="J747">
            <v>0</v>
          </cell>
        </row>
        <row r="748">
          <cell r="A748" t="str">
            <v>6228088711</v>
          </cell>
          <cell r="B748">
            <v>62280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6228088785</v>
          </cell>
          <cell r="B749">
            <v>62280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6228088847</v>
          </cell>
          <cell r="B750">
            <v>62280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6228088866</v>
          </cell>
          <cell r="B751">
            <v>62280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6228088870</v>
          </cell>
          <cell r="B752">
            <v>62280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6228088889</v>
          </cell>
          <cell r="B753">
            <v>62280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6228089776</v>
          </cell>
          <cell r="B754">
            <v>62280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6228089787</v>
          </cell>
          <cell r="B755">
            <v>62280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6228089510</v>
          </cell>
          <cell r="B756">
            <v>62280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471952</v>
          </cell>
          <cell r="G756">
            <v>-471952</v>
          </cell>
          <cell r="H756">
            <v>1387675</v>
          </cell>
          <cell r="I756">
            <v>1387675</v>
          </cell>
          <cell r="J756">
            <v>0</v>
          </cell>
        </row>
        <row r="757">
          <cell r="A757" t="str">
            <v>6228089511</v>
          </cell>
          <cell r="B757">
            <v>62280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6228089512</v>
          </cell>
          <cell r="B758">
            <v>62280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6228089528</v>
          </cell>
          <cell r="B759">
            <v>62280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6228089529</v>
          </cell>
          <cell r="B760">
            <v>62280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6228089567</v>
          </cell>
          <cell r="B761">
            <v>62280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6228085058</v>
          </cell>
          <cell r="B762">
            <v>62280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6228086513</v>
          </cell>
          <cell r="B763">
            <v>62280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259209.79</v>
          </cell>
          <cell r="I763">
            <v>259209.79</v>
          </cell>
          <cell r="J763">
            <v>0</v>
          </cell>
        </row>
        <row r="764">
          <cell r="A764" t="str">
            <v>6228086519</v>
          </cell>
          <cell r="B764">
            <v>62280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6228088770</v>
          </cell>
          <cell r="B765">
            <v>62280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6228088862</v>
          </cell>
          <cell r="B766">
            <v>62280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6228088874</v>
          </cell>
          <cell r="B767">
            <v>62280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6228089910</v>
          </cell>
          <cell r="B768">
            <v>62280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525098.65</v>
          </cell>
          <cell r="G768">
            <v>-525098.65</v>
          </cell>
          <cell r="H768">
            <v>6490791.8200000003</v>
          </cell>
          <cell r="I768">
            <v>6490791.8200000003</v>
          </cell>
          <cell r="J768">
            <v>0</v>
          </cell>
        </row>
        <row r="769">
          <cell r="A769" t="str">
            <v>6228089548</v>
          </cell>
          <cell r="B769">
            <v>62280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/>
          </cell>
        </row>
        <row r="771">
          <cell r="A771" t="str">
            <v>6232041010</v>
          </cell>
          <cell r="B771">
            <v>62320</v>
          </cell>
          <cell r="C771">
            <v>41010</v>
          </cell>
          <cell r="D771" t="str">
            <v>Parking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6232041040</v>
          </cell>
          <cell r="B772">
            <v>62320</v>
          </cell>
          <cell r="C772">
            <v>41040</v>
          </cell>
          <cell r="D772" t="str">
            <v>Rental Income FAS 13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</row>
        <row r="773">
          <cell r="A773" t="str">
            <v>6232041050</v>
          </cell>
          <cell r="B773">
            <v>62320</v>
          </cell>
          <cell r="C773">
            <v>41050</v>
          </cell>
          <cell r="D773" t="str">
            <v>Rental Income - Fixed</v>
          </cell>
          <cell r="E773">
            <v>-275806.40000000002</v>
          </cell>
          <cell r="F773">
            <v>-280182.36</v>
          </cell>
          <cell r="G773">
            <v>4375.95999999996</v>
          </cell>
          <cell r="H773">
            <v>-2673566.12</v>
          </cell>
          <cell r="I773">
            <v>-2673566.12</v>
          </cell>
          <cell r="J773">
            <v>0</v>
          </cell>
        </row>
        <row r="774">
          <cell r="A774" t="str">
            <v>6232041074</v>
          </cell>
          <cell r="B774">
            <v>62320</v>
          </cell>
          <cell r="C774">
            <v>41074</v>
          </cell>
          <cell r="D774" t="str">
            <v>Rental Income - Percentage</v>
          </cell>
          <cell r="E774">
            <v>-63103.1</v>
          </cell>
          <cell r="F774">
            <v>-44642</v>
          </cell>
          <cell r="G774">
            <v>-18461.099999999999</v>
          </cell>
          <cell r="H774">
            <v>-155942</v>
          </cell>
          <cell r="I774">
            <v>-155942</v>
          </cell>
          <cell r="J774">
            <v>0</v>
          </cell>
        </row>
        <row r="775">
          <cell r="A775" t="str">
            <v>6232041082</v>
          </cell>
          <cell r="B775">
            <v>62320</v>
          </cell>
          <cell r="C775">
            <v>41082</v>
          </cell>
          <cell r="D775" t="str">
            <v>Rental Income - Operating Exp</v>
          </cell>
          <cell r="E775">
            <v>-132947.20000000001</v>
          </cell>
          <cell r="F775">
            <v>-147430.16</v>
          </cell>
          <cell r="G775">
            <v>14482.96</v>
          </cell>
          <cell r="H775">
            <v>-884580.96</v>
          </cell>
          <cell r="I775">
            <v>-884580.96</v>
          </cell>
          <cell r="J775">
            <v>0</v>
          </cell>
        </row>
        <row r="776">
          <cell r="A776" t="str">
            <v>6232044610</v>
          </cell>
          <cell r="B776">
            <v>62320</v>
          </cell>
          <cell r="C776">
            <v>44610</v>
          </cell>
          <cell r="D776" t="str">
            <v>Marketing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6232045071</v>
          </cell>
          <cell r="B777">
            <v>62320</v>
          </cell>
          <cell r="C777">
            <v>45071</v>
          </cell>
          <cell r="D777" t="str">
            <v>Termination Fee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6232045010</v>
          </cell>
          <cell r="B778">
            <v>62320</v>
          </cell>
          <cell r="C778">
            <v>45010</v>
          </cell>
          <cell r="D778" t="str">
            <v>Bad Debt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6232045046</v>
          </cell>
          <cell r="B779">
            <v>62320</v>
          </cell>
          <cell r="C779">
            <v>45046</v>
          </cell>
          <cell r="D779" t="str">
            <v>Mgmt/Consult Fee Income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6232045070</v>
          </cell>
          <cell r="B780">
            <v>62320</v>
          </cell>
          <cell r="C780">
            <v>45070</v>
          </cell>
          <cell r="D780" t="str">
            <v>Other Income</v>
          </cell>
          <cell r="E780">
            <v>-1527.75</v>
          </cell>
          <cell r="F780">
            <v>0</v>
          </cell>
          <cell r="G780">
            <v>-1527.75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6232041060</v>
          </cell>
          <cell r="B781">
            <v>62320</v>
          </cell>
          <cell r="C781">
            <v>41060</v>
          </cell>
          <cell r="D781" t="str">
            <v>Rental Income - Vacancy</v>
          </cell>
          <cell r="E781">
            <v>0</v>
          </cell>
          <cell r="F781">
            <v>12380.34</v>
          </cell>
          <cell r="G781">
            <v>-12380.34</v>
          </cell>
          <cell r="H781">
            <v>74282</v>
          </cell>
          <cell r="I781">
            <v>74282</v>
          </cell>
          <cell r="J781">
            <v>0</v>
          </cell>
        </row>
        <row r="782">
          <cell r="A782" t="str">
            <v>6232044870</v>
          </cell>
          <cell r="B782">
            <v>62320</v>
          </cell>
          <cell r="C782">
            <v>44870</v>
          </cell>
          <cell r="D782" t="str">
            <v>Late Fees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6232052542</v>
          </cell>
          <cell r="B783">
            <v>62320</v>
          </cell>
          <cell r="C783">
            <v>52542</v>
          </cell>
          <cell r="D783" t="str">
            <v>Cost of Tenant Services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</row>
        <row r="784">
          <cell r="A784" t="str">
            <v>6232072710</v>
          </cell>
          <cell r="B784">
            <v>62320</v>
          </cell>
          <cell r="C784">
            <v>72710</v>
          </cell>
          <cell r="D784" t="str">
            <v>Utilities - Electricity</v>
          </cell>
          <cell r="E784">
            <v>5677.39</v>
          </cell>
          <cell r="F784">
            <v>6722.33</v>
          </cell>
          <cell r="G784">
            <v>-1044.94</v>
          </cell>
          <cell r="H784">
            <v>39613.370000000003</v>
          </cell>
          <cell r="I784">
            <v>39613.370000000003</v>
          </cell>
          <cell r="J784">
            <v>0</v>
          </cell>
        </row>
        <row r="785">
          <cell r="A785" t="str">
            <v>6232072740</v>
          </cell>
          <cell r="B785">
            <v>62320</v>
          </cell>
          <cell r="C785">
            <v>72740</v>
          </cell>
          <cell r="D785" t="str">
            <v>Utilities - Gas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</row>
        <row r="786">
          <cell r="A786" t="str">
            <v>6232072770</v>
          </cell>
          <cell r="B786">
            <v>62320</v>
          </cell>
          <cell r="C786">
            <v>72770</v>
          </cell>
          <cell r="D786" t="str">
            <v>Utilities - Water</v>
          </cell>
          <cell r="E786">
            <v>2631.58</v>
          </cell>
          <cell r="F786">
            <v>1703.67</v>
          </cell>
          <cell r="G786">
            <v>927.91</v>
          </cell>
          <cell r="H786">
            <v>8984.7800000000007</v>
          </cell>
          <cell r="I786">
            <v>8984.7800000000007</v>
          </cell>
          <cell r="J786">
            <v>0</v>
          </cell>
        </row>
        <row r="787">
          <cell r="A787" t="str">
            <v>6232076000</v>
          </cell>
          <cell r="B787">
            <v>62320</v>
          </cell>
          <cell r="C787">
            <v>76000</v>
          </cell>
          <cell r="D787" t="str">
            <v>Bldg Maintenance &amp; Repair</v>
          </cell>
          <cell r="E787">
            <v>2582.42</v>
          </cell>
          <cell r="F787">
            <v>3468.21</v>
          </cell>
          <cell r="G787">
            <v>-885.79</v>
          </cell>
          <cell r="H787">
            <v>44528.47</v>
          </cell>
          <cell r="I787">
            <v>44528.47</v>
          </cell>
          <cell r="J787">
            <v>0</v>
          </cell>
        </row>
        <row r="788">
          <cell r="A788" t="str">
            <v>6232076020</v>
          </cell>
          <cell r="B788">
            <v>62320</v>
          </cell>
          <cell r="C788">
            <v>76020</v>
          </cell>
          <cell r="D788" t="str">
            <v>Food Court Expense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6232076034</v>
          </cell>
          <cell r="B789">
            <v>62320</v>
          </cell>
          <cell r="C789">
            <v>76034</v>
          </cell>
          <cell r="D789" t="str">
            <v>Bldg. - General Repair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</row>
        <row r="790">
          <cell r="A790" t="str">
            <v>6232076050</v>
          </cell>
          <cell r="B790">
            <v>62320</v>
          </cell>
          <cell r="C790">
            <v>76050</v>
          </cell>
          <cell r="D790" t="str">
            <v>Cleaning Expense</v>
          </cell>
          <cell r="E790">
            <v>13665.4</v>
          </cell>
          <cell r="F790">
            <v>14070.21</v>
          </cell>
          <cell r="G790">
            <v>-404.80999999999898</v>
          </cell>
          <cell r="H790">
            <v>82104.429999999993</v>
          </cell>
          <cell r="I790">
            <v>82104.429999999993</v>
          </cell>
          <cell r="J790">
            <v>0</v>
          </cell>
        </row>
        <row r="791">
          <cell r="A791" t="str">
            <v>6232076056</v>
          </cell>
          <cell r="B791">
            <v>62320</v>
          </cell>
          <cell r="C791">
            <v>76056</v>
          </cell>
          <cell r="D791" t="str">
            <v>Maintenance - Reimb 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6232076070</v>
          </cell>
          <cell r="B792">
            <v>62320</v>
          </cell>
          <cell r="C792">
            <v>76070</v>
          </cell>
          <cell r="D792" t="str">
            <v>Reimaging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</row>
        <row r="793">
          <cell r="A793" t="str">
            <v>6232076091</v>
          </cell>
          <cell r="B793">
            <v>62320</v>
          </cell>
          <cell r="C793">
            <v>76091</v>
          </cell>
          <cell r="D793" t="str">
            <v>Parking Maintenance</v>
          </cell>
          <cell r="E793">
            <v>8907</v>
          </cell>
          <cell r="F793">
            <v>13735.57</v>
          </cell>
          <cell r="G793">
            <v>-4828.57</v>
          </cell>
          <cell r="H793">
            <v>72494.570000000007</v>
          </cell>
          <cell r="I793">
            <v>72494.570000000007</v>
          </cell>
          <cell r="J793">
            <v>0</v>
          </cell>
        </row>
        <row r="794">
          <cell r="A794" t="str">
            <v>6232077000</v>
          </cell>
          <cell r="B794">
            <v>62320</v>
          </cell>
          <cell r="C794">
            <v>77000</v>
          </cell>
          <cell r="D794" t="str">
            <v>Grounds Maintenance</v>
          </cell>
          <cell r="E794">
            <v>10540.91</v>
          </cell>
          <cell r="F794">
            <v>36321.269999999997</v>
          </cell>
          <cell r="G794">
            <v>-25780.36</v>
          </cell>
          <cell r="H794">
            <v>113278.88</v>
          </cell>
          <cell r="I794">
            <v>113278.88</v>
          </cell>
          <cell r="J794">
            <v>0</v>
          </cell>
        </row>
        <row r="795">
          <cell r="A795" t="str">
            <v>6232077053</v>
          </cell>
          <cell r="B795">
            <v>62320</v>
          </cell>
          <cell r="C795">
            <v>77053</v>
          </cell>
          <cell r="D795" t="str">
            <v>Landscaping</v>
          </cell>
          <cell r="E795">
            <v>10104</v>
          </cell>
          <cell r="F795">
            <v>22624.25</v>
          </cell>
          <cell r="G795">
            <v>-12520.25</v>
          </cell>
          <cell r="H795">
            <v>116121.65</v>
          </cell>
          <cell r="I795">
            <v>116121.65</v>
          </cell>
          <cell r="J795">
            <v>0</v>
          </cell>
        </row>
        <row r="796">
          <cell r="A796" t="str">
            <v>6232078020</v>
          </cell>
          <cell r="B796">
            <v>62320</v>
          </cell>
          <cell r="C796">
            <v>78020</v>
          </cell>
          <cell r="D796" t="str">
            <v>Amortized CAM Exp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6232084264</v>
          </cell>
          <cell r="B797">
            <v>62320</v>
          </cell>
          <cell r="C797">
            <v>84264</v>
          </cell>
          <cell r="D797" t="str">
            <v>Mktg-Tenant Relations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6232085555</v>
          </cell>
          <cell r="B798">
            <v>62320</v>
          </cell>
          <cell r="C798">
            <v>85555</v>
          </cell>
          <cell r="D798" t="str">
            <v>Management Fee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</row>
        <row r="799">
          <cell r="A799" t="str">
            <v>6232085584</v>
          </cell>
          <cell r="B799">
            <v>62320</v>
          </cell>
          <cell r="C799">
            <v>85584</v>
          </cell>
          <cell r="D799" t="str">
            <v>Bldg Admin-Office Costs</v>
          </cell>
          <cell r="E799">
            <v>2398.13</v>
          </cell>
          <cell r="F799">
            <v>2398</v>
          </cell>
          <cell r="G799">
            <v>0.130000000000109</v>
          </cell>
          <cell r="H799">
            <v>14388</v>
          </cell>
          <cell r="I799">
            <v>14388</v>
          </cell>
          <cell r="J799">
            <v>0</v>
          </cell>
        </row>
        <row r="800">
          <cell r="A800" t="str">
            <v>6232085582</v>
          </cell>
          <cell r="B800">
            <v>62320</v>
          </cell>
          <cell r="C800">
            <v>85582</v>
          </cell>
          <cell r="D800" t="str">
            <v>Bldg Admin-Salaries</v>
          </cell>
          <cell r="E800">
            <v>13878.69</v>
          </cell>
          <cell r="F800">
            <v>13878.84</v>
          </cell>
          <cell r="G800">
            <v>-0.14999999999963601</v>
          </cell>
          <cell r="H800">
            <v>88808.2</v>
          </cell>
          <cell r="I800">
            <v>88808.2</v>
          </cell>
          <cell r="J800">
            <v>0</v>
          </cell>
        </row>
        <row r="801">
          <cell r="A801" t="str">
            <v>6232086564</v>
          </cell>
          <cell r="B801">
            <v>62320</v>
          </cell>
          <cell r="C801">
            <v>86564</v>
          </cell>
          <cell r="D801" t="str">
            <v>Insurance</v>
          </cell>
          <cell r="E801">
            <v>8705</v>
          </cell>
          <cell r="F801">
            <v>8704.84</v>
          </cell>
          <cell r="G801">
            <v>0.15999999999985401</v>
          </cell>
          <cell r="H801">
            <v>52229</v>
          </cell>
          <cell r="I801">
            <v>52229</v>
          </cell>
          <cell r="J801">
            <v>0</v>
          </cell>
        </row>
        <row r="802">
          <cell r="A802" t="str">
            <v>6232088846</v>
          </cell>
          <cell r="B802">
            <v>62320</v>
          </cell>
          <cell r="C802">
            <v>88846</v>
          </cell>
          <cell r="D802" t="str">
            <v>Expenses -Other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</row>
        <row r="803">
          <cell r="A803" t="str">
            <v>6232088890</v>
          </cell>
          <cell r="B803">
            <v>62320</v>
          </cell>
          <cell r="C803">
            <v>88890</v>
          </cell>
          <cell r="D803" t="str">
            <v>Security/Safety</v>
          </cell>
          <cell r="E803">
            <v>8591</v>
          </cell>
          <cell r="F803">
            <v>17063.5</v>
          </cell>
          <cell r="G803">
            <v>-8472.5</v>
          </cell>
          <cell r="H803">
            <v>102381</v>
          </cell>
          <cell r="I803">
            <v>102381</v>
          </cell>
          <cell r="J803">
            <v>0</v>
          </cell>
        </row>
        <row r="804">
          <cell r="A804" t="str">
            <v>6232089775</v>
          </cell>
          <cell r="B804">
            <v>62320</v>
          </cell>
          <cell r="C804">
            <v>89775</v>
          </cell>
          <cell r="D804" t="str">
            <v>Assmt Dist Taxes- Reimb</v>
          </cell>
          <cell r="E804">
            <v>7708.84</v>
          </cell>
          <cell r="F804">
            <v>7708.84</v>
          </cell>
          <cell r="G804">
            <v>0</v>
          </cell>
          <cell r="H804">
            <v>46253</v>
          </cell>
          <cell r="I804">
            <v>46253</v>
          </cell>
          <cell r="J804">
            <v>0</v>
          </cell>
        </row>
        <row r="805">
          <cell r="A805" t="str">
            <v>6232089729</v>
          </cell>
          <cell r="B805">
            <v>62320</v>
          </cell>
          <cell r="C805">
            <v>89729</v>
          </cell>
          <cell r="D805" t="str">
            <v>Taxes - Miscellaneous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</row>
        <row r="806">
          <cell r="A806" t="str">
            <v>6232089786</v>
          </cell>
          <cell r="B806">
            <v>62320</v>
          </cell>
          <cell r="C806">
            <v>89786</v>
          </cell>
          <cell r="D806" t="str">
            <v>Property Tax Exp</v>
          </cell>
          <cell r="E806">
            <v>31991.84</v>
          </cell>
          <cell r="F806">
            <v>31991.84</v>
          </cell>
          <cell r="G806">
            <v>0</v>
          </cell>
          <cell r="H806">
            <v>191951</v>
          </cell>
          <cell r="I806">
            <v>191951</v>
          </cell>
          <cell r="J806">
            <v>0</v>
          </cell>
        </row>
        <row r="807">
          <cell r="A807" t="str">
            <v>6232071040</v>
          </cell>
          <cell r="B807">
            <v>62320</v>
          </cell>
          <cell r="C807">
            <v>71040</v>
          </cell>
          <cell r="D807" t="str">
            <v>Office Supplies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6232072701</v>
          </cell>
          <cell r="B808">
            <v>62320</v>
          </cell>
          <cell r="C808">
            <v>72701</v>
          </cell>
          <cell r="D808" t="str">
            <v>Utilities</v>
          </cell>
          <cell r="E808">
            <v>0</v>
          </cell>
          <cell r="F808">
            <v>0</v>
          </cell>
          <cell r="G808">
            <v>0</v>
          </cell>
          <cell r="H808">
            <v>424.36</v>
          </cell>
          <cell r="I808">
            <v>424.36</v>
          </cell>
          <cell r="J808">
            <v>0</v>
          </cell>
        </row>
        <row r="809">
          <cell r="A809" t="str">
            <v>6232072855</v>
          </cell>
          <cell r="B809">
            <v>62320</v>
          </cell>
          <cell r="C809">
            <v>72855</v>
          </cell>
          <cell r="D809" t="str">
            <v>Rent Expense-Ground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6232072870</v>
          </cell>
          <cell r="B810">
            <v>62320</v>
          </cell>
          <cell r="C810">
            <v>72870</v>
          </cell>
          <cell r="D810" t="str">
            <v>Office Rent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6232076010</v>
          </cell>
          <cell r="B811">
            <v>62320</v>
          </cell>
          <cell r="C811">
            <v>76010</v>
          </cell>
          <cell r="D811" t="str">
            <v>Tenant Alterations</v>
          </cell>
          <cell r="E811">
            <v>485</v>
          </cell>
          <cell r="F811">
            <v>0</v>
          </cell>
          <cell r="G811">
            <v>485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6232076040</v>
          </cell>
          <cell r="B812">
            <v>62320</v>
          </cell>
          <cell r="C812">
            <v>76040</v>
          </cell>
          <cell r="D812" t="str">
            <v>HVAC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6232076051</v>
          </cell>
          <cell r="B813">
            <v>62320</v>
          </cell>
          <cell r="C813">
            <v>76051</v>
          </cell>
          <cell r="D813" t="str">
            <v>Cleaning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</row>
        <row r="814">
          <cell r="A814" t="str">
            <v>6232076054</v>
          </cell>
          <cell r="B814">
            <v>62320</v>
          </cell>
          <cell r="C814">
            <v>76054</v>
          </cell>
          <cell r="D814" t="str">
            <v>Bldg Maintenance &amp; Repair</v>
          </cell>
          <cell r="E814">
            <v>979.5</v>
          </cell>
          <cell r="F814">
            <v>0</v>
          </cell>
          <cell r="G814">
            <v>979.5</v>
          </cell>
          <cell r="H814">
            <v>777.79</v>
          </cell>
          <cell r="I814">
            <v>777.79</v>
          </cell>
          <cell r="J814">
            <v>0</v>
          </cell>
        </row>
        <row r="815">
          <cell r="A815" t="str">
            <v>6232076060</v>
          </cell>
          <cell r="B815">
            <v>62320</v>
          </cell>
          <cell r="C815">
            <v>76060</v>
          </cell>
          <cell r="D815" t="str">
            <v>Asbestos Abatement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6232076071</v>
          </cell>
          <cell r="B816">
            <v>62320</v>
          </cell>
          <cell r="C816">
            <v>76071</v>
          </cell>
          <cell r="D816" t="str">
            <v>Reimaging Maintenance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6232076090</v>
          </cell>
          <cell r="B817">
            <v>62320</v>
          </cell>
          <cell r="C817">
            <v>76090</v>
          </cell>
          <cell r="D817" t="str">
            <v>Parking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6232077001</v>
          </cell>
          <cell r="B818">
            <v>62320</v>
          </cell>
          <cell r="C818">
            <v>77001</v>
          </cell>
          <cell r="D818" t="str">
            <v>Grounds Maintenance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6232077022</v>
          </cell>
          <cell r="B819">
            <v>62320</v>
          </cell>
          <cell r="C819">
            <v>77022</v>
          </cell>
          <cell r="D819" t="str">
            <v>Landscaping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6232084200</v>
          </cell>
          <cell r="B820">
            <v>62320</v>
          </cell>
          <cell r="C820">
            <v>84200</v>
          </cell>
          <cell r="D820" t="str">
            <v>Marketing-Other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6232084240</v>
          </cell>
          <cell r="B821">
            <v>62320</v>
          </cell>
          <cell r="C821">
            <v>84240</v>
          </cell>
          <cell r="D821" t="str">
            <v>Marketing Leasing</v>
          </cell>
          <cell r="E821">
            <v>4722.5</v>
          </cell>
          <cell r="F821">
            <v>5271.34</v>
          </cell>
          <cell r="G821">
            <v>-548.84</v>
          </cell>
          <cell r="H821">
            <v>33321.699999999997</v>
          </cell>
          <cell r="I821">
            <v>33321.699999999997</v>
          </cell>
          <cell r="J821">
            <v>0</v>
          </cell>
        </row>
        <row r="822">
          <cell r="A822" t="str">
            <v>6232084242</v>
          </cell>
          <cell r="B822">
            <v>62320</v>
          </cell>
          <cell r="C822">
            <v>84242</v>
          </cell>
          <cell r="D822" t="str">
            <v>Marketing-Subsidy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6232084243</v>
          </cell>
          <cell r="B823">
            <v>62320</v>
          </cell>
          <cell r="C823">
            <v>84243</v>
          </cell>
          <cell r="D823" t="str">
            <v>Marketing Coordination</v>
          </cell>
          <cell r="E823">
            <v>0</v>
          </cell>
          <cell r="F823">
            <v>0</v>
          </cell>
          <cell r="G823">
            <v>0</v>
          </cell>
          <cell r="H823">
            <v>-27397</v>
          </cell>
          <cell r="I823">
            <v>-27397</v>
          </cell>
          <cell r="J823">
            <v>0</v>
          </cell>
        </row>
        <row r="824">
          <cell r="A824" t="str">
            <v>6232084244</v>
          </cell>
          <cell r="B824">
            <v>62320</v>
          </cell>
          <cell r="C824">
            <v>84244</v>
          </cell>
          <cell r="D824" t="str">
            <v>Marketing-Net Required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6232084265</v>
          </cell>
          <cell r="B825">
            <v>62320</v>
          </cell>
          <cell r="C825">
            <v>84265</v>
          </cell>
          <cell r="D825" t="str">
            <v>Marketing -TR-Non-Reimb.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6232088037</v>
          </cell>
          <cell r="B826">
            <v>62320</v>
          </cell>
          <cell r="C826">
            <v>88037</v>
          </cell>
          <cell r="D826" t="str">
            <v>Marketing - Leasing Office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</row>
        <row r="827">
          <cell r="A827" t="str">
            <v>6232085016</v>
          </cell>
          <cell r="B827">
            <v>62320</v>
          </cell>
          <cell r="C827">
            <v>85016</v>
          </cell>
          <cell r="D827" t="str">
            <v>Prof Svc-Attorney Outside</v>
          </cell>
          <cell r="E827">
            <v>240</v>
          </cell>
          <cell r="F827">
            <v>0</v>
          </cell>
          <cell r="G827">
            <v>240</v>
          </cell>
          <cell r="H827">
            <v>2626.24</v>
          </cell>
          <cell r="I827">
            <v>2626.24</v>
          </cell>
          <cell r="J827">
            <v>0</v>
          </cell>
        </row>
        <row r="828">
          <cell r="A828" t="str">
            <v>6232085022</v>
          </cell>
          <cell r="B828">
            <v>62320</v>
          </cell>
          <cell r="C828">
            <v>85022</v>
          </cell>
          <cell r="D828" t="str">
            <v>Prof Svc-Audit/Acctng</v>
          </cell>
          <cell r="E828">
            <v>0</v>
          </cell>
          <cell r="F828">
            <v>0</v>
          </cell>
          <cell r="G828">
            <v>0</v>
          </cell>
          <cell r="H828">
            <v>2572.27</v>
          </cell>
          <cell r="I828">
            <v>2572.27</v>
          </cell>
          <cell r="J828">
            <v>0</v>
          </cell>
        </row>
        <row r="829">
          <cell r="A829" t="str">
            <v>6232085065</v>
          </cell>
          <cell r="B829">
            <v>62320</v>
          </cell>
          <cell r="C829">
            <v>85065</v>
          </cell>
          <cell r="D829" t="str">
            <v>Professional Services Other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6232085500</v>
          </cell>
          <cell r="B830">
            <v>62320</v>
          </cell>
          <cell r="C830">
            <v>85500</v>
          </cell>
          <cell r="D830" t="str">
            <v>Consulting Services</v>
          </cell>
          <cell r="E830">
            <v>-750</v>
          </cell>
          <cell r="F830">
            <v>0</v>
          </cell>
          <cell r="G830">
            <v>-750</v>
          </cell>
          <cell r="H830">
            <v>7308.89</v>
          </cell>
          <cell r="I830">
            <v>7308.89</v>
          </cell>
          <cell r="J830">
            <v>0</v>
          </cell>
        </row>
        <row r="831">
          <cell r="A831" t="str">
            <v>6232085566</v>
          </cell>
          <cell r="B831">
            <v>62320</v>
          </cell>
          <cell r="C831">
            <v>85566</v>
          </cell>
          <cell r="D831" t="str">
            <v>Management Fee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</row>
        <row r="832">
          <cell r="A832" t="str">
            <v>6232085581</v>
          </cell>
          <cell r="B832">
            <v>62320</v>
          </cell>
          <cell r="C832">
            <v>85581</v>
          </cell>
          <cell r="D832" t="str">
            <v>Bldg Admin- Salaries</v>
          </cell>
          <cell r="E832">
            <v>10754.4</v>
          </cell>
          <cell r="F832">
            <v>10754.34</v>
          </cell>
          <cell r="G832">
            <v>5.9999999999490697E-2</v>
          </cell>
          <cell r="H832">
            <v>67774.7</v>
          </cell>
          <cell r="I832">
            <v>67774.7</v>
          </cell>
          <cell r="J832">
            <v>0</v>
          </cell>
        </row>
        <row r="833">
          <cell r="A833" t="str">
            <v>6232085583</v>
          </cell>
          <cell r="B833">
            <v>62320</v>
          </cell>
          <cell r="C833">
            <v>85583</v>
          </cell>
          <cell r="D833" t="str">
            <v>Bldg Admin-Office Exp.</v>
          </cell>
          <cell r="E833">
            <v>107.75</v>
          </cell>
          <cell r="F833">
            <v>0</v>
          </cell>
          <cell r="G833">
            <v>107.75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6232085530</v>
          </cell>
          <cell r="B834">
            <v>62320</v>
          </cell>
          <cell r="C834">
            <v>85530</v>
          </cell>
          <cell r="D834" t="str">
            <v>Bldg Admin - Office Exp</v>
          </cell>
          <cell r="E834">
            <v>107.75</v>
          </cell>
          <cell r="F834">
            <v>0</v>
          </cell>
          <cell r="G834">
            <v>107.75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6232086012</v>
          </cell>
          <cell r="B835">
            <v>62320</v>
          </cell>
          <cell r="C835">
            <v>86012</v>
          </cell>
          <cell r="D835" t="str">
            <v>Regional Employee Parking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6232086037</v>
          </cell>
          <cell r="B836">
            <v>62320</v>
          </cell>
          <cell r="C836">
            <v>86037</v>
          </cell>
          <cell r="D836" t="str">
            <v>Travel &amp; Entertainment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6232083050</v>
          </cell>
          <cell r="B837">
            <v>62320</v>
          </cell>
          <cell r="C837">
            <v>83050</v>
          </cell>
          <cell r="D837" t="str">
            <v>Regional Employee Travel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6232086510</v>
          </cell>
          <cell r="B838">
            <v>62320</v>
          </cell>
          <cell r="C838">
            <v>86510</v>
          </cell>
          <cell r="D838" t="str">
            <v>Leasing Admin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6232086537</v>
          </cell>
          <cell r="B839">
            <v>62320</v>
          </cell>
          <cell r="C839">
            <v>86537</v>
          </cell>
          <cell r="D839" t="str">
            <v>Fees-Credit Reports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6232086566</v>
          </cell>
          <cell r="B840">
            <v>62320</v>
          </cell>
          <cell r="C840">
            <v>86566</v>
          </cell>
          <cell r="D840" t="str">
            <v>Insurance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6232086955</v>
          </cell>
          <cell r="B841">
            <v>62320</v>
          </cell>
          <cell r="C841">
            <v>86955</v>
          </cell>
          <cell r="D841" t="str">
            <v>Regional Temporary Labor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6232086985</v>
          </cell>
          <cell r="B842">
            <v>62320</v>
          </cell>
          <cell r="C842">
            <v>86985</v>
          </cell>
          <cell r="D842" t="str">
            <v>Purchased Svcs _ Other</v>
          </cell>
          <cell r="E842">
            <v>66.75</v>
          </cell>
          <cell r="F842">
            <v>0</v>
          </cell>
          <cell r="G842">
            <v>66.75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6232086880</v>
          </cell>
          <cell r="B843">
            <v>62320</v>
          </cell>
          <cell r="C843">
            <v>86880</v>
          </cell>
          <cell r="D843" t="str">
            <v>Telephone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6232088710</v>
          </cell>
          <cell r="B844">
            <v>62320</v>
          </cell>
          <cell r="C844">
            <v>88710</v>
          </cell>
          <cell r="D844" t="str">
            <v>Losses-Bad Debts</v>
          </cell>
          <cell r="E844">
            <v>0</v>
          </cell>
          <cell r="F844">
            <v>0</v>
          </cell>
          <cell r="G844">
            <v>0</v>
          </cell>
          <cell r="H844">
            <v>74280</v>
          </cell>
          <cell r="I844">
            <v>74280</v>
          </cell>
          <cell r="J844">
            <v>0</v>
          </cell>
        </row>
        <row r="845">
          <cell r="A845" t="str">
            <v>6232088711</v>
          </cell>
          <cell r="B845">
            <v>62320</v>
          </cell>
          <cell r="C845">
            <v>88711</v>
          </cell>
          <cell r="D845" t="str">
            <v>Losses-Bad Debts- FASB 13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6232088785</v>
          </cell>
          <cell r="B846">
            <v>62320</v>
          </cell>
          <cell r="C846">
            <v>88785</v>
          </cell>
          <cell r="D846" t="str">
            <v>Losses-Uninsured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6232088847</v>
          </cell>
          <cell r="B847">
            <v>62320</v>
          </cell>
          <cell r="C847">
            <v>88847</v>
          </cell>
          <cell r="D847" t="str">
            <v>Expenses - Other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6232088866</v>
          </cell>
          <cell r="B848">
            <v>62320</v>
          </cell>
          <cell r="C848">
            <v>88866</v>
          </cell>
          <cell r="D848" t="str">
            <v>Legal Settlements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6232088870</v>
          </cell>
          <cell r="B849">
            <v>62320</v>
          </cell>
          <cell r="C849">
            <v>88870</v>
          </cell>
          <cell r="D849" t="str">
            <v>Backside Dist-O/S Partner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6232088889</v>
          </cell>
          <cell r="B850">
            <v>62320</v>
          </cell>
          <cell r="C850">
            <v>88889</v>
          </cell>
          <cell r="D850" t="str">
            <v>Security/Safety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6232089776</v>
          </cell>
          <cell r="B851">
            <v>62320</v>
          </cell>
          <cell r="C851">
            <v>89776</v>
          </cell>
          <cell r="D851" t="str">
            <v>Assmt Dist Taxes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6232089787</v>
          </cell>
          <cell r="B852">
            <v>62320</v>
          </cell>
          <cell r="C852">
            <v>89787</v>
          </cell>
          <cell r="D852" t="str">
            <v>Property Tax Exp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6232089510</v>
          </cell>
          <cell r="B853">
            <v>62320</v>
          </cell>
          <cell r="C853">
            <v>89510</v>
          </cell>
          <cell r="D853" t="str">
            <v>Interest Expense - General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6232089511</v>
          </cell>
          <cell r="B854">
            <v>62320</v>
          </cell>
          <cell r="C854">
            <v>89511</v>
          </cell>
          <cell r="D854" t="str">
            <v>Interest Expense - Swap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6232089512</v>
          </cell>
          <cell r="B855">
            <v>62320</v>
          </cell>
          <cell r="C855">
            <v>89512</v>
          </cell>
          <cell r="D855" t="str">
            <v>Interest Expense - Accrual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6232089528</v>
          </cell>
          <cell r="B856">
            <v>62320</v>
          </cell>
          <cell r="C856">
            <v>89528</v>
          </cell>
          <cell r="D856" t="str">
            <v>Interest Expense - Loan Fees-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6232089529</v>
          </cell>
          <cell r="B857">
            <v>62320</v>
          </cell>
          <cell r="C857">
            <v>89529</v>
          </cell>
          <cell r="D857" t="str">
            <v>Interest Expense - Loan Fee A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6232089567</v>
          </cell>
          <cell r="B858">
            <v>62320</v>
          </cell>
          <cell r="C858">
            <v>89567</v>
          </cell>
          <cell r="D858" t="str">
            <v>Interest Expense - TIC/Partne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6232085058</v>
          </cell>
          <cell r="B859">
            <v>62320</v>
          </cell>
          <cell r="C859">
            <v>85058</v>
          </cell>
          <cell r="D859" t="str">
            <v>Legal Fee Amort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6232086513</v>
          </cell>
          <cell r="B860">
            <v>62320</v>
          </cell>
          <cell r="C860">
            <v>86513</v>
          </cell>
          <cell r="D860" t="str">
            <v>Leasing Commission Amort</v>
          </cell>
          <cell r="E860">
            <v>0</v>
          </cell>
          <cell r="F860">
            <v>879.53</v>
          </cell>
          <cell r="G860">
            <v>-879.53</v>
          </cell>
          <cell r="H860">
            <v>15893.1</v>
          </cell>
          <cell r="I860">
            <v>15893.1</v>
          </cell>
          <cell r="J860">
            <v>0</v>
          </cell>
        </row>
        <row r="861">
          <cell r="A861" t="str">
            <v>6232086519</v>
          </cell>
          <cell r="B861">
            <v>62320</v>
          </cell>
          <cell r="C861">
            <v>86519</v>
          </cell>
          <cell r="D861" t="str">
            <v>Fees-Appraisal Amort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6232088770</v>
          </cell>
          <cell r="B862">
            <v>62320</v>
          </cell>
          <cell r="C862">
            <v>88770</v>
          </cell>
          <cell r="D862" t="str">
            <v>Losses-Prop Abandon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6232088862</v>
          </cell>
          <cell r="B863">
            <v>62320</v>
          </cell>
          <cell r="C863">
            <v>88862</v>
          </cell>
          <cell r="D863" t="str">
            <v>Lease Buy-Out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6232088874</v>
          </cell>
          <cell r="B864">
            <v>62320</v>
          </cell>
          <cell r="C864">
            <v>88874</v>
          </cell>
          <cell r="D864" t="str">
            <v>Organization Cost Amort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</row>
        <row r="865">
          <cell r="A865" t="str">
            <v>6232089910</v>
          </cell>
          <cell r="B865">
            <v>62320</v>
          </cell>
          <cell r="C865">
            <v>89910</v>
          </cell>
          <cell r="D865" t="str">
            <v>Depreciation</v>
          </cell>
          <cell r="E865">
            <v>0</v>
          </cell>
          <cell r="F865">
            <v>155461.73000000001</v>
          </cell>
          <cell r="G865">
            <v>-155461.73000000001</v>
          </cell>
          <cell r="H865">
            <v>969670.88</v>
          </cell>
          <cell r="I865">
            <v>969670.88</v>
          </cell>
          <cell r="J865">
            <v>0</v>
          </cell>
        </row>
        <row r="866">
          <cell r="A866" t="str">
            <v>6232089548</v>
          </cell>
          <cell r="B866">
            <v>62320</v>
          </cell>
          <cell r="C866">
            <v>89548</v>
          </cell>
          <cell r="D866" t="str">
            <v>Other Amortized Cost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6252641010</v>
          </cell>
          <cell r="B867">
            <v>62526</v>
          </cell>
          <cell r="C867">
            <v>41010</v>
          </cell>
          <cell r="D867" t="str">
            <v>Parking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6252641040</v>
          </cell>
          <cell r="B868">
            <v>62526</v>
          </cell>
          <cell r="C868">
            <v>41040</v>
          </cell>
          <cell r="D868" t="str">
            <v>Rental Income FAS 13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6252641050</v>
          </cell>
          <cell r="B869">
            <v>62526</v>
          </cell>
          <cell r="C869">
            <v>41050</v>
          </cell>
          <cell r="D869" t="str">
            <v>Rental Income - Fixed</v>
          </cell>
          <cell r="E869">
            <v>-259182</v>
          </cell>
          <cell r="F869">
            <v>-288625.06</v>
          </cell>
          <cell r="G869">
            <v>29443.06</v>
          </cell>
          <cell r="H869">
            <v>-1789624.49</v>
          </cell>
          <cell r="I869">
            <v>-1789624.49</v>
          </cell>
          <cell r="J869">
            <v>0</v>
          </cell>
        </row>
        <row r="870">
          <cell r="A870" t="str">
            <v>6252641074</v>
          </cell>
          <cell r="B870">
            <v>62526</v>
          </cell>
          <cell r="C870">
            <v>41074</v>
          </cell>
          <cell r="D870" t="str">
            <v>Rental Income - Percentage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6252641082</v>
          </cell>
          <cell r="B871">
            <v>62526</v>
          </cell>
          <cell r="C871">
            <v>41082</v>
          </cell>
          <cell r="D871" t="str">
            <v>Rental Income - Operating Exp</v>
          </cell>
          <cell r="E871">
            <v>-84787.54</v>
          </cell>
          <cell r="F871">
            <v>-110694.7</v>
          </cell>
          <cell r="G871">
            <v>25907.16</v>
          </cell>
          <cell r="H871">
            <v>-664168.19999999995</v>
          </cell>
          <cell r="I871">
            <v>-664168.19999999995</v>
          </cell>
          <cell r="J871">
            <v>0</v>
          </cell>
        </row>
        <row r="872">
          <cell r="A872" t="str">
            <v>6252644610</v>
          </cell>
          <cell r="B872">
            <v>62526</v>
          </cell>
          <cell r="C872">
            <v>44610</v>
          </cell>
          <cell r="D872" t="str">
            <v>Marketing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6252645071</v>
          </cell>
          <cell r="B873">
            <v>62526</v>
          </cell>
          <cell r="C873">
            <v>45071</v>
          </cell>
          <cell r="D873" t="str">
            <v>Termination Fee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6252645010</v>
          </cell>
          <cell r="B874">
            <v>62526</v>
          </cell>
          <cell r="C874">
            <v>45010</v>
          </cell>
          <cell r="D874" t="str">
            <v>Bad Debt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6252645046</v>
          </cell>
          <cell r="B875">
            <v>62526</v>
          </cell>
          <cell r="C875">
            <v>45046</v>
          </cell>
          <cell r="D875" t="str">
            <v>Mgmt/Consult Fee Income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6252645070</v>
          </cell>
          <cell r="B876">
            <v>62526</v>
          </cell>
          <cell r="C876">
            <v>45070</v>
          </cell>
          <cell r="D876" t="str">
            <v>Other Income</v>
          </cell>
          <cell r="E876">
            <v>-1297.1300000000001</v>
          </cell>
          <cell r="F876">
            <v>0</v>
          </cell>
          <cell r="G876">
            <v>-1297.1300000000001</v>
          </cell>
          <cell r="H876">
            <v>-61.8</v>
          </cell>
          <cell r="I876">
            <v>-61.8</v>
          </cell>
          <cell r="J876">
            <v>0</v>
          </cell>
        </row>
        <row r="877">
          <cell r="A877" t="str">
            <v>6252641060</v>
          </cell>
          <cell r="B877">
            <v>62526</v>
          </cell>
          <cell r="C877">
            <v>41060</v>
          </cell>
          <cell r="D877" t="str">
            <v>Rental Income - Vacancy</v>
          </cell>
          <cell r="E877">
            <v>0</v>
          </cell>
          <cell r="F877">
            <v>6133.34</v>
          </cell>
          <cell r="G877">
            <v>-6133.34</v>
          </cell>
          <cell r="H877">
            <v>36800</v>
          </cell>
          <cell r="I877">
            <v>36800</v>
          </cell>
          <cell r="J877">
            <v>0</v>
          </cell>
        </row>
        <row r="878">
          <cell r="A878" t="str">
            <v>6252644870</v>
          </cell>
          <cell r="B878">
            <v>62526</v>
          </cell>
          <cell r="C878">
            <v>44870</v>
          </cell>
          <cell r="D878" t="str">
            <v>Late Fees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6252652542</v>
          </cell>
          <cell r="B879">
            <v>62526</v>
          </cell>
          <cell r="C879">
            <v>52542</v>
          </cell>
          <cell r="D879" t="str">
            <v>Cost of Tenant Services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6252672710</v>
          </cell>
          <cell r="B880">
            <v>62526</v>
          </cell>
          <cell r="C880">
            <v>72710</v>
          </cell>
          <cell r="D880" t="str">
            <v>Utilities - Electricity</v>
          </cell>
          <cell r="E880">
            <v>4161.3999999999996</v>
          </cell>
          <cell r="F880">
            <v>5602.7</v>
          </cell>
          <cell r="G880">
            <v>-1441.3</v>
          </cell>
          <cell r="H880">
            <v>36075.870000000003</v>
          </cell>
          <cell r="I880">
            <v>36075.870000000003</v>
          </cell>
          <cell r="J880">
            <v>0</v>
          </cell>
        </row>
        <row r="881">
          <cell r="A881" t="str">
            <v>6252672740</v>
          </cell>
          <cell r="B881">
            <v>62526</v>
          </cell>
          <cell r="C881">
            <v>72740</v>
          </cell>
          <cell r="D881" t="str">
            <v>Utilities - Gas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6252672770</v>
          </cell>
          <cell r="B882">
            <v>62526</v>
          </cell>
          <cell r="C882">
            <v>72770</v>
          </cell>
          <cell r="D882" t="str">
            <v>Utilities - Water</v>
          </cell>
          <cell r="E882">
            <v>2667.82</v>
          </cell>
          <cell r="F882">
            <v>1774.61</v>
          </cell>
          <cell r="G882">
            <v>893.21</v>
          </cell>
          <cell r="H882">
            <v>9892.92</v>
          </cell>
          <cell r="I882">
            <v>9892.92</v>
          </cell>
          <cell r="J882">
            <v>0</v>
          </cell>
        </row>
        <row r="883">
          <cell r="A883" t="str">
            <v>6252676000</v>
          </cell>
          <cell r="B883">
            <v>62526</v>
          </cell>
          <cell r="C883">
            <v>76000</v>
          </cell>
          <cell r="D883" t="str">
            <v>Bldg Maintenance &amp; Repair</v>
          </cell>
          <cell r="E883">
            <v>6698.08</v>
          </cell>
          <cell r="F883">
            <v>4376.62</v>
          </cell>
          <cell r="G883">
            <v>2321.46</v>
          </cell>
          <cell r="H883">
            <v>47192.08</v>
          </cell>
          <cell r="I883">
            <v>47192.08</v>
          </cell>
          <cell r="J883">
            <v>0</v>
          </cell>
        </row>
        <row r="884">
          <cell r="A884" t="str">
            <v>6252676020</v>
          </cell>
          <cell r="B884">
            <v>62526</v>
          </cell>
          <cell r="C884">
            <v>76020</v>
          </cell>
          <cell r="D884" t="str">
            <v>Food Court Expense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6252676034</v>
          </cell>
          <cell r="B885">
            <v>62526</v>
          </cell>
          <cell r="C885">
            <v>76034</v>
          </cell>
          <cell r="D885" t="str">
            <v>Bldg. - General Repair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6252676050</v>
          </cell>
          <cell r="B886">
            <v>62526</v>
          </cell>
          <cell r="C886">
            <v>76050</v>
          </cell>
          <cell r="D886" t="str">
            <v>Cleaning Expense</v>
          </cell>
          <cell r="E886">
            <v>11415.88</v>
          </cell>
          <cell r="F886">
            <v>11985</v>
          </cell>
          <cell r="G886">
            <v>-569.12000000000103</v>
          </cell>
          <cell r="H886">
            <v>73798.12</v>
          </cell>
          <cell r="I886">
            <v>73798.12</v>
          </cell>
          <cell r="J886">
            <v>0</v>
          </cell>
        </row>
        <row r="887">
          <cell r="A887" t="str">
            <v>6252676056</v>
          </cell>
          <cell r="B887">
            <v>62526</v>
          </cell>
          <cell r="C887">
            <v>76056</v>
          </cell>
          <cell r="D887" t="str">
            <v>Maintenance - Reimb Reimaging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6252676070</v>
          </cell>
          <cell r="B888">
            <v>62526</v>
          </cell>
          <cell r="C888">
            <v>76070</v>
          </cell>
          <cell r="D888" t="str">
            <v>Reimaging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6252676091</v>
          </cell>
          <cell r="B889">
            <v>62526</v>
          </cell>
          <cell r="C889">
            <v>76091</v>
          </cell>
          <cell r="D889" t="str">
            <v>Parking Maintenance</v>
          </cell>
          <cell r="E889">
            <v>7435.17</v>
          </cell>
          <cell r="F889">
            <v>41143.64</v>
          </cell>
          <cell r="G889">
            <v>-33708.47</v>
          </cell>
          <cell r="H889">
            <v>90407.29</v>
          </cell>
          <cell r="I889">
            <v>90407.29</v>
          </cell>
          <cell r="J889">
            <v>0</v>
          </cell>
        </row>
        <row r="890">
          <cell r="A890" t="str">
            <v>6252677000</v>
          </cell>
          <cell r="B890">
            <v>62526</v>
          </cell>
          <cell r="C890">
            <v>77000</v>
          </cell>
          <cell r="D890" t="str">
            <v>Grounds Maintenance</v>
          </cell>
          <cell r="E890">
            <v>8960.1200000000008</v>
          </cell>
          <cell r="F890">
            <v>20313.099999999999</v>
          </cell>
          <cell r="G890">
            <v>-11352.98</v>
          </cell>
          <cell r="H890">
            <v>47531.49</v>
          </cell>
          <cell r="I890">
            <v>47531.49</v>
          </cell>
          <cell r="J890">
            <v>0</v>
          </cell>
        </row>
        <row r="891">
          <cell r="A891" t="str">
            <v>6252677053</v>
          </cell>
          <cell r="B891">
            <v>62526</v>
          </cell>
          <cell r="C891">
            <v>77053</v>
          </cell>
          <cell r="D891" t="str">
            <v>Landscaping</v>
          </cell>
          <cell r="E891">
            <v>6500</v>
          </cell>
          <cell r="F891">
            <v>8652.77</v>
          </cell>
          <cell r="G891">
            <v>-5402.77</v>
          </cell>
          <cell r="H891">
            <v>100977.44</v>
          </cell>
          <cell r="I891">
            <v>100977.44</v>
          </cell>
          <cell r="J891">
            <v>0</v>
          </cell>
        </row>
        <row r="892">
          <cell r="A892" t="str">
            <v>6252678020</v>
          </cell>
          <cell r="B892">
            <v>62526</v>
          </cell>
          <cell r="C892">
            <v>78020</v>
          </cell>
          <cell r="D892" t="str">
            <v>Amortized CAM Exp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</row>
        <row r="893">
          <cell r="A893" t="str">
            <v>6252684264</v>
          </cell>
          <cell r="B893">
            <v>62526</v>
          </cell>
          <cell r="C893">
            <v>84264</v>
          </cell>
          <cell r="D893" t="str">
            <v>Mktg-Tenant Relations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6252685555</v>
          </cell>
          <cell r="B894">
            <v>62526</v>
          </cell>
          <cell r="C894">
            <v>85555</v>
          </cell>
          <cell r="D894" t="str">
            <v>Management Fee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6252685584</v>
          </cell>
          <cell r="B895">
            <v>62526</v>
          </cell>
          <cell r="C895">
            <v>85584</v>
          </cell>
          <cell r="D895" t="str">
            <v>Bldg Admin-Office Costs</v>
          </cell>
          <cell r="E895">
            <v>932.78</v>
          </cell>
          <cell r="F895">
            <v>932.84</v>
          </cell>
          <cell r="G895">
            <v>-6.0000000000059103E-2</v>
          </cell>
          <cell r="H895">
            <v>5597</v>
          </cell>
          <cell r="I895">
            <v>5597</v>
          </cell>
          <cell r="J895">
            <v>0</v>
          </cell>
        </row>
        <row r="896">
          <cell r="A896" t="str">
            <v>6252685582</v>
          </cell>
          <cell r="B896">
            <v>62526</v>
          </cell>
          <cell r="C896">
            <v>85582</v>
          </cell>
          <cell r="D896" t="str">
            <v>Bldg Admin-Salaries</v>
          </cell>
          <cell r="E896">
            <v>5398.56</v>
          </cell>
          <cell r="F896">
            <v>5399</v>
          </cell>
          <cell r="G896">
            <v>-0.43999999999959999</v>
          </cell>
          <cell r="H896">
            <v>34548</v>
          </cell>
          <cell r="I896">
            <v>34548</v>
          </cell>
          <cell r="J896">
            <v>0</v>
          </cell>
        </row>
        <row r="897">
          <cell r="A897" t="str">
            <v>6252686564</v>
          </cell>
          <cell r="B897">
            <v>62526</v>
          </cell>
          <cell r="C897">
            <v>86564</v>
          </cell>
          <cell r="D897" t="str">
            <v>Insurance</v>
          </cell>
          <cell r="E897">
            <v>3359</v>
          </cell>
          <cell r="F897">
            <v>3358.66</v>
          </cell>
          <cell r="G897">
            <v>0.34000000000014602</v>
          </cell>
          <cell r="H897">
            <v>20152</v>
          </cell>
          <cell r="I897">
            <v>20152</v>
          </cell>
          <cell r="J897">
            <v>0</v>
          </cell>
        </row>
        <row r="898">
          <cell r="A898" t="str">
            <v>6252688846</v>
          </cell>
          <cell r="B898">
            <v>62526</v>
          </cell>
          <cell r="C898">
            <v>88846</v>
          </cell>
          <cell r="D898" t="str">
            <v>Expenses -Other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6252688890</v>
          </cell>
          <cell r="B899">
            <v>62526</v>
          </cell>
          <cell r="C899">
            <v>88890</v>
          </cell>
          <cell r="D899" t="str">
            <v>Security/Safety</v>
          </cell>
          <cell r="E899">
            <v>1763.54</v>
          </cell>
          <cell r="F899">
            <v>1666.66</v>
          </cell>
          <cell r="G899">
            <v>96.879999999999896</v>
          </cell>
          <cell r="H899">
            <v>10000</v>
          </cell>
          <cell r="I899">
            <v>10000</v>
          </cell>
          <cell r="J899">
            <v>0</v>
          </cell>
        </row>
        <row r="900">
          <cell r="A900" t="str">
            <v>6252689775</v>
          </cell>
          <cell r="B900">
            <v>62526</v>
          </cell>
          <cell r="C900">
            <v>89775</v>
          </cell>
          <cell r="D900" t="str">
            <v>Assmt Dist Taxes- Reimb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6252689729</v>
          </cell>
          <cell r="B901">
            <v>62526</v>
          </cell>
          <cell r="C901">
            <v>89729</v>
          </cell>
          <cell r="D901" t="str">
            <v>Taxes - Miscellaneous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6252689786</v>
          </cell>
          <cell r="B902">
            <v>62526</v>
          </cell>
          <cell r="C902">
            <v>89786</v>
          </cell>
          <cell r="D902" t="str">
            <v>Property Tax Exp</v>
          </cell>
          <cell r="E902">
            <v>20273.16</v>
          </cell>
          <cell r="F902">
            <v>20273.16</v>
          </cell>
          <cell r="G902">
            <v>0</v>
          </cell>
          <cell r="H902">
            <v>121639</v>
          </cell>
          <cell r="I902">
            <v>121639</v>
          </cell>
          <cell r="J902">
            <v>0</v>
          </cell>
        </row>
        <row r="903">
          <cell r="A903" t="str">
            <v>6252671040</v>
          </cell>
          <cell r="B903">
            <v>62526</v>
          </cell>
          <cell r="C903">
            <v>71040</v>
          </cell>
          <cell r="D903" t="str">
            <v>Office Supplies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6252672701</v>
          </cell>
          <cell r="B904">
            <v>62526</v>
          </cell>
          <cell r="C904">
            <v>72701</v>
          </cell>
          <cell r="D904" t="str">
            <v>Utilities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6252672855</v>
          </cell>
          <cell r="B905">
            <v>62526</v>
          </cell>
          <cell r="C905">
            <v>72855</v>
          </cell>
          <cell r="D905" t="str">
            <v>Rent Expense-Ground</v>
          </cell>
          <cell r="E905">
            <v>58333.34</v>
          </cell>
          <cell r="F905">
            <v>58333.34</v>
          </cell>
          <cell r="G905">
            <v>0</v>
          </cell>
          <cell r="H905">
            <v>350000</v>
          </cell>
          <cell r="I905">
            <v>350000</v>
          </cell>
          <cell r="J905">
            <v>0</v>
          </cell>
        </row>
        <row r="906">
          <cell r="A906" t="str">
            <v>6252672870</v>
          </cell>
          <cell r="B906">
            <v>62526</v>
          </cell>
          <cell r="C906">
            <v>72870</v>
          </cell>
          <cell r="D906" t="str">
            <v>Office Rent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6252676010</v>
          </cell>
          <cell r="B907">
            <v>62526</v>
          </cell>
          <cell r="C907">
            <v>76010</v>
          </cell>
          <cell r="D907" t="str">
            <v>Tenant Alterations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6252676040</v>
          </cell>
          <cell r="B908">
            <v>62526</v>
          </cell>
          <cell r="C908">
            <v>76040</v>
          </cell>
          <cell r="D908" t="str">
            <v>HVAC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6252676051</v>
          </cell>
          <cell r="B909">
            <v>62526</v>
          </cell>
          <cell r="C909">
            <v>76051</v>
          </cell>
          <cell r="D909" t="str">
            <v>Cleaning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6252676054</v>
          </cell>
          <cell r="B910">
            <v>62526</v>
          </cell>
          <cell r="C910">
            <v>76054</v>
          </cell>
          <cell r="D910" t="str">
            <v>Bldg Maintenance &amp; Repair</v>
          </cell>
          <cell r="E910">
            <v>0</v>
          </cell>
          <cell r="F910">
            <v>0</v>
          </cell>
          <cell r="G910">
            <v>0</v>
          </cell>
          <cell r="H910">
            <v>541.86</v>
          </cell>
          <cell r="I910">
            <v>541.86</v>
          </cell>
          <cell r="J910">
            <v>0</v>
          </cell>
        </row>
        <row r="911">
          <cell r="A911" t="str">
            <v>6252676060</v>
          </cell>
          <cell r="B911">
            <v>62526</v>
          </cell>
          <cell r="C911">
            <v>76060</v>
          </cell>
          <cell r="D911" t="str">
            <v>Asbestos Abatement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6252676071</v>
          </cell>
          <cell r="B912">
            <v>62526</v>
          </cell>
          <cell r="C912">
            <v>76071</v>
          </cell>
          <cell r="D912" t="str">
            <v>Reimaging Maintenance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6252676090</v>
          </cell>
          <cell r="B913">
            <v>62526</v>
          </cell>
          <cell r="C913">
            <v>76090</v>
          </cell>
          <cell r="D913" t="str">
            <v>Parking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6252677001</v>
          </cell>
          <cell r="B914">
            <v>62526</v>
          </cell>
          <cell r="C914">
            <v>77001</v>
          </cell>
          <cell r="D914" t="str">
            <v>Grounds Maintenance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6252677022</v>
          </cell>
          <cell r="B915">
            <v>62526</v>
          </cell>
          <cell r="C915">
            <v>77022</v>
          </cell>
          <cell r="D915" t="str">
            <v>Landscaping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6252684200</v>
          </cell>
          <cell r="B916">
            <v>62526</v>
          </cell>
          <cell r="C916">
            <v>84200</v>
          </cell>
          <cell r="D916" t="str">
            <v>Marketing-Other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6252684240</v>
          </cell>
          <cell r="B917">
            <v>62526</v>
          </cell>
          <cell r="C917">
            <v>84240</v>
          </cell>
          <cell r="D917" t="str">
            <v>Marketing Leasing</v>
          </cell>
          <cell r="E917">
            <v>2369.36</v>
          </cell>
          <cell r="F917">
            <v>2572.16</v>
          </cell>
          <cell r="G917">
            <v>-202.8</v>
          </cell>
          <cell r="H917">
            <v>16280.3</v>
          </cell>
          <cell r="I917">
            <v>16280.3</v>
          </cell>
          <cell r="J917">
            <v>0</v>
          </cell>
        </row>
        <row r="918">
          <cell r="A918" t="str">
            <v>6252684242</v>
          </cell>
          <cell r="B918">
            <v>62526</v>
          </cell>
          <cell r="C918">
            <v>84242</v>
          </cell>
          <cell r="D918" t="str">
            <v>Marketing-Subsidy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6252684243</v>
          </cell>
          <cell r="B919">
            <v>62526</v>
          </cell>
          <cell r="C919">
            <v>84243</v>
          </cell>
          <cell r="D919" t="str">
            <v>Marketing Coordination</v>
          </cell>
          <cell r="E919">
            <v>0</v>
          </cell>
          <cell r="F919">
            <v>0</v>
          </cell>
          <cell r="G919">
            <v>0</v>
          </cell>
          <cell r="H919">
            <v>-12897</v>
          </cell>
          <cell r="I919">
            <v>-12897</v>
          </cell>
          <cell r="J919">
            <v>0</v>
          </cell>
        </row>
        <row r="920">
          <cell r="A920" t="str">
            <v>6252684244</v>
          </cell>
          <cell r="B920">
            <v>62526</v>
          </cell>
          <cell r="C920">
            <v>84244</v>
          </cell>
          <cell r="D920" t="str">
            <v>Marketing-Net Required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6252684265</v>
          </cell>
          <cell r="B921">
            <v>62526</v>
          </cell>
          <cell r="C921">
            <v>84265</v>
          </cell>
          <cell r="D921" t="str">
            <v>Marketing -TR-Non-Reimb.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6252688037</v>
          </cell>
          <cell r="B922">
            <v>62526</v>
          </cell>
          <cell r="C922">
            <v>88037</v>
          </cell>
          <cell r="D922" t="str">
            <v>Marketing - Leasing Office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</row>
        <row r="923">
          <cell r="A923" t="str">
            <v>6252685016</v>
          </cell>
          <cell r="B923">
            <v>62526</v>
          </cell>
          <cell r="C923">
            <v>85016</v>
          </cell>
          <cell r="D923" t="str">
            <v>Prof Svc-Attorney Outside</v>
          </cell>
          <cell r="E923">
            <v>320.5</v>
          </cell>
          <cell r="F923">
            <v>0</v>
          </cell>
          <cell r="G923">
            <v>320.5</v>
          </cell>
          <cell r="H923">
            <v>515</v>
          </cell>
          <cell r="I923">
            <v>515</v>
          </cell>
          <cell r="J923">
            <v>0</v>
          </cell>
        </row>
        <row r="924">
          <cell r="A924" t="str">
            <v>6252685022</v>
          </cell>
          <cell r="B924">
            <v>62526</v>
          </cell>
          <cell r="C924">
            <v>85022</v>
          </cell>
          <cell r="D924" t="str">
            <v>Prof Svc-Audit/Acctng</v>
          </cell>
          <cell r="E924">
            <v>0</v>
          </cell>
          <cell r="F924">
            <v>0</v>
          </cell>
          <cell r="G924">
            <v>0</v>
          </cell>
          <cell r="H924">
            <v>1943.97</v>
          </cell>
          <cell r="I924">
            <v>1943.97</v>
          </cell>
          <cell r="J924">
            <v>0</v>
          </cell>
        </row>
        <row r="925">
          <cell r="A925" t="str">
            <v>6252685065</v>
          </cell>
          <cell r="B925">
            <v>62526</v>
          </cell>
          <cell r="C925">
            <v>85065</v>
          </cell>
          <cell r="D925" t="str">
            <v>Professional Services Other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</row>
        <row r="926">
          <cell r="A926" t="str">
            <v>6252685500</v>
          </cell>
          <cell r="B926">
            <v>62526</v>
          </cell>
          <cell r="C926">
            <v>85500</v>
          </cell>
          <cell r="D926" t="str">
            <v>Consulting Services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</row>
        <row r="927">
          <cell r="A927" t="str">
            <v>6252685566</v>
          </cell>
          <cell r="B927">
            <v>62526</v>
          </cell>
          <cell r="C927">
            <v>85566</v>
          </cell>
          <cell r="D927" t="str">
            <v>Management Fee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</row>
        <row r="928">
          <cell r="A928" t="str">
            <v>6252685581</v>
          </cell>
          <cell r="B928">
            <v>62526</v>
          </cell>
          <cell r="C928">
            <v>85581</v>
          </cell>
          <cell r="D928" t="str">
            <v>Bldg Admin- Salaries</v>
          </cell>
          <cell r="E928">
            <v>5559.65</v>
          </cell>
          <cell r="F928">
            <v>5559.84</v>
          </cell>
          <cell r="G928">
            <v>-0.19000000000050901</v>
          </cell>
          <cell r="H928">
            <v>34638.199999999997</v>
          </cell>
          <cell r="I928">
            <v>34638.199999999997</v>
          </cell>
          <cell r="J928">
            <v>0</v>
          </cell>
        </row>
        <row r="929">
          <cell r="A929" t="str">
            <v>6252685583</v>
          </cell>
          <cell r="B929">
            <v>62526</v>
          </cell>
          <cell r="C929">
            <v>85583</v>
          </cell>
          <cell r="D929" t="str">
            <v>Bldg Admin-Office Exp.</v>
          </cell>
          <cell r="E929">
            <v>64.650000000000006</v>
          </cell>
          <cell r="F929">
            <v>0</v>
          </cell>
          <cell r="G929">
            <v>64.650000000000006</v>
          </cell>
          <cell r="H929">
            <v>0</v>
          </cell>
          <cell r="I929">
            <v>0</v>
          </cell>
          <cell r="J929">
            <v>0</v>
          </cell>
        </row>
        <row r="930">
          <cell r="A930" t="str">
            <v>6252685530</v>
          </cell>
          <cell r="B930">
            <v>62526</v>
          </cell>
          <cell r="C930">
            <v>85530</v>
          </cell>
          <cell r="D930" t="str">
            <v>Bldg Admin - Office Exp</v>
          </cell>
          <cell r="E930">
            <v>64.650000000000006</v>
          </cell>
          <cell r="F930">
            <v>0</v>
          </cell>
          <cell r="G930">
            <v>64.650000000000006</v>
          </cell>
          <cell r="H930">
            <v>0</v>
          </cell>
          <cell r="I930">
            <v>0</v>
          </cell>
          <cell r="J930">
            <v>0</v>
          </cell>
        </row>
        <row r="931">
          <cell r="A931" t="str">
            <v>6252686012</v>
          </cell>
          <cell r="B931">
            <v>62526</v>
          </cell>
          <cell r="C931">
            <v>86012</v>
          </cell>
          <cell r="D931" t="str">
            <v>Regional Employee Parking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</row>
        <row r="932">
          <cell r="A932" t="str">
            <v>6252686037</v>
          </cell>
          <cell r="B932">
            <v>62526</v>
          </cell>
          <cell r="C932">
            <v>86037</v>
          </cell>
          <cell r="D932" t="str">
            <v>Travel &amp; Entertainment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</row>
        <row r="933">
          <cell r="A933" t="str">
            <v>6252683050</v>
          </cell>
          <cell r="B933">
            <v>62526</v>
          </cell>
          <cell r="C933">
            <v>83050</v>
          </cell>
          <cell r="D933" t="str">
            <v>Regional Employee Travel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</row>
        <row r="934">
          <cell r="A934" t="str">
            <v>6252686510</v>
          </cell>
          <cell r="B934">
            <v>62526</v>
          </cell>
          <cell r="C934">
            <v>86510</v>
          </cell>
          <cell r="D934" t="str">
            <v>Leasing Admin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</row>
        <row r="935">
          <cell r="A935" t="str">
            <v>6252686537</v>
          </cell>
          <cell r="B935">
            <v>62526</v>
          </cell>
          <cell r="C935">
            <v>86537</v>
          </cell>
          <cell r="D935" t="str">
            <v>Fees-Credit Reports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</row>
        <row r="936">
          <cell r="A936" t="str">
            <v>6252686566</v>
          </cell>
          <cell r="B936">
            <v>62526</v>
          </cell>
          <cell r="C936">
            <v>86566</v>
          </cell>
          <cell r="D936" t="str">
            <v>Insurance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</row>
        <row r="937">
          <cell r="A937" t="str">
            <v>6252686955</v>
          </cell>
          <cell r="B937">
            <v>62526</v>
          </cell>
          <cell r="C937">
            <v>86955</v>
          </cell>
          <cell r="D937" t="str">
            <v>Regional Temporary Labor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</row>
        <row r="938">
          <cell r="A938" t="str">
            <v>6252686985</v>
          </cell>
          <cell r="B938">
            <v>62526</v>
          </cell>
          <cell r="C938">
            <v>86985</v>
          </cell>
          <cell r="D938" t="str">
            <v>Purchased Svcs _ Other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</row>
        <row r="939">
          <cell r="A939" t="str">
            <v>6252686880</v>
          </cell>
          <cell r="B939">
            <v>62526</v>
          </cell>
          <cell r="C939">
            <v>86880</v>
          </cell>
          <cell r="D939" t="str">
            <v>Telephone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</row>
        <row r="940">
          <cell r="A940" t="str">
            <v>6252688710</v>
          </cell>
          <cell r="B940">
            <v>62526</v>
          </cell>
          <cell r="C940">
            <v>88710</v>
          </cell>
          <cell r="D940" t="str">
            <v>Losses-Bad Debts</v>
          </cell>
          <cell r="E940">
            <v>0</v>
          </cell>
          <cell r="F940">
            <v>0.16</v>
          </cell>
          <cell r="G940">
            <v>-0.16</v>
          </cell>
          <cell r="H940">
            <v>36800.639999999999</v>
          </cell>
          <cell r="I940">
            <v>36800.639999999999</v>
          </cell>
          <cell r="J940">
            <v>0</v>
          </cell>
        </row>
        <row r="941">
          <cell r="A941" t="str">
            <v>6252688711</v>
          </cell>
          <cell r="B941">
            <v>62526</v>
          </cell>
          <cell r="C941">
            <v>88711</v>
          </cell>
          <cell r="D941" t="str">
            <v>Losses-Bad Debts- FASB 13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</row>
        <row r="942">
          <cell r="A942" t="str">
            <v>6252688785</v>
          </cell>
          <cell r="B942">
            <v>62526</v>
          </cell>
          <cell r="C942">
            <v>88785</v>
          </cell>
          <cell r="D942" t="str">
            <v>Losses-Uninsured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</row>
        <row r="943">
          <cell r="A943" t="str">
            <v>6252688847</v>
          </cell>
          <cell r="B943">
            <v>62526</v>
          </cell>
          <cell r="C943">
            <v>88847</v>
          </cell>
          <cell r="D943" t="str">
            <v>Expenses - Other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</row>
        <row r="944">
          <cell r="A944" t="str">
            <v>6252688866</v>
          </cell>
          <cell r="B944">
            <v>62526</v>
          </cell>
          <cell r="C944">
            <v>88866</v>
          </cell>
          <cell r="D944" t="str">
            <v>Legal Settlements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</row>
        <row r="945">
          <cell r="A945" t="str">
            <v>6252688870</v>
          </cell>
          <cell r="B945">
            <v>62526</v>
          </cell>
          <cell r="C945">
            <v>88870</v>
          </cell>
          <cell r="D945" t="str">
            <v>Backside Dist-O/S Partner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</row>
        <row r="946">
          <cell r="A946" t="str">
            <v>6252688889</v>
          </cell>
          <cell r="B946">
            <v>62526</v>
          </cell>
          <cell r="C946">
            <v>88889</v>
          </cell>
          <cell r="D946" t="str">
            <v>Security/Safety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</row>
        <row r="947">
          <cell r="A947" t="str">
            <v>6252689776</v>
          </cell>
          <cell r="B947">
            <v>62526</v>
          </cell>
          <cell r="C947">
            <v>89776</v>
          </cell>
          <cell r="D947" t="str">
            <v>Assmt Dist Taxes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</row>
        <row r="948">
          <cell r="A948" t="str">
            <v>6252689787</v>
          </cell>
          <cell r="B948">
            <v>62526</v>
          </cell>
          <cell r="C948">
            <v>89787</v>
          </cell>
          <cell r="D948" t="str">
            <v>Property Tax Exp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</row>
        <row r="949">
          <cell r="A949" t="str">
            <v>6252689510</v>
          </cell>
          <cell r="B949">
            <v>62526</v>
          </cell>
          <cell r="C949">
            <v>89510</v>
          </cell>
          <cell r="D949" t="str">
            <v>Interest Expense - General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</row>
        <row r="950">
          <cell r="A950" t="str">
            <v>6252689511</v>
          </cell>
          <cell r="B950">
            <v>62526</v>
          </cell>
          <cell r="C950">
            <v>89511</v>
          </cell>
          <cell r="D950" t="str">
            <v>Interest Expense - Swap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</row>
        <row r="951">
          <cell r="A951" t="str">
            <v>6252689512</v>
          </cell>
          <cell r="B951">
            <v>62526</v>
          </cell>
          <cell r="C951">
            <v>89512</v>
          </cell>
          <cell r="D951" t="str">
            <v>Interest Expense - Accrual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</row>
        <row r="952">
          <cell r="A952" t="str">
            <v>6252689528</v>
          </cell>
          <cell r="B952">
            <v>62526</v>
          </cell>
          <cell r="C952">
            <v>89528</v>
          </cell>
          <cell r="D952" t="str">
            <v>Interest Expense - Loan Fees-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</row>
        <row r="953">
          <cell r="A953" t="str">
            <v>6252689529</v>
          </cell>
          <cell r="B953">
            <v>62526</v>
          </cell>
          <cell r="C953">
            <v>89529</v>
          </cell>
          <cell r="D953" t="str">
            <v>Interest Expense - Loan Fee A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6252689567</v>
          </cell>
          <cell r="B954">
            <v>62526</v>
          </cell>
          <cell r="C954">
            <v>89567</v>
          </cell>
          <cell r="D954" t="str">
            <v>Interest Expense - TIC/Partne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6252685058</v>
          </cell>
          <cell r="B955">
            <v>62526</v>
          </cell>
          <cell r="C955">
            <v>85058</v>
          </cell>
          <cell r="D955" t="str">
            <v>Legal Fee Amort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6252686513</v>
          </cell>
          <cell r="B956">
            <v>62526</v>
          </cell>
          <cell r="C956">
            <v>86513</v>
          </cell>
          <cell r="D956" t="str">
            <v>Leasing Commission Amort</v>
          </cell>
          <cell r="E956">
            <v>0</v>
          </cell>
          <cell r="F956">
            <v>861.36</v>
          </cell>
          <cell r="G956">
            <v>-861.36</v>
          </cell>
          <cell r="H956">
            <v>5245.62</v>
          </cell>
          <cell r="I956">
            <v>5245.62</v>
          </cell>
          <cell r="J956">
            <v>0</v>
          </cell>
        </row>
        <row r="957">
          <cell r="A957" t="str">
            <v>6252686519</v>
          </cell>
          <cell r="B957">
            <v>62526</v>
          </cell>
          <cell r="C957">
            <v>86519</v>
          </cell>
          <cell r="D957" t="str">
            <v>Fees-Appraisal Amort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6252688770</v>
          </cell>
          <cell r="B958">
            <v>62526</v>
          </cell>
          <cell r="C958">
            <v>88770</v>
          </cell>
          <cell r="D958" t="str">
            <v>Losses-Prop Abandon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6252688862</v>
          </cell>
          <cell r="B959">
            <v>62526</v>
          </cell>
          <cell r="C959">
            <v>88862</v>
          </cell>
          <cell r="D959" t="str">
            <v>Lease Buy-Out Amort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6252688874</v>
          </cell>
          <cell r="B960">
            <v>62526</v>
          </cell>
          <cell r="C960">
            <v>88874</v>
          </cell>
          <cell r="D960" t="str">
            <v>Organization Cost Amort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6252689910</v>
          </cell>
          <cell r="B961">
            <v>62526</v>
          </cell>
          <cell r="C961">
            <v>89910</v>
          </cell>
          <cell r="D961" t="str">
            <v>Depreciation</v>
          </cell>
          <cell r="E961">
            <v>0</v>
          </cell>
          <cell r="F961">
            <v>45784.41</v>
          </cell>
          <cell r="G961">
            <v>-45784.41</v>
          </cell>
          <cell r="H961">
            <v>274706.71000000002</v>
          </cell>
          <cell r="I961">
            <v>274706.71000000002</v>
          </cell>
          <cell r="J961">
            <v>0</v>
          </cell>
        </row>
        <row r="962">
          <cell r="B962">
            <v>62526</v>
          </cell>
          <cell r="C962">
            <v>89548</v>
          </cell>
          <cell r="D962" t="str">
            <v>Other Amortized Cost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</row>
        <row r="963">
          <cell r="C963">
            <v>89548</v>
          </cell>
          <cell r="D963" t="str">
            <v>Other Amortized Cost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1"/>
      <sheetName val="TMP2"/>
      <sheetName val="TMP3"/>
      <sheetName val="variance"/>
    </sheetNames>
    <sheetDataSet>
      <sheetData sheetId="0"/>
      <sheetData sheetId="1"/>
      <sheetData sheetId="2"/>
      <sheetData sheetId="3" refreshError="1">
        <row r="2">
          <cell r="A2" t="str">
            <v>6219741010</v>
          </cell>
          <cell r="B2">
            <v>62197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 t="str">
            <v xml:space="preserve"> </v>
          </cell>
          <cell r="I2">
            <v>0</v>
          </cell>
          <cell r="J2">
            <v>0</v>
          </cell>
        </row>
        <row r="3">
          <cell r="A3" t="str">
            <v>6219741040</v>
          </cell>
          <cell r="B3">
            <v>62197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 t="str">
            <v xml:space="preserve"> </v>
          </cell>
          <cell r="I3">
            <v>0</v>
          </cell>
          <cell r="J3">
            <v>0</v>
          </cell>
        </row>
        <row r="4">
          <cell r="A4" t="str">
            <v>6219741050</v>
          </cell>
          <cell r="B4">
            <v>62197</v>
          </cell>
          <cell r="C4">
            <v>41050</v>
          </cell>
          <cell r="D4" t="str">
            <v>Rental Income - Fixed</v>
          </cell>
          <cell r="E4">
            <v>-1429098.51</v>
          </cell>
          <cell r="F4">
            <v>-1445395.03</v>
          </cell>
          <cell r="G4">
            <v>16296.52</v>
          </cell>
          <cell r="H4" t="str">
            <v xml:space="preserve"> </v>
          </cell>
          <cell r="I4">
            <v>-4536471.82</v>
          </cell>
          <cell r="J4">
            <v>-4536471.82</v>
          </cell>
        </row>
        <row r="5">
          <cell r="A5" t="str">
            <v>6219741074</v>
          </cell>
          <cell r="B5">
            <v>62197</v>
          </cell>
          <cell r="C5">
            <v>41074</v>
          </cell>
          <cell r="D5" t="str">
            <v>Rental Income - Percentage</v>
          </cell>
          <cell r="E5">
            <v>-15231</v>
          </cell>
          <cell r="F5">
            <v>-17724</v>
          </cell>
          <cell r="G5">
            <v>2493</v>
          </cell>
          <cell r="H5" t="str">
            <v xml:space="preserve"> </v>
          </cell>
          <cell r="I5">
            <v>-53172</v>
          </cell>
          <cell r="J5">
            <v>-53172</v>
          </cell>
        </row>
        <row r="6">
          <cell r="A6" t="str">
            <v>6219741082</v>
          </cell>
          <cell r="B6">
            <v>62197</v>
          </cell>
          <cell r="C6">
            <v>41082</v>
          </cell>
          <cell r="D6" t="str">
            <v>Rental Income - Operating Exp</v>
          </cell>
          <cell r="E6">
            <v>-388168.49</v>
          </cell>
          <cell r="F6">
            <v>-507430.96</v>
          </cell>
          <cell r="G6">
            <v>119262.47</v>
          </cell>
          <cell r="H6" t="str">
            <v xml:space="preserve"> </v>
          </cell>
          <cell r="I6">
            <v>-1522292.88</v>
          </cell>
          <cell r="J6">
            <v>-1522292.88</v>
          </cell>
        </row>
        <row r="7">
          <cell r="A7" t="str">
            <v>6219744610</v>
          </cell>
          <cell r="B7">
            <v>62197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 t="str">
            <v xml:space="preserve"> </v>
          </cell>
          <cell r="I7">
            <v>0</v>
          </cell>
          <cell r="J7">
            <v>0</v>
          </cell>
        </row>
        <row r="8">
          <cell r="A8" t="str">
            <v>6219745071</v>
          </cell>
          <cell r="B8">
            <v>62197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 t="str">
            <v xml:space="preserve"> </v>
          </cell>
          <cell r="I8">
            <v>0</v>
          </cell>
          <cell r="J8">
            <v>0</v>
          </cell>
        </row>
        <row r="9">
          <cell r="A9" t="str">
            <v>6219745010</v>
          </cell>
          <cell r="B9">
            <v>62197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 t="str">
            <v xml:space="preserve"> </v>
          </cell>
          <cell r="I9">
            <v>0</v>
          </cell>
          <cell r="J9">
            <v>0</v>
          </cell>
        </row>
        <row r="10">
          <cell r="A10" t="str">
            <v>6219745046</v>
          </cell>
          <cell r="B10">
            <v>62197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 t="str">
            <v xml:space="preserve"> </v>
          </cell>
          <cell r="I10">
            <v>0</v>
          </cell>
          <cell r="J10">
            <v>0</v>
          </cell>
        </row>
        <row r="11">
          <cell r="A11" t="str">
            <v>6219745070</v>
          </cell>
          <cell r="B11">
            <v>62197</v>
          </cell>
          <cell r="C11">
            <v>45070</v>
          </cell>
          <cell r="D11" t="str">
            <v>Other Income</v>
          </cell>
          <cell r="E11">
            <v>-54475.57</v>
          </cell>
          <cell r="F11">
            <v>-19018.400000000001</v>
          </cell>
          <cell r="G11">
            <v>-35457.17</v>
          </cell>
          <cell r="H11" t="str">
            <v xml:space="preserve"> </v>
          </cell>
          <cell r="I11">
            <v>-22072.07</v>
          </cell>
          <cell r="J11">
            <v>-22072.07</v>
          </cell>
        </row>
        <row r="12">
          <cell r="A12" t="str">
            <v>6219741060</v>
          </cell>
          <cell r="B12">
            <v>62197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130560</v>
          </cell>
          <cell r="G12">
            <v>-130560</v>
          </cell>
          <cell r="H12" t="str">
            <v xml:space="preserve"> </v>
          </cell>
          <cell r="I12">
            <v>391680</v>
          </cell>
          <cell r="J12">
            <v>391680</v>
          </cell>
        </row>
        <row r="13">
          <cell r="A13" t="str">
            <v>6219744870</v>
          </cell>
          <cell r="B13">
            <v>62197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 t="str">
            <v xml:space="preserve"> </v>
          </cell>
          <cell r="I13">
            <v>-750</v>
          </cell>
          <cell r="J13">
            <v>-750</v>
          </cell>
        </row>
        <row r="14">
          <cell r="A14" t="str">
            <v>6219752542</v>
          </cell>
          <cell r="B14">
            <v>62197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 t="str">
            <v xml:space="preserve"> </v>
          </cell>
          <cell r="I14">
            <v>0</v>
          </cell>
          <cell r="J14">
            <v>0</v>
          </cell>
        </row>
        <row r="15">
          <cell r="A15" t="str">
            <v>6219772710</v>
          </cell>
          <cell r="B15">
            <v>62197</v>
          </cell>
          <cell r="C15">
            <v>72710</v>
          </cell>
          <cell r="D15" t="str">
            <v>Utilities - Electricity</v>
          </cell>
          <cell r="E15">
            <v>9128.92</v>
          </cell>
          <cell r="F15">
            <v>16164.77</v>
          </cell>
          <cell r="G15">
            <v>-7035.85</v>
          </cell>
          <cell r="H15" t="str">
            <v xml:space="preserve"> </v>
          </cell>
          <cell r="I15">
            <v>61652.97</v>
          </cell>
          <cell r="J15">
            <v>61652.97</v>
          </cell>
        </row>
        <row r="16">
          <cell r="A16" t="str">
            <v>6219772740</v>
          </cell>
          <cell r="B16">
            <v>62197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 t="str">
            <v xml:space="preserve"> </v>
          </cell>
          <cell r="I16">
            <v>0</v>
          </cell>
          <cell r="J16">
            <v>0</v>
          </cell>
        </row>
        <row r="17">
          <cell r="A17" t="str">
            <v>6219772770</v>
          </cell>
          <cell r="B17">
            <v>62197</v>
          </cell>
          <cell r="C17">
            <v>72770</v>
          </cell>
          <cell r="D17" t="str">
            <v>Utilities - Water</v>
          </cell>
          <cell r="E17">
            <v>7024.73</v>
          </cell>
          <cell r="F17">
            <v>7833.8</v>
          </cell>
          <cell r="G17">
            <v>-809.07000000000096</v>
          </cell>
          <cell r="H17" t="str">
            <v xml:space="preserve"> </v>
          </cell>
          <cell r="I17">
            <v>23078.89</v>
          </cell>
          <cell r="J17">
            <v>23078.89</v>
          </cell>
        </row>
        <row r="18">
          <cell r="A18" t="str">
            <v>6219776000</v>
          </cell>
          <cell r="B18">
            <v>62197</v>
          </cell>
          <cell r="C18">
            <v>76000</v>
          </cell>
          <cell r="D18" t="str">
            <v>Bldg Maintenance &amp; Repair</v>
          </cell>
          <cell r="E18">
            <v>14807.55</v>
          </cell>
          <cell r="F18">
            <v>20218.669999999998</v>
          </cell>
          <cell r="G18">
            <v>-5411.12</v>
          </cell>
          <cell r="H18" t="str">
            <v xml:space="preserve"> </v>
          </cell>
          <cell r="I18">
            <v>93635.76</v>
          </cell>
          <cell r="J18">
            <v>93635.76</v>
          </cell>
        </row>
        <row r="19">
          <cell r="A19" t="str">
            <v>6219776020</v>
          </cell>
          <cell r="B19">
            <v>62197</v>
          </cell>
          <cell r="C19">
            <v>76020</v>
          </cell>
          <cell r="D19" t="str">
            <v>Food Court Expense</v>
          </cell>
          <cell r="E19">
            <v>3168</v>
          </cell>
          <cell r="F19">
            <v>7185.28</v>
          </cell>
          <cell r="G19">
            <v>-4017.28</v>
          </cell>
          <cell r="H19" t="str">
            <v xml:space="preserve"> </v>
          </cell>
          <cell r="I19">
            <v>20340.439999999999</v>
          </cell>
          <cell r="J19">
            <v>20340.439999999999</v>
          </cell>
        </row>
        <row r="20">
          <cell r="A20" t="str">
            <v>6219776034</v>
          </cell>
          <cell r="B20">
            <v>62197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 t="str">
            <v xml:space="preserve"> </v>
          </cell>
          <cell r="I20">
            <v>0</v>
          </cell>
          <cell r="J20">
            <v>0</v>
          </cell>
        </row>
        <row r="21">
          <cell r="A21" t="str">
            <v>6219776050</v>
          </cell>
          <cell r="B21">
            <v>62197</v>
          </cell>
          <cell r="C21">
            <v>76050</v>
          </cell>
          <cell r="D21" t="str">
            <v>Cleaning Expense</v>
          </cell>
          <cell r="E21">
            <v>35713.660000000003</v>
          </cell>
          <cell r="F21">
            <v>38061.57</v>
          </cell>
          <cell r="G21">
            <v>-2347.91</v>
          </cell>
          <cell r="H21" t="str">
            <v xml:space="preserve"> </v>
          </cell>
          <cell r="I21">
            <v>109484.91</v>
          </cell>
          <cell r="J21">
            <v>109484.91</v>
          </cell>
        </row>
        <row r="22">
          <cell r="A22" t="str">
            <v>6219776056</v>
          </cell>
          <cell r="B22">
            <v>62197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 t="str">
            <v xml:space="preserve"> </v>
          </cell>
          <cell r="I22">
            <v>0</v>
          </cell>
          <cell r="J22">
            <v>0</v>
          </cell>
        </row>
        <row r="23">
          <cell r="A23" t="str">
            <v>6219776070</v>
          </cell>
          <cell r="B23">
            <v>62197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 t="str">
            <v xml:space="preserve"> </v>
          </cell>
          <cell r="I23">
            <v>0</v>
          </cell>
          <cell r="J23">
            <v>0</v>
          </cell>
        </row>
        <row r="24">
          <cell r="A24" t="str">
            <v>6219776091</v>
          </cell>
          <cell r="B24">
            <v>62197</v>
          </cell>
          <cell r="C24">
            <v>76091</v>
          </cell>
          <cell r="D24" t="str">
            <v>Parking Maintenance</v>
          </cell>
          <cell r="E24">
            <v>15191.14</v>
          </cell>
          <cell r="F24">
            <v>18591.46</v>
          </cell>
          <cell r="G24">
            <v>-3400.32</v>
          </cell>
          <cell r="H24" t="str">
            <v xml:space="preserve"> </v>
          </cell>
          <cell r="I24">
            <v>57426.7</v>
          </cell>
          <cell r="J24">
            <v>57426.7</v>
          </cell>
        </row>
        <row r="25">
          <cell r="A25" t="str">
            <v>6219777000</v>
          </cell>
          <cell r="B25">
            <v>62197</v>
          </cell>
          <cell r="C25">
            <v>77000</v>
          </cell>
          <cell r="D25" t="str">
            <v>Grounds Maintenance</v>
          </cell>
          <cell r="E25">
            <v>16592.37</v>
          </cell>
          <cell r="F25">
            <v>17255.03</v>
          </cell>
          <cell r="G25">
            <v>-662.66</v>
          </cell>
          <cell r="H25" t="str">
            <v xml:space="preserve"> </v>
          </cell>
          <cell r="I25">
            <v>60496.83</v>
          </cell>
          <cell r="J25">
            <v>60496.83</v>
          </cell>
        </row>
        <row r="26">
          <cell r="A26" t="str">
            <v>6219777053</v>
          </cell>
          <cell r="B26">
            <v>62197</v>
          </cell>
          <cell r="C26">
            <v>77053</v>
          </cell>
          <cell r="D26" t="str">
            <v>Landscaping</v>
          </cell>
          <cell r="E26">
            <v>22404</v>
          </cell>
          <cell r="F26">
            <v>26541.279999999999</v>
          </cell>
          <cell r="G26">
            <v>-4137.28</v>
          </cell>
          <cell r="H26" t="str">
            <v xml:space="preserve"> </v>
          </cell>
          <cell r="I26">
            <v>122670.74</v>
          </cell>
          <cell r="J26">
            <v>122670.74</v>
          </cell>
        </row>
        <row r="27">
          <cell r="A27" t="str">
            <v>6219778020</v>
          </cell>
          <cell r="B27">
            <v>62197</v>
          </cell>
          <cell r="C27">
            <v>78020</v>
          </cell>
          <cell r="D27" t="str">
            <v>Amortized CAM Exp</v>
          </cell>
          <cell r="E27">
            <v>21666.67</v>
          </cell>
          <cell r="F27">
            <v>21666.68</v>
          </cell>
          <cell r="G27">
            <v>-1.0000000002037299E-2</v>
          </cell>
          <cell r="H27" t="str">
            <v xml:space="preserve"> </v>
          </cell>
          <cell r="I27">
            <v>65000</v>
          </cell>
          <cell r="J27">
            <v>65000</v>
          </cell>
        </row>
        <row r="28">
          <cell r="A28" t="str">
            <v>6219784264</v>
          </cell>
          <cell r="B28">
            <v>62197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 t="str">
            <v xml:space="preserve"> </v>
          </cell>
          <cell r="I28">
            <v>0</v>
          </cell>
          <cell r="J28">
            <v>0</v>
          </cell>
        </row>
        <row r="29">
          <cell r="A29" t="str">
            <v>6219785555</v>
          </cell>
          <cell r="B29">
            <v>62197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 t="str">
            <v xml:space="preserve"> </v>
          </cell>
          <cell r="I29">
            <v>0</v>
          </cell>
          <cell r="J29">
            <v>0</v>
          </cell>
        </row>
        <row r="30">
          <cell r="A30" t="str">
            <v>6219785584</v>
          </cell>
          <cell r="B30">
            <v>62197</v>
          </cell>
          <cell r="C30">
            <v>85584</v>
          </cell>
          <cell r="D30" t="str">
            <v>Bldg Admin-Office Costs</v>
          </cell>
          <cell r="E30">
            <v>2128.6999999999998</v>
          </cell>
          <cell r="F30">
            <v>12297</v>
          </cell>
          <cell r="G30">
            <v>-10168.299999999999</v>
          </cell>
          <cell r="H30" t="str">
            <v xml:space="preserve"> </v>
          </cell>
          <cell r="I30">
            <v>36891</v>
          </cell>
          <cell r="J30">
            <v>36891</v>
          </cell>
        </row>
        <row r="31">
          <cell r="A31" t="str">
            <v>6219785582</v>
          </cell>
          <cell r="B31">
            <v>62197</v>
          </cell>
          <cell r="C31">
            <v>85582</v>
          </cell>
          <cell r="D31" t="str">
            <v>Bldg Admin-Salaries</v>
          </cell>
          <cell r="E31">
            <v>44.650000000001498</v>
          </cell>
          <cell r="F31">
            <v>58895.68</v>
          </cell>
          <cell r="G31">
            <v>-58851.03</v>
          </cell>
          <cell r="H31" t="str">
            <v xml:space="preserve"> </v>
          </cell>
          <cell r="I31">
            <v>187665.2</v>
          </cell>
          <cell r="J31">
            <v>187665.2</v>
          </cell>
        </row>
        <row r="32">
          <cell r="A32" t="str">
            <v>6219786564</v>
          </cell>
          <cell r="B32">
            <v>62197</v>
          </cell>
          <cell r="C32">
            <v>86564</v>
          </cell>
          <cell r="D32" t="str">
            <v>Insurance</v>
          </cell>
          <cell r="E32">
            <v>24631</v>
          </cell>
          <cell r="F32">
            <v>24631.32</v>
          </cell>
          <cell r="G32">
            <v>-0.31999999999970902</v>
          </cell>
          <cell r="H32" t="str">
            <v xml:space="preserve"> </v>
          </cell>
          <cell r="I32">
            <v>73894</v>
          </cell>
          <cell r="J32">
            <v>73894</v>
          </cell>
        </row>
        <row r="33">
          <cell r="A33" t="str">
            <v>6219788846</v>
          </cell>
          <cell r="B33">
            <v>62197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 t="str">
            <v xml:space="preserve"> </v>
          </cell>
          <cell r="I33">
            <v>0</v>
          </cell>
          <cell r="J33">
            <v>0</v>
          </cell>
        </row>
        <row r="34">
          <cell r="A34" t="str">
            <v>6219788890</v>
          </cell>
          <cell r="B34">
            <v>62197</v>
          </cell>
          <cell r="C34">
            <v>88890</v>
          </cell>
          <cell r="D34" t="str">
            <v>Security/Safety</v>
          </cell>
          <cell r="E34">
            <v>16807.509999999998</v>
          </cell>
          <cell r="F34">
            <v>16994.77</v>
          </cell>
          <cell r="G34">
            <v>-187.26000000000201</v>
          </cell>
          <cell r="H34" t="str">
            <v xml:space="preserve"> </v>
          </cell>
          <cell r="I34">
            <v>53626.86</v>
          </cell>
          <cell r="J34">
            <v>53626.86</v>
          </cell>
        </row>
        <row r="35">
          <cell r="A35" t="str">
            <v>6219789775</v>
          </cell>
          <cell r="B35">
            <v>62197</v>
          </cell>
          <cell r="C35">
            <v>89775</v>
          </cell>
          <cell r="D35" t="str">
            <v>Assmt Dist Taxes- Reimb</v>
          </cell>
          <cell r="E35">
            <v>41379.68</v>
          </cell>
          <cell r="F35">
            <v>41379.68</v>
          </cell>
          <cell r="G35">
            <v>0</v>
          </cell>
          <cell r="H35" t="str">
            <v xml:space="preserve"> </v>
          </cell>
          <cell r="I35">
            <v>124139</v>
          </cell>
          <cell r="J35">
            <v>124139</v>
          </cell>
        </row>
        <row r="36">
          <cell r="A36" t="str">
            <v>6219789729</v>
          </cell>
          <cell r="B36">
            <v>62197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 t="str">
            <v xml:space="preserve"> </v>
          </cell>
          <cell r="I36">
            <v>0</v>
          </cell>
          <cell r="J36">
            <v>0</v>
          </cell>
        </row>
        <row r="37">
          <cell r="A37" t="str">
            <v>6219789786</v>
          </cell>
          <cell r="B37">
            <v>62197</v>
          </cell>
          <cell r="C37">
            <v>89786</v>
          </cell>
          <cell r="D37" t="str">
            <v>Property Tax Exp</v>
          </cell>
          <cell r="E37">
            <v>62362.68</v>
          </cell>
          <cell r="F37">
            <v>62362.68</v>
          </cell>
          <cell r="G37">
            <v>0</v>
          </cell>
          <cell r="H37" t="str">
            <v xml:space="preserve"> </v>
          </cell>
          <cell r="I37">
            <v>187088</v>
          </cell>
          <cell r="J37">
            <v>187088</v>
          </cell>
        </row>
        <row r="38">
          <cell r="A38" t="str">
            <v>6219771040</v>
          </cell>
          <cell r="B38">
            <v>62197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 t="str">
            <v xml:space="preserve"> </v>
          </cell>
          <cell r="I38">
            <v>0</v>
          </cell>
          <cell r="J38">
            <v>0</v>
          </cell>
        </row>
        <row r="39">
          <cell r="A39" t="str">
            <v>6219772701</v>
          </cell>
          <cell r="B39">
            <v>62197</v>
          </cell>
          <cell r="C39">
            <v>72701</v>
          </cell>
          <cell r="D39" t="str">
            <v>Utilities</v>
          </cell>
          <cell r="E39">
            <v>819.96</v>
          </cell>
          <cell r="F39">
            <v>1141.04</v>
          </cell>
          <cell r="G39">
            <v>-321.08</v>
          </cell>
          <cell r="H39" t="str">
            <v xml:space="preserve"> </v>
          </cell>
          <cell r="I39">
            <v>2224</v>
          </cell>
          <cell r="J39">
            <v>2224</v>
          </cell>
        </row>
        <row r="40">
          <cell r="A40" t="str">
            <v>6219772855</v>
          </cell>
          <cell r="B40">
            <v>62197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 t="str">
            <v xml:space="preserve"> </v>
          </cell>
          <cell r="I40">
            <v>0</v>
          </cell>
          <cell r="J40">
            <v>0</v>
          </cell>
        </row>
        <row r="41">
          <cell r="A41" t="str">
            <v>6219772870</v>
          </cell>
          <cell r="B41">
            <v>62197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 t="str">
            <v xml:space="preserve"> </v>
          </cell>
          <cell r="I41">
            <v>0</v>
          </cell>
          <cell r="J41">
            <v>0</v>
          </cell>
        </row>
        <row r="42">
          <cell r="A42" t="str">
            <v>6219776010</v>
          </cell>
          <cell r="B42">
            <v>62197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 t="str">
            <v xml:space="preserve"> </v>
          </cell>
          <cell r="I42">
            <v>2305.14</v>
          </cell>
          <cell r="J42">
            <v>2305.14</v>
          </cell>
        </row>
        <row r="43">
          <cell r="A43" t="str">
            <v>6219776040</v>
          </cell>
          <cell r="B43">
            <v>62197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 t="str">
            <v xml:space="preserve"> </v>
          </cell>
          <cell r="I43">
            <v>0</v>
          </cell>
          <cell r="J43">
            <v>0</v>
          </cell>
        </row>
        <row r="44">
          <cell r="A44" t="str">
            <v>6219776051</v>
          </cell>
          <cell r="B44">
            <v>62197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 t="str">
            <v xml:space="preserve"> </v>
          </cell>
          <cell r="I44">
            <v>0</v>
          </cell>
          <cell r="J44">
            <v>0</v>
          </cell>
        </row>
        <row r="45">
          <cell r="A45" t="str">
            <v>6219776054</v>
          </cell>
          <cell r="B45">
            <v>62197</v>
          </cell>
          <cell r="C45">
            <v>76054</v>
          </cell>
          <cell r="D45" t="str">
            <v>Bldg Maintenance &amp; Repair</v>
          </cell>
          <cell r="E45">
            <v>20186.34</v>
          </cell>
          <cell r="F45">
            <v>22146.52</v>
          </cell>
          <cell r="G45">
            <v>-1960.18</v>
          </cell>
          <cell r="H45" t="str">
            <v xml:space="preserve"> </v>
          </cell>
          <cell r="I45">
            <v>55152.24</v>
          </cell>
          <cell r="J45">
            <v>55152.24</v>
          </cell>
        </row>
        <row r="46">
          <cell r="A46" t="str">
            <v>6219776060</v>
          </cell>
          <cell r="B46">
            <v>62197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 t="str">
            <v xml:space="preserve"> </v>
          </cell>
          <cell r="I46">
            <v>0</v>
          </cell>
          <cell r="J46">
            <v>0</v>
          </cell>
        </row>
        <row r="47">
          <cell r="A47" t="str">
            <v>6219776071</v>
          </cell>
          <cell r="B47">
            <v>62197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 t="str">
            <v xml:space="preserve"> </v>
          </cell>
          <cell r="I47">
            <v>40250</v>
          </cell>
          <cell r="J47">
            <v>40250</v>
          </cell>
        </row>
        <row r="48">
          <cell r="A48" t="str">
            <v>6219776090</v>
          </cell>
          <cell r="B48">
            <v>62197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 t="str">
            <v xml:space="preserve"> </v>
          </cell>
          <cell r="I48">
            <v>0</v>
          </cell>
          <cell r="J48">
            <v>0</v>
          </cell>
        </row>
        <row r="49">
          <cell r="A49" t="str">
            <v>6219777001</v>
          </cell>
          <cell r="B49">
            <v>62197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 t="str">
            <v xml:space="preserve"> </v>
          </cell>
          <cell r="I49">
            <v>0</v>
          </cell>
          <cell r="J49">
            <v>0</v>
          </cell>
        </row>
        <row r="50">
          <cell r="A50" t="str">
            <v>6219777022</v>
          </cell>
          <cell r="B50">
            <v>62197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 t="str">
            <v xml:space="preserve"> </v>
          </cell>
          <cell r="I50">
            <v>0</v>
          </cell>
          <cell r="J50">
            <v>0</v>
          </cell>
        </row>
        <row r="51">
          <cell r="A51" t="str">
            <v>6219784200</v>
          </cell>
          <cell r="B51">
            <v>62197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 t="str">
            <v xml:space="preserve"> </v>
          </cell>
          <cell r="I51">
            <v>0</v>
          </cell>
          <cell r="J51">
            <v>0</v>
          </cell>
        </row>
        <row r="52">
          <cell r="A52" t="str">
            <v>6219784240</v>
          </cell>
          <cell r="B52">
            <v>62197</v>
          </cell>
          <cell r="C52">
            <v>84240</v>
          </cell>
          <cell r="D52" t="str">
            <v>Marketing Leasing</v>
          </cell>
          <cell r="E52">
            <v>59.340000000000103</v>
          </cell>
          <cell r="F52">
            <v>10765.64</v>
          </cell>
          <cell r="G52">
            <v>-10706.3</v>
          </cell>
          <cell r="H52" t="str">
            <v xml:space="preserve"> </v>
          </cell>
          <cell r="I52">
            <v>33706.800000000003</v>
          </cell>
          <cell r="J52">
            <v>33706.800000000003</v>
          </cell>
        </row>
        <row r="53">
          <cell r="A53" t="str">
            <v>6219784242</v>
          </cell>
          <cell r="B53">
            <v>62197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 t="str">
            <v xml:space="preserve"> </v>
          </cell>
          <cell r="I53">
            <v>0</v>
          </cell>
          <cell r="J53">
            <v>0</v>
          </cell>
        </row>
        <row r="54">
          <cell r="A54" t="str">
            <v>6219784243</v>
          </cell>
          <cell r="B54">
            <v>62197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 t="str">
            <v xml:space="preserve"> </v>
          </cell>
          <cell r="I54">
            <v>-24587.84</v>
          </cell>
          <cell r="J54">
            <v>-24587.84</v>
          </cell>
        </row>
        <row r="55">
          <cell r="A55" t="str">
            <v>6219784244</v>
          </cell>
          <cell r="B55">
            <v>62197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 t="str">
            <v xml:space="preserve"> </v>
          </cell>
          <cell r="I55">
            <v>0</v>
          </cell>
          <cell r="J55">
            <v>0</v>
          </cell>
        </row>
        <row r="56">
          <cell r="A56" t="str">
            <v>6219784265</v>
          </cell>
          <cell r="B56">
            <v>62197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 t="str">
            <v xml:space="preserve"> </v>
          </cell>
          <cell r="I56">
            <v>0</v>
          </cell>
          <cell r="J56">
            <v>0</v>
          </cell>
        </row>
        <row r="57">
          <cell r="A57" t="str">
            <v>6219788037</v>
          </cell>
          <cell r="B57">
            <v>62197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 t="str">
            <v xml:space="preserve"> </v>
          </cell>
          <cell r="I57">
            <v>0</v>
          </cell>
          <cell r="J57">
            <v>0</v>
          </cell>
        </row>
        <row r="58">
          <cell r="A58" t="str">
            <v>6219785016</v>
          </cell>
          <cell r="B58">
            <v>62197</v>
          </cell>
          <cell r="C58">
            <v>85016</v>
          </cell>
          <cell r="D58" t="str">
            <v>Prof Svc-Attorney Outside</v>
          </cell>
          <cell r="E58">
            <v>3215.65</v>
          </cell>
          <cell r="F58">
            <v>1176.19</v>
          </cell>
          <cell r="G58">
            <v>2039.46</v>
          </cell>
          <cell r="H58" t="str">
            <v xml:space="preserve"> </v>
          </cell>
          <cell r="I58">
            <v>9508.3799999999992</v>
          </cell>
          <cell r="J58">
            <v>9508.3799999999992</v>
          </cell>
        </row>
        <row r="59">
          <cell r="A59" t="str">
            <v>6219785022</v>
          </cell>
          <cell r="B59">
            <v>62197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 t="str">
            <v xml:space="preserve"> </v>
          </cell>
          <cell r="I59">
            <v>6563.01</v>
          </cell>
          <cell r="J59">
            <v>6563.01</v>
          </cell>
        </row>
        <row r="60">
          <cell r="A60" t="str">
            <v>6219785065</v>
          </cell>
          <cell r="B60">
            <v>62197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 t="str">
            <v xml:space="preserve"> </v>
          </cell>
          <cell r="I60">
            <v>0</v>
          </cell>
          <cell r="J60">
            <v>0</v>
          </cell>
        </row>
        <row r="61">
          <cell r="A61" t="str">
            <v>6219785500</v>
          </cell>
          <cell r="B61">
            <v>62197</v>
          </cell>
          <cell r="C61">
            <v>85500</v>
          </cell>
          <cell r="D61" t="str">
            <v>Consulting Services</v>
          </cell>
          <cell r="E61">
            <v>100</v>
          </cell>
          <cell r="F61">
            <v>882.87</v>
          </cell>
          <cell r="G61">
            <v>-782.87</v>
          </cell>
          <cell r="H61" t="str">
            <v xml:space="preserve"> </v>
          </cell>
          <cell r="I61">
            <v>2270.2399999999998</v>
          </cell>
          <cell r="J61">
            <v>2270.2399999999998</v>
          </cell>
        </row>
        <row r="62">
          <cell r="A62" t="str">
            <v>6219785566</v>
          </cell>
          <cell r="B62">
            <v>62197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 t="str">
            <v xml:space="preserve"> </v>
          </cell>
          <cell r="I62">
            <v>0</v>
          </cell>
          <cell r="J62">
            <v>0</v>
          </cell>
        </row>
        <row r="63">
          <cell r="A63" t="str">
            <v>6219785581</v>
          </cell>
          <cell r="B63">
            <v>62197</v>
          </cell>
          <cell r="C63">
            <v>85581</v>
          </cell>
          <cell r="D63" t="str">
            <v>Bldg Admin- Salaries</v>
          </cell>
          <cell r="E63">
            <v>11.1699999999983</v>
          </cell>
          <cell r="F63">
            <v>43779.68</v>
          </cell>
          <cell r="G63">
            <v>-43768.51</v>
          </cell>
          <cell r="H63" t="str">
            <v xml:space="preserve"> </v>
          </cell>
          <cell r="I63">
            <v>138985.70000000001</v>
          </cell>
          <cell r="J63">
            <v>138985.70000000001</v>
          </cell>
        </row>
        <row r="64">
          <cell r="A64" t="str">
            <v>6219785583</v>
          </cell>
          <cell r="B64">
            <v>62197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 t="str">
            <v xml:space="preserve"> </v>
          </cell>
          <cell r="I64">
            <v>0</v>
          </cell>
          <cell r="J64">
            <v>0</v>
          </cell>
        </row>
        <row r="65">
          <cell r="A65" t="str">
            <v>6219785530</v>
          </cell>
          <cell r="B65">
            <v>62197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 t="str">
            <v xml:space="preserve"> </v>
          </cell>
          <cell r="I65">
            <v>0</v>
          </cell>
          <cell r="J65">
            <v>0</v>
          </cell>
        </row>
        <row r="66">
          <cell r="A66" t="str">
            <v>6219786012</v>
          </cell>
          <cell r="B66">
            <v>62197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 t="str">
            <v xml:space="preserve"> </v>
          </cell>
          <cell r="I66">
            <v>0</v>
          </cell>
          <cell r="J66">
            <v>0</v>
          </cell>
        </row>
        <row r="67">
          <cell r="A67" t="str">
            <v>6219786037</v>
          </cell>
          <cell r="B67">
            <v>62197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 t="str">
            <v xml:space="preserve"> </v>
          </cell>
          <cell r="I67">
            <v>0</v>
          </cell>
          <cell r="J67">
            <v>0</v>
          </cell>
        </row>
        <row r="68">
          <cell r="A68" t="str">
            <v>6219783050</v>
          </cell>
          <cell r="B68">
            <v>62197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 t="str">
            <v xml:space="preserve"> </v>
          </cell>
          <cell r="I68">
            <v>0</v>
          </cell>
          <cell r="J68">
            <v>0</v>
          </cell>
        </row>
        <row r="69">
          <cell r="A69" t="str">
            <v>6219786510</v>
          </cell>
          <cell r="B69">
            <v>62197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 t="str">
            <v xml:space="preserve"> </v>
          </cell>
          <cell r="I69">
            <v>0</v>
          </cell>
          <cell r="J69">
            <v>0</v>
          </cell>
        </row>
        <row r="70">
          <cell r="A70" t="str">
            <v>6219786537</v>
          </cell>
          <cell r="B70">
            <v>62197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 t="str">
            <v xml:space="preserve"> </v>
          </cell>
          <cell r="I70">
            <v>0</v>
          </cell>
          <cell r="J70">
            <v>0</v>
          </cell>
        </row>
        <row r="71">
          <cell r="A71" t="str">
            <v>6219786566</v>
          </cell>
          <cell r="B71">
            <v>62197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 t="str">
            <v xml:space="preserve"> </v>
          </cell>
          <cell r="I71">
            <v>0</v>
          </cell>
          <cell r="J71">
            <v>0</v>
          </cell>
        </row>
        <row r="72">
          <cell r="A72" t="str">
            <v>6219786955</v>
          </cell>
          <cell r="B72">
            <v>62197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 t="str">
            <v xml:space="preserve"> </v>
          </cell>
          <cell r="I72">
            <v>0</v>
          </cell>
          <cell r="J72">
            <v>0</v>
          </cell>
        </row>
        <row r="73">
          <cell r="A73" t="str">
            <v>6219786985</v>
          </cell>
          <cell r="B73">
            <v>62197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 t="str">
            <v xml:space="preserve"> </v>
          </cell>
          <cell r="I73">
            <v>0</v>
          </cell>
          <cell r="J73">
            <v>0</v>
          </cell>
        </row>
        <row r="74">
          <cell r="A74" t="str">
            <v>6219786880</v>
          </cell>
          <cell r="B74">
            <v>62197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 t="str">
            <v xml:space="preserve"> </v>
          </cell>
          <cell r="I74">
            <v>0</v>
          </cell>
          <cell r="J74">
            <v>0</v>
          </cell>
        </row>
        <row r="75">
          <cell r="A75" t="str">
            <v>6219788710</v>
          </cell>
          <cell r="B75">
            <v>62197</v>
          </cell>
          <cell r="C75">
            <v>88710</v>
          </cell>
          <cell r="D75" t="str">
            <v>Losses-Bad Debts</v>
          </cell>
          <cell r="E75">
            <v>11320.04</v>
          </cell>
          <cell r="F75">
            <v>15337</v>
          </cell>
          <cell r="G75">
            <v>-4016.96</v>
          </cell>
          <cell r="H75" t="str">
            <v xml:space="preserve"> </v>
          </cell>
          <cell r="I75">
            <v>61348</v>
          </cell>
          <cell r="J75">
            <v>61348</v>
          </cell>
        </row>
        <row r="76">
          <cell r="A76" t="str">
            <v>6219788711</v>
          </cell>
          <cell r="B76">
            <v>62197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 t="str">
            <v xml:space="preserve"> </v>
          </cell>
          <cell r="I76">
            <v>0</v>
          </cell>
          <cell r="J76">
            <v>0</v>
          </cell>
        </row>
        <row r="77">
          <cell r="A77" t="str">
            <v>6219788785</v>
          </cell>
          <cell r="B77">
            <v>62197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 t="str">
            <v xml:space="preserve"> </v>
          </cell>
          <cell r="I77">
            <v>0</v>
          </cell>
          <cell r="J77">
            <v>0</v>
          </cell>
        </row>
        <row r="78">
          <cell r="A78" t="str">
            <v>6219788847</v>
          </cell>
          <cell r="B78">
            <v>62197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 t="str">
            <v xml:space="preserve"> </v>
          </cell>
          <cell r="I78">
            <v>0</v>
          </cell>
          <cell r="J78">
            <v>0</v>
          </cell>
        </row>
        <row r="79">
          <cell r="A79" t="str">
            <v>6219788866</v>
          </cell>
          <cell r="B79">
            <v>62197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 t="str">
            <v xml:space="preserve"> </v>
          </cell>
          <cell r="I79">
            <v>0</v>
          </cell>
          <cell r="J79">
            <v>0</v>
          </cell>
        </row>
        <row r="80">
          <cell r="A80" t="str">
            <v>6219788870</v>
          </cell>
          <cell r="B80">
            <v>62197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 t="str">
            <v xml:space="preserve"> </v>
          </cell>
          <cell r="I80">
            <v>0</v>
          </cell>
          <cell r="J80">
            <v>0</v>
          </cell>
        </row>
        <row r="81">
          <cell r="A81" t="str">
            <v>6219788889</v>
          </cell>
          <cell r="B81">
            <v>62197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 t="str">
            <v xml:space="preserve"> </v>
          </cell>
          <cell r="I81">
            <v>0</v>
          </cell>
          <cell r="J81">
            <v>0</v>
          </cell>
        </row>
        <row r="82">
          <cell r="A82" t="str">
            <v>6219789776</v>
          </cell>
          <cell r="B82">
            <v>62197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 t="str">
            <v xml:space="preserve"> </v>
          </cell>
          <cell r="I82">
            <v>0</v>
          </cell>
          <cell r="J82">
            <v>0</v>
          </cell>
        </row>
        <row r="83">
          <cell r="A83" t="str">
            <v>6219789787</v>
          </cell>
          <cell r="B83">
            <v>62197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 t="str">
            <v xml:space="preserve"> </v>
          </cell>
          <cell r="I83">
            <v>0</v>
          </cell>
          <cell r="J83">
            <v>0</v>
          </cell>
        </row>
        <row r="84">
          <cell r="A84" t="str">
            <v>6219789510</v>
          </cell>
          <cell r="B84">
            <v>62197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409947</v>
          </cell>
          <cell r="G84">
            <v>-409947</v>
          </cell>
          <cell r="H84" t="str">
            <v xml:space="preserve"> </v>
          </cell>
          <cell r="I84">
            <v>1200071</v>
          </cell>
          <cell r="J84">
            <v>1200071</v>
          </cell>
        </row>
        <row r="85">
          <cell r="A85" t="str">
            <v>6219789511</v>
          </cell>
          <cell r="B85">
            <v>62197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 t="str">
            <v xml:space="preserve"> </v>
          </cell>
          <cell r="I85">
            <v>0</v>
          </cell>
          <cell r="J85">
            <v>0</v>
          </cell>
        </row>
        <row r="86">
          <cell r="A86" t="str">
            <v>6219789512</v>
          </cell>
          <cell r="B86">
            <v>62197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 t="str">
            <v xml:space="preserve"> </v>
          </cell>
          <cell r="I86">
            <v>0</v>
          </cell>
          <cell r="J86">
            <v>0</v>
          </cell>
        </row>
        <row r="87">
          <cell r="A87" t="str">
            <v>6219789528</v>
          </cell>
          <cell r="B87">
            <v>62197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 t="str">
            <v xml:space="preserve"> </v>
          </cell>
          <cell r="I87">
            <v>0</v>
          </cell>
          <cell r="J87">
            <v>0</v>
          </cell>
        </row>
        <row r="88">
          <cell r="A88" t="str">
            <v>6219789529</v>
          </cell>
          <cell r="B88">
            <v>62197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9336</v>
          </cell>
          <cell r="G88">
            <v>-9336</v>
          </cell>
          <cell r="H88" t="str">
            <v xml:space="preserve"> </v>
          </cell>
          <cell r="I88">
            <v>28008</v>
          </cell>
          <cell r="J88">
            <v>28008</v>
          </cell>
        </row>
        <row r="89">
          <cell r="A89" t="str">
            <v>6219789567</v>
          </cell>
          <cell r="B89">
            <v>62197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 t="str">
            <v xml:space="preserve"> </v>
          </cell>
          <cell r="I89">
            <v>0</v>
          </cell>
          <cell r="J89">
            <v>0</v>
          </cell>
        </row>
        <row r="90">
          <cell r="A90" t="str">
            <v>6219785058</v>
          </cell>
          <cell r="B90">
            <v>62197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 t="str">
            <v xml:space="preserve"> </v>
          </cell>
          <cell r="I90">
            <v>0</v>
          </cell>
          <cell r="J90">
            <v>0</v>
          </cell>
        </row>
        <row r="91">
          <cell r="A91" t="str">
            <v>6219786513</v>
          </cell>
          <cell r="B91">
            <v>62197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537.04</v>
          </cell>
          <cell r="G91">
            <v>-537.04</v>
          </cell>
          <cell r="H91" t="str">
            <v xml:space="preserve"> </v>
          </cell>
          <cell r="I91">
            <v>6344.69</v>
          </cell>
          <cell r="J91">
            <v>6344.69</v>
          </cell>
        </row>
        <row r="92">
          <cell r="A92" t="str">
            <v>6219786519</v>
          </cell>
          <cell r="B92">
            <v>62197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 t="str">
            <v xml:space="preserve"> </v>
          </cell>
          <cell r="I92">
            <v>0</v>
          </cell>
          <cell r="J92">
            <v>0</v>
          </cell>
        </row>
        <row r="93">
          <cell r="A93" t="str">
            <v>6219788770</v>
          </cell>
          <cell r="B93">
            <v>62197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 t="str">
            <v xml:space="preserve"> </v>
          </cell>
          <cell r="I93">
            <v>0</v>
          </cell>
          <cell r="J93">
            <v>0</v>
          </cell>
        </row>
        <row r="94">
          <cell r="A94" t="str">
            <v>6219788862</v>
          </cell>
          <cell r="B94">
            <v>62197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 t="str">
            <v xml:space="preserve"> </v>
          </cell>
          <cell r="I94">
            <v>0</v>
          </cell>
          <cell r="J94">
            <v>0</v>
          </cell>
        </row>
        <row r="95">
          <cell r="A95" t="str">
            <v>6219788874</v>
          </cell>
          <cell r="B95">
            <v>62197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 t="str">
            <v xml:space="preserve"> </v>
          </cell>
          <cell r="I95">
            <v>0</v>
          </cell>
          <cell r="J95">
            <v>0</v>
          </cell>
        </row>
        <row r="96">
          <cell r="A96" t="str">
            <v>6219789910</v>
          </cell>
          <cell r="B96">
            <v>62197</v>
          </cell>
          <cell r="C96">
            <v>89910</v>
          </cell>
          <cell r="D96" t="str">
            <v>Depreciation</v>
          </cell>
          <cell r="E96">
            <v>0</v>
          </cell>
          <cell r="F96">
            <v>131515.72</v>
          </cell>
          <cell r="G96">
            <v>-131515.72</v>
          </cell>
          <cell r="H96" t="str">
            <v xml:space="preserve"> </v>
          </cell>
          <cell r="I96">
            <v>418959.38</v>
          </cell>
          <cell r="J96">
            <v>418959.38</v>
          </cell>
        </row>
        <row r="97">
          <cell r="A97" t="str">
            <v>6219789548</v>
          </cell>
          <cell r="B97">
            <v>62197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 t="str">
            <v xml:space="preserve"> </v>
          </cell>
          <cell r="I97">
            <v>0</v>
          </cell>
          <cell r="J97">
            <v>0</v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1"/>
      <sheetName val="TMP2"/>
      <sheetName val="TMP3"/>
      <sheetName val="variance"/>
    </sheetNames>
    <sheetDataSet>
      <sheetData sheetId="0"/>
      <sheetData sheetId="1"/>
      <sheetData sheetId="2"/>
      <sheetData sheetId="3" refreshError="1">
        <row r="2">
          <cell r="A2" t="str">
            <v>6219741010</v>
          </cell>
          <cell r="B2">
            <v>62197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 t="str">
            <v xml:space="preserve"> </v>
          </cell>
          <cell r="I2">
            <v>0</v>
          </cell>
          <cell r="J2">
            <v>0</v>
          </cell>
        </row>
        <row r="3">
          <cell r="A3" t="str">
            <v>6219741040</v>
          </cell>
          <cell r="B3">
            <v>62197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 t="str">
            <v xml:space="preserve"> </v>
          </cell>
          <cell r="I3">
            <v>0</v>
          </cell>
          <cell r="J3">
            <v>0</v>
          </cell>
        </row>
        <row r="4">
          <cell r="A4" t="str">
            <v>6219741050</v>
          </cell>
          <cell r="B4">
            <v>62197</v>
          </cell>
          <cell r="C4">
            <v>41050</v>
          </cell>
          <cell r="D4" t="str">
            <v>Rental Income - Fixed</v>
          </cell>
          <cell r="E4">
            <v>-1429098.51</v>
          </cell>
          <cell r="F4">
            <v>-1445395.03</v>
          </cell>
          <cell r="G4">
            <v>16296.52</v>
          </cell>
          <cell r="H4" t="str">
            <v xml:space="preserve"> </v>
          </cell>
          <cell r="I4">
            <v>-4536471.82</v>
          </cell>
          <cell r="J4">
            <v>-4536471.82</v>
          </cell>
        </row>
        <row r="5">
          <cell r="A5" t="str">
            <v>6219741074</v>
          </cell>
          <cell r="B5">
            <v>62197</v>
          </cell>
          <cell r="C5">
            <v>41074</v>
          </cell>
          <cell r="D5" t="str">
            <v>Rental Income - Percentage</v>
          </cell>
          <cell r="E5">
            <v>-15231</v>
          </cell>
          <cell r="F5">
            <v>-17724</v>
          </cell>
          <cell r="G5">
            <v>2493</v>
          </cell>
          <cell r="H5" t="str">
            <v xml:space="preserve"> </v>
          </cell>
          <cell r="I5">
            <v>-53172</v>
          </cell>
          <cell r="J5">
            <v>-53172</v>
          </cell>
        </row>
        <row r="6">
          <cell r="A6" t="str">
            <v>6219741082</v>
          </cell>
          <cell r="B6">
            <v>62197</v>
          </cell>
          <cell r="C6">
            <v>41082</v>
          </cell>
          <cell r="D6" t="str">
            <v>Rental Income - Operating Exp</v>
          </cell>
          <cell r="E6">
            <v>-388168.49</v>
          </cell>
          <cell r="F6">
            <v>-507430.96</v>
          </cell>
          <cell r="G6">
            <v>119262.47</v>
          </cell>
          <cell r="H6" t="str">
            <v xml:space="preserve"> </v>
          </cell>
          <cell r="I6">
            <v>-1522292.88</v>
          </cell>
          <cell r="J6">
            <v>-1522292.88</v>
          </cell>
        </row>
        <row r="7">
          <cell r="A7" t="str">
            <v>6219744610</v>
          </cell>
          <cell r="B7">
            <v>62197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 t="str">
            <v xml:space="preserve"> </v>
          </cell>
          <cell r="I7">
            <v>0</v>
          </cell>
          <cell r="J7">
            <v>0</v>
          </cell>
        </row>
        <row r="8">
          <cell r="A8" t="str">
            <v>6219745071</v>
          </cell>
          <cell r="B8">
            <v>62197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 t="str">
            <v xml:space="preserve"> </v>
          </cell>
          <cell r="I8">
            <v>0</v>
          </cell>
          <cell r="J8">
            <v>0</v>
          </cell>
        </row>
        <row r="9">
          <cell r="A9" t="str">
            <v>6219745010</v>
          </cell>
          <cell r="B9">
            <v>62197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 t="str">
            <v xml:space="preserve"> </v>
          </cell>
          <cell r="I9">
            <v>0</v>
          </cell>
          <cell r="J9">
            <v>0</v>
          </cell>
        </row>
        <row r="10">
          <cell r="A10" t="str">
            <v>6219745046</v>
          </cell>
          <cell r="B10">
            <v>62197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 t="str">
            <v xml:space="preserve"> </v>
          </cell>
          <cell r="I10">
            <v>0</v>
          </cell>
          <cell r="J10">
            <v>0</v>
          </cell>
        </row>
        <row r="11">
          <cell r="A11" t="str">
            <v>6219745070</v>
          </cell>
          <cell r="B11">
            <v>62197</v>
          </cell>
          <cell r="C11">
            <v>45070</v>
          </cell>
          <cell r="D11" t="str">
            <v>Other Income</v>
          </cell>
          <cell r="E11">
            <v>-54475.57</v>
          </cell>
          <cell r="F11">
            <v>-19018.400000000001</v>
          </cell>
          <cell r="G11">
            <v>-35457.17</v>
          </cell>
          <cell r="H11" t="str">
            <v xml:space="preserve"> </v>
          </cell>
          <cell r="I11">
            <v>-22072.07</v>
          </cell>
          <cell r="J11">
            <v>-22072.07</v>
          </cell>
        </row>
        <row r="12">
          <cell r="A12" t="str">
            <v>6219741060</v>
          </cell>
          <cell r="B12">
            <v>62197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130560</v>
          </cell>
          <cell r="G12">
            <v>-130560</v>
          </cell>
          <cell r="H12" t="str">
            <v xml:space="preserve"> </v>
          </cell>
          <cell r="I12">
            <v>391680</v>
          </cell>
          <cell r="J12">
            <v>391680</v>
          </cell>
        </row>
        <row r="13">
          <cell r="A13" t="str">
            <v>6219744870</v>
          </cell>
          <cell r="B13">
            <v>62197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 t="str">
            <v xml:space="preserve"> </v>
          </cell>
          <cell r="I13">
            <v>-750</v>
          </cell>
          <cell r="J13">
            <v>-750</v>
          </cell>
        </row>
        <row r="14">
          <cell r="A14" t="str">
            <v>6219752542</v>
          </cell>
          <cell r="B14">
            <v>62197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 t="str">
            <v xml:space="preserve"> </v>
          </cell>
          <cell r="I14">
            <v>0</v>
          </cell>
          <cell r="J14">
            <v>0</v>
          </cell>
        </row>
        <row r="15">
          <cell r="A15" t="str">
            <v>6219772710</v>
          </cell>
          <cell r="B15">
            <v>62197</v>
          </cell>
          <cell r="C15">
            <v>72710</v>
          </cell>
          <cell r="D15" t="str">
            <v>Utilities - Electricity</v>
          </cell>
          <cell r="E15">
            <v>9128.92</v>
          </cell>
          <cell r="F15">
            <v>16164.77</v>
          </cell>
          <cell r="G15">
            <v>-7035.85</v>
          </cell>
          <cell r="H15" t="str">
            <v xml:space="preserve"> </v>
          </cell>
          <cell r="I15">
            <v>61652.97</v>
          </cell>
          <cell r="J15">
            <v>61652.97</v>
          </cell>
        </row>
        <row r="16">
          <cell r="A16" t="str">
            <v>6219772740</v>
          </cell>
          <cell r="B16">
            <v>62197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 t="str">
            <v xml:space="preserve"> </v>
          </cell>
          <cell r="I16">
            <v>0</v>
          </cell>
          <cell r="J16">
            <v>0</v>
          </cell>
        </row>
        <row r="17">
          <cell r="A17" t="str">
            <v>6219772770</v>
          </cell>
          <cell r="B17">
            <v>62197</v>
          </cell>
          <cell r="C17">
            <v>72770</v>
          </cell>
          <cell r="D17" t="str">
            <v>Utilities - Water</v>
          </cell>
          <cell r="E17">
            <v>7024.73</v>
          </cell>
          <cell r="F17">
            <v>7833.8</v>
          </cell>
          <cell r="G17">
            <v>-809.07000000000096</v>
          </cell>
          <cell r="H17" t="str">
            <v xml:space="preserve"> </v>
          </cell>
          <cell r="I17">
            <v>23078.89</v>
          </cell>
          <cell r="J17">
            <v>23078.89</v>
          </cell>
        </row>
        <row r="18">
          <cell r="A18" t="str">
            <v>6219776000</v>
          </cell>
          <cell r="B18">
            <v>62197</v>
          </cell>
          <cell r="C18">
            <v>76000</v>
          </cell>
          <cell r="D18" t="str">
            <v>Bldg Maintenance &amp; Repair</v>
          </cell>
          <cell r="E18">
            <v>14807.55</v>
          </cell>
          <cell r="F18">
            <v>20218.669999999998</v>
          </cell>
          <cell r="G18">
            <v>-5411.12</v>
          </cell>
          <cell r="H18" t="str">
            <v xml:space="preserve"> </v>
          </cell>
          <cell r="I18">
            <v>93635.76</v>
          </cell>
          <cell r="J18">
            <v>93635.76</v>
          </cell>
        </row>
        <row r="19">
          <cell r="A19" t="str">
            <v>6219776020</v>
          </cell>
          <cell r="B19">
            <v>62197</v>
          </cell>
          <cell r="C19">
            <v>76020</v>
          </cell>
          <cell r="D19" t="str">
            <v>Food Court Expense</v>
          </cell>
          <cell r="E19">
            <v>3168</v>
          </cell>
          <cell r="F19">
            <v>7185.28</v>
          </cell>
          <cell r="G19">
            <v>-4017.28</v>
          </cell>
          <cell r="H19" t="str">
            <v xml:space="preserve"> </v>
          </cell>
          <cell r="I19">
            <v>20340.439999999999</v>
          </cell>
          <cell r="J19">
            <v>20340.439999999999</v>
          </cell>
        </row>
        <row r="20">
          <cell r="A20" t="str">
            <v>6219776034</v>
          </cell>
          <cell r="B20">
            <v>62197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 t="str">
            <v xml:space="preserve"> </v>
          </cell>
          <cell r="I20">
            <v>0</v>
          </cell>
          <cell r="J20">
            <v>0</v>
          </cell>
        </row>
        <row r="21">
          <cell r="A21" t="str">
            <v>6219776050</v>
          </cell>
          <cell r="B21">
            <v>62197</v>
          </cell>
          <cell r="C21">
            <v>76050</v>
          </cell>
          <cell r="D21" t="str">
            <v>Cleaning Expense</v>
          </cell>
          <cell r="E21">
            <v>35713.660000000003</v>
          </cell>
          <cell r="F21">
            <v>38061.57</v>
          </cell>
          <cell r="G21">
            <v>-2347.91</v>
          </cell>
          <cell r="H21" t="str">
            <v xml:space="preserve"> </v>
          </cell>
          <cell r="I21">
            <v>109484.91</v>
          </cell>
          <cell r="J21">
            <v>109484.91</v>
          </cell>
        </row>
        <row r="22">
          <cell r="A22" t="str">
            <v>6219776056</v>
          </cell>
          <cell r="B22">
            <v>62197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 t="str">
            <v xml:space="preserve"> </v>
          </cell>
          <cell r="I22">
            <v>0</v>
          </cell>
          <cell r="J22">
            <v>0</v>
          </cell>
        </row>
        <row r="23">
          <cell r="A23" t="str">
            <v>6219776070</v>
          </cell>
          <cell r="B23">
            <v>62197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 t="str">
            <v xml:space="preserve"> </v>
          </cell>
          <cell r="I23">
            <v>0</v>
          </cell>
          <cell r="J23">
            <v>0</v>
          </cell>
        </row>
        <row r="24">
          <cell r="A24" t="str">
            <v>6219776091</v>
          </cell>
          <cell r="B24">
            <v>62197</v>
          </cell>
          <cell r="C24">
            <v>76091</v>
          </cell>
          <cell r="D24" t="str">
            <v>Parking Maintenance</v>
          </cell>
          <cell r="E24">
            <v>15191.14</v>
          </cell>
          <cell r="F24">
            <v>18591.46</v>
          </cell>
          <cell r="G24">
            <v>-3400.32</v>
          </cell>
          <cell r="H24" t="str">
            <v xml:space="preserve"> </v>
          </cell>
          <cell r="I24">
            <v>57426.7</v>
          </cell>
          <cell r="J24">
            <v>57426.7</v>
          </cell>
        </row>
        <row r="25">
          <cell r="A25" t="str">
            <v>6219777000</v>
          </cell>
          <cell r="B25">
            <v>62197</v>
          </cell>
          <cell r="C25">
            <v>77000</v>
          </cell>
          <cell r="D25" t="str">
            <v>Grounds Maintenance</v>
          </cell>
          <cell r="E25">
            <v>16592.37</v>
          </cell>
          <cell r="F25">
            <v>17255.03</v>
          </cell>
          <cell r="G25">
            <v>-662.66</v>
          </cell>
          <cell r="H25" t="str">
            <v xml:space="preserve"> </v>
          </cell>
          <cell r="I25">
            <v>60496.83</v>
          </cell>
          <cell r="J25">
            <v>60496.83</v>
          </cell>
        </row>
        <row r="26">
          <cell r="A26" t="str">
            <v>6219777053</v>
          </cell>
          <cell r="B26">
            <v>62197</v>
          </cell>
          <cell r="C26">
            <v>77053</v>
          </cell>
          <cell r="D26" t="str">
            <v>Landscaping</v>
          </cell>
          <cell r="E26">
            <v>22404</v>
          </cell>
          <cell r="F26">
            <v>26541.279999999999</v>
          </cell>
          <cell r="G26">
            <v>-4137.28</v>
          </cell>
          <cell r="H26" t="str">
            <v xml:space="preserve"> </v>
          </cell>
          <cell r="I26">
            <v>122670.74</v>
          </cell>
          <cell r="J26">
            <v>122670.74</v>
          </cell>
        </row>
        <row r="27">
          <cell r="A27" t="str">
            <v>6219778020</v>
          </cell>
          <cell r="B27">
            <v>62197</v>
          </cell>
          <cell r="C27">
            <v>78020</v>
          </cell>
          <cell r="D27" t="str">
            <v>Amortized CAM Exp</v>
          </cell>
          <cell r="E27">
            <v>21666.67</v>
          </cell>
          <cell r="F27">
            <v>21666.68</v>
          </cell>
          <cell r="G27">
            <v>-1.0000000002037299E-2</v>
          </cell>
          <cell r="H27" t="str">
            <v xml:space="preserve"> </v>
          </cell>
          <cell r="I27">
            <v>65000</v>
          </cell>
          <cell r="J27">
            <v>65000</v>
          </cell>
        </row>
        <row r="28">
          <cell r="A28" t="str">
            <v>6219784264</v>
          </cell>
          <cell r="B28">
            <v>62197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 t="str">
            <v xml:space="preserve"> </v>
          </cell>
          <cell r="I28">
            <v>0</v>
          </cell>
          <cell r="J28">
            <v>0</v>
          </cell>
        </row>
        <row r="29">
          <cell r="A29" t="str">
            <v>6219785555</v>
          </cell>
          <cell r="B29">
            <v>62197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 t="str">
            <v xml:space="preserve"> </v>
          </cell>
          <cell r="I29">
            <v>0</v>
          </cell>
          <cell r="J29">
            <v>0</v>
          </cell>
        </row>
        <row r="30">
          <cell r="A30" t="str">
            <v>6219785584</v>
          </cell>
          <cell r="B30">
            <v>62197</v>
          </cell>
          <cell r="C30">
            <v>85584</v>
          </cell>
          <cell r="D30" t="str">
            <v>Bldg Admin-Office Costs</v>
          </cell>
          <cell r="E30">
            <v>2128.6999999999998</v>
          </cell>
          <cell r="F30">
            <v>12297</v>
          </cell>
          <cell r="G30">
            <v>-10168.299999999999</v>
          </cell>
          <cell r="H30" t="str">
            <v xml:space="preserve"> </v>
          </cell>
          <cell r="I30">
            <v>36891</v>
          </cell>
          <cell r="J30">
            <v>36891</v>
          </cell>
        </row>
        <row r="31">
          <cell r="A31" t="str">
            <v>6219785582</v>
          </cell>
          <cell r="B31">
            <v>62197</v>
          </cell>
          <cell r="C31">
            <v>85582</v>
          </cell>
          <cell r="D31" t="str">
            <v>Bldg Admin-Salaries</v>
          </cell>
          <cell r="E31">
            <v>44.650000000001498</v>
          </cell>
          <cell r="F31">
            <v>58895.68</v>
          </cell>
          <cell r="G31">
            <v>-58851.03</v>
          </cell>
          <cell r="H31" t="str">
            <v xml:space="preserve"> </v>
          </cell>
          <cell r="I31">
            <v>187665.2</v>
          </cell>
          <cell r="J31">
            <v>187665.2</v>
          </cell>
        </row>
        <row r="32">
          <cell r="A32" t="str">
            <v>6219786564</v>
          </cell>
          <cell r="B32">
            <v>62197</v>
          </cell>
          <cell r="C32">
            <v>86564</v>
          </cell>
          <cell r="D32" t="str">
            <v>Insurance</v>
          </cell>
          <cell r="E32">
            <v>24631</v>
          </cell>
          <cell r="F32">
            <v>24631.32</v>
          </cell>
          <cell r="G32">
            <v>-0.31999999999970902</v>
          </cell>
          <cell r="H32" t="str">
            <v xml:space="preserve"> </v>
          </cell>
          <cell r="I32">
            <v>73894</v>
          </cell>
          <cell r="J32">
            <v>73894</v>
          </cell>
        </row>
        <row r="33">
          <cell r="A33" t="str">
            <v>6219788846</v>
          </cell>
          <cell r="B33">
            <v>62197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 t="str">
            <v xml:space="preserve"> </v>
          </cell>
          <cell r="I33">
            <v>0</v>
          </cell>
          <cell r="J33">
            <v>0</v>
          </cell>
        </row>
        <row r="34">
          <cell r="A34" t="str">
            <v>6219788890</v>
          </cell>
          <cell r="B34">
            <v>62197</v>
          </cell>
          <cell r="C34">
            <v>88890</v>
          </cell>
          <cell r="D34" t="str">
            <v>Security/Safety</v>
          </cell>
          <cell r="E34">
            <v>16807.509999999998</v>
          </cell>
          <cell r="F34">
            <v>16994.77</v>
          </cell>
          <cell r="G34">
            <v>-187.26000000000201</v>
          </cell>
          <cell r="H34" t="str">
            <v xml:space="preserve"> </v>
          </cell>
          <cell r="I34">
            <v>53626.86</v>
          </cell>
          <cell r="J34">
            <v>53626.86</v>
          </cell>
        </row>
        <row r="35">
          <cell r="A35" t="str">
            <v>6219789775</v>
          </cell>
          <cell r="B35">
            <v>62197</v>
          </cell>
          <cell r="C35">
            <v>89775</v>
          </cell>
          <cell r="D35" t="str">
            <v>Assmt Dist Taxes- Reimb</v>
          </cell>
          <cell r="E35">
            <v>41379.68</v>
          </cell>
          <cell r="F35">
            <v>41379.68</v>
          </cell>
          <cell r="G35">
            <v>0</v>
          </cell>
          <cell r="H35" t="str">
            <v xml:space="preserve"> </v>
          </cell>
          <cell r="I35">
            <v>124139</v>
          </cell>
          <cell r="J35">
            <v>124139</v>
          </cell>
        </row>
        <row r="36">
          <cell r="A36" t="str">
            <v>6219789729</v>
          </cell>
          <cell r="B36">
            <v>62197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 t="str">
            <v xml:space="preserve"> </v>
          </cell>
          <cell r="I36">
            <v>0</v>
          </cell>
          <cell r="J36">
            <v>0</v>
          </cell>
        </row>
        <row r="37">
          <cell r="A37" t="str">
            <v>6219789786</v>
          </cell>
          <cell r="B37">
            <v>62197</v>
          </cell>
          <cell r="C37">
            <v>89786</v>
          </cell>
          <cell r="D37" t="str">
            <v>Property Tax Exp</v>
          </cell>
          <cell r="E37">
            <v>62362.68</v>
          </cell>
          <cell r="F37">
            <v>62362.68</v>
          </cell>
          <cell r="G37">
            <v>0</v>
          </cell>
          <cell r="H37" t="str">
            <v xml:space="preserve"> </v>
          </cell>
          <cell r="I37">
            <v>187088</v>
          </cell>
          <cell r="J37">
            <v>187088</v>
          </cell>
        </row>
        <row r="38">
          <cell r="A38" t="str">
            <v>6219771040</v>
          </cell>
          <cell r="B38">
            <v>62197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 t="str">
            <v xml:space="preserve"> </v>
          </cell>
          <cell r="I38">
            <v>0</v>
          </cell>
          <cell r="J38">
            <v>0</v>
          </cell>
        </row>
        <row r="39">
          <cell r="A39" t="str">
            <v>6219772701</v>
          </cell>
          <cell r="B39">
            <v>62197</v>
          </cell>
          <cell r="C39">
            <v>72701</v>
          </cell>
          <cell r="D39" t="str">
            <v>Utilities</v>
          </cell>
          <cell r="E39">
            <v>819.96</v>
          </cell>
          <cell r="F39">
            <v>1141.04</v>
          </cell>
          <cell r="G39">
            <v>-321.08</v>
          </cell>
          <cell r="H39" t="str">
            <v xml:space="preserve"> </v>
          </cell>
          <cell r="I39">
            <v>2224</v>
          </cell>
          <cell r="J39">
            <v>2224</v>
          </cell>
        </row>
        <row r="40">
          <cell r="A40" t="str">
            <v>6219772855</v>
          </cell>
          <cell r="B40">
            <v>62197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 t="str">
            <v xml:space="preserve"> </v>
          </cell>
          <cell r="I40">
            <v>0</v>
          </cell>
          <cell r="J40">
            <v>0</v>
          </cell>
        </row>
        <row r="41">
          <cell r="A41" t="str">
            <v>6219772870</v>
          </cell>
          <cell r="B41">
            <v>62197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 t="str">
            <v xml:space="preserve"> </v>
          </cell>
          <cell r="I41">
            <v>0</v>
          </cell>
          <cell r="J41">
            <v>0</v>
          </cell>
        </row>
        <row r="42">
          <cell r="A42" t="str">
            <v>6219776010</v>
          </cell>
          <cell r="B42">
            <v>62197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 t="str">
            <v xml:space="preserve"> </v>
          </cell>
          <cell r="I42">
            <v>2305.14</v>
          </cell>
          <cell r="J42">
            <v>2305.14</v>
          </cell>
        </row>
        <row r="43">
          <cell r="A43" t="str">
            <v>6219776040</v>
          </cell>
          <cell r="B43">
            <v>62197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 t="str">
            <v xml:space="preserve"> </v>
          </cell>
          <cell r="I43">
            <v>0</v>
          </cell>
          <cell r="J43">
            <v>0</v>
          </cell>
        </row>
        <row r="44">
          <cell r="A44" t="str">
            <v>6219776051</v>
          </cell>
          <cell r="B44">
            <v>62197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 t="str">
            <v xml:space="preserve"> </v>
          </cell>
          <cell r="I44">
            <v>0</v>
          </cell>
          <cell r="J44">
            <v>0</v>
          </cell>
        </row>
        <row r="45">
          <cell r="A45" t="str">
            <v>6219776054</v>
          </cell>
          <cell r="B45">
            <v>62197</v>
          </cell>
          <cell r="C45">
            <v>76054</v>
          </cell>
          <cell r="D45" t="str">
            <v>Bldg Maintenance &amp; Repair</v>
          </cell>
          <cell r="E45">
            <v>20186.34</v>
          </cell>
          <cell r="F45">
            <v>22146.52</v>
          </cell>
          <cell r="G45">
            <v>-1960.18</v>
          </cell>
          <cell r="H45" t="str">
            <v xml:space="preserve"> </v>
          </cell>
          <cell r="I45">
            <v>55152.24</v>
          </cell>
          <cell r="J45">
            <v>55152.24</v>
          </cell>
        </row>
        <row r="46">
          <cell r="A46" t="str">
            <v>6219776060</v>
          </cell>
          <cell r="B46">
            <v>62197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 t="str">
            <v xml:space="preserve"> </v>
          </cell>
          <cell r="I46">
            <v>0</v>
          </cell>
          <cell r="J46">
            <v>0</v>
          </cell>
        </row>
        <row r="47">
          <cell r="A47" t="str">
            <v>6219776071</v>
          </cell>
          <cell r="B47">
            <v>62197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 t="str">
            <v xml:space="preserve"> </v>
          </cell>
          <cell r="I47">
            <v>40250</v>
          </cell>
          <cell r="J47">
            <v>40250</v>
          </cell>
        </row>
        <row r="48">
          <cell r="A48" t="str">
            <v>6219776090</v>
          </cell>
          <cell r="B48">
            <v>62197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 t="str">
            <v xml:space="preserve"> </v>
          </cell>
          <cell r="I48">
            <v>0</v>
          </cell>
          <cell r="J48">
            <v>0</v>
          </cell>
        </row>
        <row r="49">
          <cell r="A49" t="str">
            <v>6219777001</v>
          </cell>
          <cell r="B49">
            <v>62197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 t="str">
            <v xml:space="preserve"> </v>
          </cell>
          <cell r="I49">
            <v>0</v>
          </cell>
          <cell r="J49">
            <v>0</v>
          </cell>
        </row>
        <row r="50">
          <cell r="A50" t="str">
            <v>6219777022</v>
          </cell>
          <cell r="B50">
            <v>62197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 t="str">
            <v xml:space="preserve"> </v>
          </cell>
          <cell r="I50">
            <v>0</v>
          </cell>
          <cell r="J50">
            <v>0</v>
          </cell>
        </row>
        <row r="51">
          <cell r="A51" t="str">
            <v>6219784200</v>
          </cell>
          <cell r="B51">
            <v>62197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 t="str">
            <v xml:space="preserve"> </v>
          </cell>
          <cell r="I51">
            <v>0</v>
          </cell>
          <cell r="J51">
            <v>0</v>
          </cell>
        </row>
        <row r="52">
          <cell r="A52" t="str">
            <v>6219784240</v>
          </cell>
          <cell r="B52">
            <v>62197</v>
          </cell>
          <cell r="C52">
            <v>84240</v>
          </cell>
          <cell r="D52" t="str">
            <v>Marketing Leasing</v>
          </cell>
          <cell r="E52">
            <v>59.340000000000103</v>
          </cell>
          <cell r="F52">
            <v>10765.64</v>
          </cell>
          <cell r="G52">
            <v>-10706.3</v>
          </cell>
          <cell r="H52" t="str">
            <v xml:space="preserve"> </v>
          </cell>
          <cell r="I52">
            <v>33706.800000000003</v>
          </cell>
          <cell r="J52">
            <v>33706.800000000003</v>
          </cell>
        </row>
        <row r="53">
          <cell r="A53" t="str">
            <v>6219784242</v>
          </cell>
          <cell r="B53">
            <v>62197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 t="str">
            <v xml:space="preserve"> </v>
          </cell>
          <cell r="I53">
            <v>0</v>
          </cell>
          <cell r="J53">
            <v>0</v>
          </cell>
        </row>
        <row r="54">
          <cell r="A54" t="str">
            <v>6219784243</v>
          </cell>
          <cell r="B54">
            <v>62197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 t="str">
            <v xml:space="preserve"> </v>
          </cell>
          <cell r="I54">
            <v>-24587.84</v>
          </cell>
          <cell r="J54">
            <v>-24587.84</v>
          </cell>
        </row>
        <row r="55">
          <cell r="A55" t="str">
            <v>6219784244</v>
          </cell>
          <cell r="B55">
            <v>62197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 t="str">
            <v xml:space="preserve"> </v>
          </cell>
          <cell r="I55">
            <v>0</v>
          </cell>
          <cell r="J55">
            <v>0</v>
          </cell>
        </row>
        <row r="56">
          <cell r="A56" t="str">
            <v>6219784265</v>
          </cell>
          <cell r="B56">
            <v>62197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 t="str">
            <v xml:space="preserve"> </v>
          </cell>
          <cell r="I56">
            <v>0</v>
          </cell>
          <cell r="J56">
            <v>0</v>
          </cell>
        </row>
        <row r="57">
          <cell r="A57" t="str">
            <v>6219788037</v>
          </cell>
          <cell r="B57">
            <v>62197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 t="str">
            <v xml:space="preserve"> </v>
          </cell>
          <cell r="I57">
            <v>0</v>
          </cell>
          <cell r="J57">
            <v>0</v>
          </cell>
        </row>
        <row r="58">
          <cell r="A58" t="str">
            <v>6219785016</v>
          </cell>
          <cell r="B58">
            <v>62197</v>
          </cell>
          <cell r="C58">
            <v>85016</v>
          </cell>
          <cell r="D58" t="str">
            <v>Prof Svc-Attorney Outside</v>
          </cell>
          <cell r="E58">
            <v>3215.65</v>
          </cell>
          <cell r="F58">
            <v>1176.19</v>
          </cell>
          <cell r="G58">
            <v>2039.46</v>
          </cell>
          <cell r="H58" t="str">
            <v xml:space="preserve"> </v>
          </cell>
          <cell r="I58">
            <v>9508.3799999999992</v>
          </cell>
          <cell r="J58">
            <v>9508.3799999999992</v>
          </cell>
        </row>
        <row r="59">
          <cell r="A59" t="str">
            <v>6219785022</v>
          </cell>
          <cell r="B59">
            <v>62197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 t="str">
            <v xml:space="preserve"> </v>
          </cell>
          <cell r="I59">
            <v>6563.01</v>
          </cell>
          <cell r="J59">
            <v>6563.01</v>
          </cell>
        </row>
        <row r="60">
          <cell r="A60" t="str">
            <v>6219785065</v>
          </cell>
          <cell r="B60">
            <v>62197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 t="str">
            <v xml:space="preserve"> </v>
          </cell>
          <cell r="I60">
            <v>0</v>
          </cell>
          <cell r="J60">
            <v>0</v>
          </cell>
        </row>
        <row r="61">
          <cell r="A61" t="str">
            <v>6219785500</v>
          </cell>
          <cell r="B61">
            <v>62197</v>
          </cell>
          <cell r="C61">
            <v>85500</v>
          </cell>
          <cell r="D61" t="str">
            <v>Consulting Services</v>
          </cell>
          <cell r="E61">
            <v>100</v>
          </cell>
          <cell r="F61">
            <v>882.87</v>
          </cell>
          <cell r="G61">
            <v>-782.87</v>
          </cell>
          <cell r="H61" t="str">
            <v xml:space="preserve"> </v>
          </cell>
          <cell r="I61">
            <v>2270.2399999999998</v>
          </cell>
          <cell r="J61">
            <v>2270.2399999999998</v>
          </cell>
        </row>
        <row r="62">
          <cell r="A62" t="str">
            <v>6219785566</v>
          </cell>
          <cell r="B62">
            <v>62197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 t="str">
            <v xml:space="preserve"> </v>
          </cell>
          <cell r="I62">
            <v>0</v>
          </cell>
          <cell r="J62">
            <v>0</v>
          </cell>
        </row>
        <row r="63">
          <cell r="A63" t="str">
            <v>6219785581</v>
          </cell>
          <cell r="B63">
            <v>62197</v>
          </cell>
          <cell r="C63">
            <v>85581</v>
          </cell>
          <cell r="D63" t="str">
            <v>Bldg Admin- Salaries</v>
          </cell>
          <cell r="E63">
            <v>11.1699999999983</v>
          </cell>
          <cell r="F63">
            <v>43779.68</v>
          </cell>
          <cell r="G63">
            <v>-43768.51</v>
          </cell>
          <cell r="H63" t="str">
            <v xml:space="preserve"> </v>
          </cell>
          <cell r="I63">
            <v>138985.70000000001</v>
          </cell>
          <cell r="J63">
            <v>138985.70000000001</v>
          </cell>
        </row>
        <row r="64">
          <cell r="A64" t="str">
            <v>6219785583</v>
          </cell>
          <cell r="B64">
            <v>62197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 t="str">
            <v xml:space="preserve"> </v>
          </cell>
          <cell r="I64">
            <v>0</v>
          </cell>
          <cell r="J64">
            <v>0</v>
          </cell>
        </row>
        <row r="65">
          <cell r="A65" t="str">
            <v>6219785530</v>
          </cell>
          <cell r="B65">
            <v>62197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 t="str">
            <v xml:space="preserve"> </v>
          </cell>
          <cell r="I65">
            <v>0</v>
          </cell>
          <cell r="J65">
            <v>0</v>
          </cell>
        </row>
        <row r="66">
          <cell r="A66" t="str">
            <v>6219786012</v>
          </cell>
          <cell r="B66">
            <v>62197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 t="str">
            <v xml:space="preserve"> </v>
          </cell>
          <cell r="I66">
            <v>0</v>
          </cell>
          <cell r="J66">
            <v>0</v>
          </cell>
        </row>
        <row r="67">
          <cell r="A67" t="str">
            <v>6219786037</v>
          </cell>
          <cell r="B67">
            <v>62197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 t="str">
            <v xml:space="preserve"> </v>
          </cell>
          <cell r="I67">
            <v>0</v>
          </cell>
          <cell r="J67">
            <v>0</v>
          </cell>
        </row>
        <row r="68">
          <cell r="A68" t="str">
            <v>6219783050</v>
          </cell>
          <cell r="B68">
            <v>62197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 t="str">
            <v xml:space="preserve"> </v>
          </cell>
          <cell r="I68">
            <v>0</v>
          </cell>
          <cell r="J68">
            <v>0</v>
          </cell>
        </row>
        <row r="69">
          <cell r="A69" t="str">
            <v>6219786510</v>
          </cell>
          <cell r="B69">
            <v>62197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 t="str">
            <v xml:space="preserve"> </v>
          </cell>
          <cell r="I69">
            <v>0</v>
          </cell>
          <cell r="J69">
            <v>0</v>
          </cell>
        </row>
        <row r="70">
          <cell r="A70" t="str">
            <v>6219786537</v>
          </cell>
          <cell r="B70">
            <v>62197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 t="str">
            <v xml:space="preserve"> </v>
          </cell>
          <cell r="I70">
            <v>0</v>
          </cell>
          <cell r="J70">
            <v>0</v>
          </cell>
        </row>
        <row r="71">
          <cell r="A71" t="str">
            <v>6219786566</v>
          </cell>
          <cell r="B71">
            <v>62197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 t="str">
            <v xml:space="preserve"> </v>
          </cell>
          <cell r="I71">
            <v>0</v>
          </cell>
          <cell r="J71">
            <v>0</v>
          </cell>
        </row>
        <row r="72">
          <cell r="A72" t="str">
            <v>6219786955</v>
          </cell>
          <cell r="B72">
            <v>62197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 t="str">
            <v xml:space="preserve"> </v>
          </cell>
          <cell r="I72">
            <v>0</v>
          </cell>
          <cell r="J72">
            <v>0</v>
          </cell>
        </row>
        <row r="73">
          <cell r="A73" t="str">
            <v>6219786985</v>
          </cell>
          <cell r="B73">
            <v>62197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 t="str">
            <v xml:space="preserve"> </v>
          </cell>
          <cell r="I73">
            <v>0</v>
          </cell>
          <cell r="J73">
            <v>0</v>
          </cell>
        </row>
        <row r="74">
          <cell r="A74" t="str">
            <v>6219786880</v>
          </cell>
          <cell r="B74">
            <v>62197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 t="str">
            <v xml:space="preserve"> </v>
          </cell>
          <cell r="I74">
            <v>0</v>
          </cell>
          <cell r="J74">
            <v>0</v>
          </cell>
        </row>
        <row r="75">
          <cell r="A75" t="str">
            <v>6219788710</v>
          </cell>
          <cell r="B75">
            <v>62197</v>
          </cell>
          <cell r="C75">
            <v>88710</v>
          </cell>
          <cell r="D75" t="str">
            <v>Losses-Bad Debts</v>
          </cell>
          <cell r="E75">
            <v>11320.04</v>
          </cell>
          <cell r="F75">
            <v>15337</v>
          </cell>
          <cell r="G75">
            <v>-4016.96</v>
          </cell>
          <cell r="H75" t="str">
            <v xml:space="preserve"> </v>
          </cell>
          <cell r="I75">
            <v>61348</v>
          </cell>
          <cell r="J75">
            <v>61348</v>
          </cell>
        </row>
        <row r="76">
          <cell r="A76" t="str">
            <v>6219788711</v>
          </cell>
          <cell r="B76">
            <v>62197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 t="str">
            <v xml:space="preserve"> </v>
          </cell>
          <cell r="I76">
            <v>0</v>
          </cell>
          <cell r="J76">
            <v>0</v>
          </cell>
        </row>
        <row r="77">
          <cell r="A77" t="str">
            <v>6219788785</v>
          </cell>
          <cell r="B77">
            <v>62197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 t="str">
            <v xml:space="preserve"> </v>
          </cell>
          <cell r="I77">
            <v>0</v>
          </cell>
          <cell r="J77">
            <v>0</v>
          </cell>
        </row>
        <row r="78">
          <cell r="A78" t="str">
            <v>6219788847</v>
          </cell>
          <cell r="B78">
            <v>62197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 t="str">
            <v xml:space="preserve"> </v>
          </cell>
          <cell r="I78">
            <v>0</v>
          </cell>
          <cell r="J78">
            <v>0</v>
          </cell>
        </row>
        <row r="79">
          <cell r="A79" t="str">
            <v>6219788866</v>
          </cell>
          <cell r="B79">
            <v>62197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 t="str">
            <v xml:space="preserve"> </v>
          </cell>
          <cell r="I79">
            <v>0</v>
          </cell>
          <cell r="J79">
            <v>0</v>
          </cell>
        </row>
        <row r="80">
          <cell r="A80" t="str">
            <v>6219788870</v>
          </cell>
          <cell r="B80">
            <v>62197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 t="str">
            <v xml:space="preserve"> </v>
          </cell>
          <cell r="I80">
            <v>0</v>
          </cell>
          <cell r="J80">
            <v>0</v>
          </cell>
        </row>
        <row r="81">
          <cell r="A81" t="str">
            <v>6219788889</v>
          </cell>
          <cell r="B81">
            <v>62197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 t="str">
            <v xml:space="preserve"> </v>
          </cell>
          <cell r="I81">
            <v>0</v>
          </cell>
          <cell r="J81">
            <v>0</v>
          </cell>
        </row>
        <row r="82">
          <cell r="A82" t="str">
            <v>6219789776</v>
          </cell>
          <cell r="B82">
            <v>62197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 t="str">
            <v xml:space="preserve"> </v>
          </cell>
          <cell r="I82">
            <v>0</v>
          </cell>
          <cell r="J82">
            <v>0</v>
          </cell>
        </row>
        <row r="83">
          <cell r="A83" t="str">
            <v>6219789787</v>
          </cell>
          <cell r="B83">
            <v>62197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 t="str">
            <v xml:space="preserve"> </v>
          </cell>
          <cell r="I83">
            <v>0</v>
          </cell>
          <cell r="J83">
            <v>0</v>
          </cell>
        </row>
        <row r="84">
          <cell r="A84" t="str">
            <v>6219789510</v>
          </cell>
          <cell r="B84">
            <v>62197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409947</v>
          </cell>
          <cell r="G84">
            <v>-409947</v>
          </cell>
          <cell r="H84" t="str">
            <v xml:space="preserve"> </v>
          </cell>
          <cell r="I84">
            <v>1200071</v>
          </cell>
          <cell r="J84">
            <v>1200071</v>
          </cell>
        </row>
        <row r="85">
          <cell r="A85" t="str">
            <v>6219789511</v>
          </cell>
          <cell r="B85">
            <v>62197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 t="str">
            <v xml:space="preserve"> </v>
          </cell>
          <cell r="I85">
            <v>0</v>
          </cell>
          <cell r="J85">
            <v>0</v>
          </cell>
        </row>
        <row r="86">
          <cell r="A86" t="str">
            <v>6219789512</v>
          </cell>
          <cell r="B86">
            <v>62197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 t="str">
            <v xml:space="preserve"> </v>
          </cell>
          <cell r="I86">
            <v>0</v>
          </cell>
          <cell r="J86">
            <v>0</v>
          </cell>
        </row>
        <row r="87">
          <cell r="A87" t="str">
            <v>6219789528</v>
          </cell>
          <cell r="B87">
            <v>62197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 t="str">
            <v xml:space="preserve"> </v>
          </cell>
          <cell r="I87">
            <v>0</v>
          </cell>
          <cell r="J87">
            <v>0</v>
          </cell>
        </row>
        <row r="88">
          <cell r="A88" t="str">
            <v>6219789529</v>
          </cell>
          <cell r="B88">
            <v>62197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9336</v>
          </cell>
          <cell r="G88">
            <v>-9336</v>
          </cell>
          <cell r="H88" t="str">
            <v xml:space="preserve"> </v>
          </cell>
          <cell r="I88">
            <v>28008</v>
          </cell>
          <cell r="J88">
            <v>28008</v>
          </cell>
        </row>
        <row r="89">
          <cell r="A89" t="str">
            <v>6219789567</v>
          </cell>
          <cell r="B89">
            <v>62197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 t="str">
            <v xml:space="preserve"> </v>
          </cell>
          <cell r="I89">
            <v>0</v>
          </cell>
          <cell r="J89">
            <v>0</v>
          </cell>
        </row>
        <row r="90">
          <cell r="A90" t="str">
            <v>6219785058</v>
          </cell>
          <cell r="B90">
            <v>62197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 t="str">
            <v xml:space="preserve"> </v>
          </cell>
          <cell r="I90">
            <v>0</v>
          </cell>
          <cell r="J90">
            <v>0</v>
          </cell>
        </row>
        <row r="91">
          <cell r="A91" t="str">
            <v>6219786513</v>
          </cell>
          <cell r="B91">
            <v>62197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537.04</v>
          </cell>
          <cell r="G91">
            <v>-537.04</v>
          </cell>
          <cell r="H91" t="str">
            <v xml:space="preserve"> </v>
          </cell>
          <cell r="I91">
            <v>6344.69</v>
          </cell>
          <cell r="J91">
            <v>6344.69</v>
          </cell>
        </row>
        <row r="92">
          <cell r="A92" t="str">
            <v>6219786519</v>
          </cell>
          <cell r="B92">
            <v>62197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 t="str">
            <v xml:space="preserve"> </v>
          </cell>
          <cell r="I92">
            <v>0</v>
          </cell>
          <cell r="J92">
            <v>0</v>
          </cell>
        </row>
        <row r="93">
          <cell r="A93" t="str">
            <v>6219788770</v>
          </cell>
          <cell r="B93">
            <v>62197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 t="str">
            <v xml:space="preserve"> </v>
          </cell>
          <cell r="I93">
            <v>0</v>
          </cell>
          <cell r="J93">
            <v>0</v>
          </cell>
        </row>
        <row r="94">
          <cell r="A94" t="str">
            <v>6219788862</v>
          </cell>
          <cell r="B94">
            <v>62197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 t="str">
            <v xml:space="preserve"> </v>
          </cell>
          <cell r="I94">
            <v>0</v>
          </cell>
          <cell r="J94">
            <v>0</v>
          </cell>
        </row>
        <row r="95">
          <cell r="A95" t="str">
            <v>6219788874</v>
          </cell>
          <cell r="B95">
            <v>62197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 t="str">
            <v xml:space="preserve"> </v>
          </cell>
          <cell r="I95">
            <v>0</v>
          </cell>
          <cell r="J95">
            <v>0</v>
          </cell>
        </row>
        <row r="96">
          <cell r="A96" t="str">
            <v>6219789910</v>
          </cell>
          <cell r="B96">
            <v>62197</v>
          </cell>
          <cell r="C96">
            <v>89910</v>
          </cell>
          <cell r="D96" t="str">
            <v>Depreciation</v>
          </cell>
          <cell r="E96">
            <v>0</v>
          </cell>
          <cell r="F96">
            <v>131515.72</v>
          </cell>
          <cell r="G96">
            <v>-131515.72</v>
          </cell>
          <cell r="H96" t="str">
            <v xml:space="preserve"> </v>
          </cell>
          <cell r="I96">
            <v>418959.38</v>
          </cell>
          <cell r="J96">
            <v>418959.38</v>
          </cell>
        </row>
        <row r="97">
          <cell r="A97" t="str">
            <v>6219789548</v>
          </cell>
          <cell r="B97">
            <v>62197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 t="str">
            <v xml:space="preserve"> </v>
          </cell>
          <cell r="I97">
            <v>0</v>
          </cell>
          <cell r="J97">
            <v>0</v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1"/>
      <sheetName val="TMP2"/>
      <sheetName val="TMP3"/>
      <sheetName val="variance"/>
    </sheetNames>
    <sheetDataSet>
      <sheetData sheetId="0"/>
      <sheetData sheetId="1"/>
      <sheetData sheetId="2"/>
      <sheetData sheetId="3" refreshError="1">
        <row r="2">
          <cell r="A2" t="str">
            <v>6219741010</v>
          </cell>
          <cell r="B2">
            <v>62197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 t="str">
            <v xml:space="preserve"> </v>
          </cell>
          <cell r="I2">
            <v>0</v>
          </cell>
          <cell r="J2">
            <v>0</v>
          </cell>
        </row>
        <row r="3">
          <cell r="A3" t="str">
            <v>6219741040</v>
          </cell>
          <cell r="B3">
            <v>62197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 t="str">
            <v xml:space="preserve"> </v>
          </cell>
          <cell r="I3">
            <v>0</v>
          </cell>
          <cell r="J3">
            <v>0</v>
          </cell>
        </row>
        <row r="4">
          <cell r="A4" t="str">
            <v>6219741050</v>
          </cell>
          <cell r="B4">
            <v>62197</v>
          </cell>
          <cell r="C4">
            <v>41050</v>
          </cell>
          <cell r="D4" t="str">
            <v>Rental Income - Fixed</v>
          </cell>
          <cell r="E4">
            <v>-1060601.54</v>
          </cell>
          <cell r="F4">
            <v>-1076982.8899999999</v>
          </cell>
          <cell r="G4">
            <v>16381.3499999999</v>
          </cell>
          <cell r="H4" t="str">
            <v xml:space="preserve"> </v>
          </cell>
          <cell r="I4">
            <v>-4536471.82</v>
          </cell>
          <cell r="J4">
            <v>-4536471.82</v>
          </cell>
        </row>
        <row r="5">
          <cell r="A5" t="str">
            <v>6219741074</v>
          </cell>
          <cell r="B5">
            <v>62197</v>
          </cell>
          <cell r="C5">
            <v>41074</v>
          </cell>
          <cell r="D5" t="str">
            <v>Rental Income - Percentage</v>
          </cell>
          <cell r="E5">
            <v>-4431.6899999999996</v>
          </cell>
          <cell r="F5">
            <v>-13293</v>
          </cell>
          <cell r="G5">
            <v>8861.31</v>
          </cell>
          <cell r="H5" t="str">
            <v xml:space="preserve"> </v>
          </cell>
          <cell r="I5">
            <v>-53172</v>
          </cell>
          <cell r="J5">
            <v>-53172</v>
          </cell>
        </row>
        <row r="6">
          <cell r="A6" t="str">
            <v>6219741082</v>
          </cell>
          <cell r="B6">
            <v>62197</v>
          </cell>
          <cell r="C6">
            <v>41082</v>
          </cell>
          <cell r="D6" t="str">
            <v>Rental Income - Operating Exp</v>
          </cell>
          <cell r="E6">
            <v>-299748.63</v>
          </cell>
          <cell r="F6">
            <v>-380573.22</v>
          </cell>
          <cell r="G6">
            <v>80824.59</v>
          </cell>
          <cell r="H6" t="str">
            <v xml:space="preserve"> </v>
          </cell>
          <cell r="I6">
            <v>-1522292.88</v>
          </cell>
          <cell r="J6">
            <v>-1522292.88</v>
          </cell>
        </row>
        <row r="7">
          <cell r="A7" t="str">
            <v>6219744610</v>
          </cell>
          <cell r="B7">
            <v>62197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 t="str">
            <v xml:space="preserve"> </v>
          </cell>
          <cell r="I7">
            <v>0</v>
          </cell>
          <cell r="J7">
            <v>0</v>
          </cell>
        </row>
        <row r="8">
          <cell r="A8" t="str">
            <v>6219745071</v>
          </cell>
          <cell r="B8">
            <v>62197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 t="str">
            <v xml:space="preserve"> </v>
          </cell>
          <cell r="I8">
            <v>0</v>
          </cell>
          <cell r="J8">
            <v>0</v>
          </cell>
        </row>
        <row r="9">
          <cell r="A9" t="str">
            <v>6219745010</v>
          </cell>
          <cell r="B9">
            <v>62197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 t="str">
            <v xml:space="preserve"> </v>
          </cell>
          <cell r="I9">
            <v>0</v>
          </cell>
          <cell r="J9">
            <v>0</v>
          </cell>
        </row>
        <row r="10">
          <cell r="A10" t="str">
            <v>6219745046</v>
          </cell>
          <cell r="B10">
            <v>62197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 t="str">
            <v xml:space="preserve"> </v>
          </cell>
          <cell r="I10">
            <v>0</v>
          </cell>
          <cell r="J10">
            <v>0</v>
          </cell>
        </row>
        <row r="11">
          <cell r="A11" t="str">
            <v>6219745070</v>
          </cell>
          <cell r="B11">
            <v>62197</v>
          </cell>
          <cell r="C11">
            <v>45070</v>
          </cell>
          <cell r="D11" t="str">
            <v>Other Income</v>
          </cell>
          <cell r="E11">
            <v>-37755.57</v>
          </cell>
          <cell r="F11">
            <v>-15795.93</v>
          </cell>
          <cell r="G11">
            <v>-21959.64</v>
          </cell>
          <cell r="H11" t="str">
            <v xml:space="preserve"> </v>
          </cell>
          <cell r="I11">
            <v>-22072.07</v>
          </cell>
          <cell r="J11">
            <v>-22072.07</v>
          </cell>
        </row>
        <row r="12">
          <cell r="A12" t="str">
            <v>6219741060</v>
          </cell>
          <cell r="B12">
            <v>62197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97920</v>
          </cell>
          <cell r="G12">
            <v>-97920</v>
          </cell>
          <cell r="H12" t="str">
            <v xml:space="preserve"> </v>
          </cell>
          <cell r="I12">
            <v>391680</v>
          </cell>
          <cell r="J12">
            <v>391680</v>
          </cell>
        </row>
        <row r="13">
          <cell r="A13" t="str">
            <v>6219744870</v>
          </cell>
          <cell r="B13">
            <v>62197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 t="str">
            <v xml:space="preserve"> </v>
          </cell>
          <cell r="I13">
            <v>-750</v>
          </cell>
          <cell r="J13">
            <v>-750</v>
          </cell>
        </row>
        <row r="14">
          <cell r="A14" t="str">
            <v>6219752542</v>
          </cell>
          <cell r="B14">
            <v>62197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 t="str">
            <v xml:space="preserve"> </v>
          </cell>
          <cell r="I14">
            <v>0</v>
          </cell>
          <cell r="J14">
            <v>0</v>
          </cell>
        </row>
        <row r="15">
          <cell r="A15" t="str">
            <v>6219772710</v>
          </cell>
          <cell r="B15">
            <v>62197</v>
          </cell>
          <cell r="C15">
            <v>72710</v>
          </cell>
          <cell r="D15" t="str">
            <v>Utilities - Electricity</v>
          </cell>
          <cell r="E15">
            <v>6818.58</v>
          </cell>
          <cell r="F15">
            <v>14185.34</v>
          </cell>
          <cell r="G15">
            <v>-7366.76</v>
          </cell>
          <cell r="H15" t="str">
            <v xml:space="preserve"> </v>
          </cell>
          <cell r="I15">
            <v>61652.97</v>
          </cell>
          <cell r="J15">
            <v>61652.97</v>
          </cell>
        </row>
        <row r="16">
          <cell r="A16" t="str">
            <v>6219772740</v>
          </cell>
          <cell r="B16">
            <v>62197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 t="str">
            <v xml:space="preserve"> </v>
          </cell>
          <cell r="I16">
            <v>0</v>
          </cell>
          <cell r="J16">
            <v>0</v>
          </cell>
        </row>
        <row r="17">
          <cell r="A17" t="str">
            <v>6219772770</v>
          </cell>
          <cell r="B17">
            <v>62197</v>
          </cell>
          <cell r="C17">
            <v>72770</v>
          </cell>
          <cell r="D17" t="str">
            <v>Utilities - Water</v>
          </cell>
          <cell r="E17">
            <v>5709.46</v>
          </cell>
          <cell r="F17">
            <v>5960.97</v>
          </cell>
          <cell r="G17">
            <v>-251.51</v>
          </cell>
          <cell r="H17" t="str">
            <v xml:space="preserve"> </v>
          </cell>
          <cell r="I17">
            <v>23078.89</v>
          </cell>
          <cell r="J17">
            <v>23078.89</v>
          </cell>
        </row>
        <row r="18">
          <cell r="A18" t="str">
            <v>6219776000</v>
          </cell>
          <cell r="B18">
            <v>62197</v>
          </cell>
          <cell r="C18">
            <v>76000</v>
          </cell>
          <cell r="D18" t="str">
            <v>Bldg Maintenance &amp; Repair</v>
          </cell>
          <cell r="E18">
            <v>10710.73</v>
          </cell>
          <cell r="F18">
            <v>18805.78</v>
          </cell>
          <cell r="G18">
            <v>-8095.05</v>
          </cell>
          <cell r="H18" t="str">
            <v xml:space="preserve"> </v>
          </cell>
          <cell r="I18">
            <v>93635.76</v>
          </cell>
          <cell r="J18">
            <v>93635.76</v>
          </cell>
        </row>
        <row r="19">
          <cell r="A19" t="str">
            <v>6219776020</v>
          </cell>
          <cell r="B19">
            <v>62197</v>
          </cell>
          <cell r="C19">
            <v>76020</v>
          </cell>
          <cell r="D19" t="str">
            <v>Food Court Expense</v>
          </cell>
          <cell r="E19">
            <v>4782</v>
          </cell>
          <cell r="F19">
            <v>5553.76</v>
          </cell>
          <cell r="G19">
            <v>-771.76</v>
          </cell>
          <cell r="H19" t="str">
            <v xml:space="preserve"> </v>
          </cell>
          <cell r="I19">
            <v>20340.439999999999</v>
          </cell>
          <cell r="J19">
            <v>20340.439999999999</v>
          </cell>
        </row>
        <row r="20">
          <cell r="A20" t="str">
            <v>6219776034</v>
          </cell>
          <cell r="B20">
            <v>62197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 t="str">
            <v xml:space="preserve"> </v>
          </cell>
          <cell r="I20">
            <v>0</v>
          </cell>
          <cell r="J20">
            <v>0</v>
          </cell>
        </row>
        <row r="21">
          <cell r="A21" t="str">
            <v>6219776050</v>
          </cell>
          <cell r="B21">
            <v>62197</v>
          </cell>
          <cell r="C21">
            <v>76050</v>
          </cell>
          <cell r="D21" t="str">
            <v>Cleaning Expense</v>
          </cell>
          <cell r="E21">
            <v>27708.66</v>
          </cell>
          <cell r="F21">
            <v>28134.86</v>
          </cell>
          <cell r="G21">
            <v>-426.20000000000101</v>
          </cell>
          <cell r="H21" t="str">
            <v xml:space="preserve"> </v>
          </cell>
          <cell r="I21">
            <v>109484.91</v>
          </cell>
          <cell r="J21">
            <v>109484.91</v>
          </cell>
        </row>
        <row r="22">
          <cell r="A22" t="str">
            <v>6219776056</v>
          </cell>
          <cell r="B22">
            <v>62197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 t="str">
            <v xml:space="preserve"> </v>
          </cell>
          <cell r="I22">
            <v>0</v>
          </cell>
          <cell r="J22">
            <v>0</v>
          </cell>
        </row>
        <row r="23">
          <cell r="A23" t="str">
            <v>6219776070</v>
          </cell>
          <cell r="B23">
            <v>62197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 t="str">
            <v xml:space="preserve"> </v>
          </cell>
          <cell r="I23">
            <v>0</v>
          </cell>
          <cell r="J23">
            <v>0</v>
          </cell>
        </row>
        <row r="24">
          <cell r="A24" t="str">
            <v>6219776091</v>
          </cell>
          <cell r="B24">
            <v>62197</v>
          </cell>
          <cell r="C24">
            <v>76091</v>
          </cell>
          <cell r="D24" t="str">
            <v>Parking Maintenance</v>
          </cell>
          <cell r="E24">
            <v>15054.64</v>
          </cell>
          <cell r="F24">
            <v>14786.95</v>
          </cell>
          <cell r="G24">
            <v>267.68999999999897</v>
          </cell>
          <cell r="H24" t="str">
            <v xml:space="preserve"> </v>
          </cell>
          <cell r="I24">
            <v>57426.7</v>
          </cell>
          <cell r="J24">
            <v>57426.7</v>
          </cell>
        </row>
        <row r="25">
          <cell r="A25" t="str">
            <v>6219777000</v>
          </cell>
          <cell r="B25">
            <v>62197</v>
          </cell>
          <cell r="C25">
            <v>77000</v>
          </cell>
          <cell r="D25" t="str">
            <v>Grounds Maintenance</v>
          </cell>
          <cell r="E25">
            <v>15922.3</v>
          </cell>
          <cell r="F25">
            <v>6333.02</v>
          </cell>
          <cell r="G25">
            <v>9589.2800000000007</v>
          </cell>
          <cell r="H25" t="str">
            <v xml:space="preserve"> </v>
          </cell>
          <cell r="I25">
            <v>60496.83</v>
          </cell>
          <cell r="J25">
            <v>60496.83</v>
          </cell>
        </row>
        <row r="26">
          <cell r="A26" t="str">
            <v>6219777053</v>
          </cell>
          <cell r="B26">
            <v>62197</v>
          </cell>
          <cell r="C26">
            <v>77053</v>
          </cell>
          <cell r="D26" t="str">
            <v>Landscaping</v>
          </cell>
          <cell r="E26">
            <v>15404</v>
          </cell>
          <cell r="F26">
            <v>20515.169999999998</v>
          </cell>
          <cell r="G26">
            <v>-5111.17</v>
          </cell>
          <cell r="H26" t="str">
            <v xml:space="preserve"> </v>
          </cell>
          <cell r="I26">
            <v>122670.74</v>
          </cell>
          <cell r="J26">
            <v>122670.74</v>
          </cell>
        </row>
        <row r="27">
          <cell r="A27" t="str">
            <v>6219778020</v>
          </cell>
          <cell r="B27">
            <v>62197</v>
          </cell>
          <cell r="C27">
            <v>78020</v>
          </cell>
          <cell r="D27" t="str">
            <v>Amortized CAM Exp</v>
          </cell>
          <cell r="E27">
            <v>16250</v>
          </cell>
          <cell r="F27">
            <v>16250.01</v>
          </cell>
          <cell r="G27">
            <v>-1.00000000002183E-2</v>
          </cell>
          <cell r="H27" t="str">
            <v xml:space="preserve"> </v>
          </cell>
          <cell r="I27">
            <v>65000</v>
          </cell>
          <cell r="J27">
            <v>65000</v>
          </cell>
        </row>
        <row r="28">
          <cell r="A28" t="str">
            <v>6219784264</v>
          </cell>
          <cell r="B28">
            <v>62197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 t="str">
            <v xml:space="preserve"> </v>
          </cell>
          <cell r="I28">
            <v>0</v>
          </cell>
          <cell r="J28">
            <v>0</v>
          </cell>
        </row>
        <row r="29">
          <cell r="A29" t="str">
            <v>6219785555</v>
          </cell>
          <cell r="B29">
            <v>62197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 t="str">
            <v xml:space="preserve"> </v>
          </cell>
          <cell r="I29">
            <v>0</v>
          </cell>
          <cell r="J29">
            <v>0</v>
          </cell>
        </row>
        <row r="30">
          <cell r="A30" t="str">
            <v>6219785584</v>
          </cell>
          <cell r="B30">
            <v>62197</v>
          </cell>
          <cell r="C30">
            <v>85584</v>
          </cell>
          <cell r="D30" t="str">
            <v>Bldg Admin-Office Costs</v>
          </cell>
          <cell r="E30">
            <v>2128.6999999999998</v>
          </cell>
          <cell r="F30">
            <v>9222.75</v>
          </cell>
          <cell r="G30">
            <v>-7094.05</v>
          </cell>
          <cell r="H30" t="str">
            <v xml:space="preserve"> </v>
          </cell>
          <cell r="I30">
            <v>36891</v>
          </cell>
          <cell r="J30">
            <v>36891</v>
          </cell>
        </row>
        <row r="31">
          <cell r="A31" t="str">
            <v>6219785582</v>
          </cell>
          <cell r="B31">
            <v>62197</v>
          </cell>
          <cell r="C31">
            <v>85582</v>
          </cell>
          <cell r="D31" t="str">
            <v>Bldg Admin-Salaries</v>
          </cell>
          <cell r="E31">
            <v>44.650000000001498</v>
          </cell>
          <cell r="F31">
            <v>44171.76</v>
          </cell>
          <cell r="G31">
            <v>-44127.11</v>
          </cell>
          <cell r="H31" t="str">
            <v xml:space="preserve"> </v>
          </cell>
          <cell r="I31">
            <v>187665.2</v>
          </cell>
          <cell r="J31">
            <v>187665.2</v>
          </cell>
        </row>
        <row r="32">
          <cell r="A32" t="str">
            <v>6219786564</v>
          </cell>
          <cell r="B32">
            <v>62197</v>
          </cell>
          <cell r="C32">
            <v>86564</v>
          </cell>
          <cell r="D32" t="str">
            <v>Insurance</v>
          </cell>
          <cell r="E32">
            <v>18474</v>
          </cell>
          <cell r="F32">
            <v>18473.490000000002</v>
          </cell>
          <cell r="G32">
            <v>0.50999999999839896</v>
          </cell>
          <cell r="H32" t="str">
            <v xml:space="preserve"> </v>
          </cell>
          <cell r="I32">
            <v>73894</v>
          </cell>
          <cell r="J32">
            <v>73894</v>
          </cell>
        </row>
        <row r="33">
          <cell r="A33" t="str">
            <v>6219788846</v>
          </cell>
          <cell r="B33">
            <v>62197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 t="str">
            <v xml:space="preserve"> </v>
          </cell>
          <cell r="I33">
            <v>0</v>
          </cell>
          <cell r="J33">
            <v>0</v>
          </cell>
        </row>
        <row r="34">
          <cell r="A34" t="str">
            <v>6219788890</v>
          </cell>
          <cell r="B34">
            <v>62197</v>
          </cell>
          <cell r="C34">
            <v>88890</v>
          </cell>
          <cell r="D34" t="str">
            <v>Security/Safety</v>
          </cell>
          <cell r="E34">
            <v>12793.51</v>
          </cell>
          <cell r="F34">
            <v>12644.58</v>
          </cell>
          <cell r="G34">
            <v>148.93</v>
          </cell>
          <cell r="H34" t="str">
            <v xml:space="preserve"> </v>
          </cell>
          <cell r="I34">
            <v>53626.86</v>
          </cell>
          <cell r="J34">
            <v>53626.86</v>
          </cell>
        </row>
        <row r="35">
          <cell r="A35" t="str">
            <v>6219789775</v>
          </cell>
          <cell r="B35">
            <v>62197</v>
          </cell>
          <cell r="C35">
            <v>89775</v>
          </cell>
          <cell r="D35" t="str">
            <v>Assmt Dist Taxes- Reimb</v>
          </cell>
          <cell r="E35">
            <v>31034.76</v>
          </cell>
          <cell r="F35">
            <v>31034.76</v>
          </cell>
          <cell r="G35">
            <v>0</v>
          </cell>
          <cell r="H35" t="str">
            <v xml:space="preserve"> </v>
          </cell>
          <cell r="I35">
            <v>124139</v>
          </cell>
          <cell r="J35">
            <v>124139</v>
          </cell>
        </row>
        <row r="36">
          <cell r="A36" t="str">
            <v>6219789729</v>
          </cell>
          <cell r="B36">
            <v>62197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 t="str">
            <v xml:space="preserve"> </v>
          </cell>
          <cell r="I36">
            <v>0</v>
          </cell>
          <cell r="J36">
            <v>0</v>
          </cell>
        </row>
        <row r="37">
          <cell r="A37" t="str">
            <v>6219789786</v>
          </cell>
          <cell r="B37">
            <v>62197</v>
          </cell>
          <cell r="C37">
            <v>89786</v>
          </cell>
          <cell r="D37" t="str">
            <v>Property Tax Exp</v>
          </cell>
          <cell r="E37">
            <v>46772.01</v>
          </cell>
          <cell r="F37">
            <v>46772.01</v>
          </cell>
          <cell r="G37">
            <v>0</v>
          </cell>
          <cell r="H37" t="str">
            <v xml:space="preserve"> </v>
          </cell>
          <cell r="I37">
            <v>187088</v>
          </cell>
          <cell r="J37">
            <v>187088</v>
          </cell>
        </row>
        <row r="38">
          <cell r="A38" t="str">
            <v>6219771040</v>
          </cell>
          <cell r="B38">
            <v>62197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 t="str">
            <v xml:space="preserve"> </v>
          </cell>
          <cell r="I38">
            <v>0</v>
          </cell>
          <cell r="J38">
            <v>0</v>
          </cell>
        </row>
        <row r="39">
          <cell r="A39" t="str">
            <v>6219772701</v>
          </cell>
          <cell r="B39">
            <v>62197</v>
          </cell>
          <cell r="C39">
            <v>72701</v>
          </cell>
          <cell r="D39" t="str">
            <v>Utilities</v>
          </cell>
          <cell r="E39">
            <v>905.88</v>
          </cell>
          <cell r="F39">
            <v>919.11</v>
          </cell>
          <cell r="G39">
            <v>-13.23</v>
          </cell>
          <cell r="H39" t="str">
            <v xml:space="preserve"> </v>
          </cell>
          <cell r="I39">
            <v>2224</v>
          </cell>
          <cell r="J39">
            <v>2224</v>
          </cell>
        </row>
        <row r="40">
          <cell r="A40" t="str">
            <v>6219772855</v>
          </cell>
          <cell r="B40">
            <v>62197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 t="str">
            <v xml:space="preserve"> </v>
          </cell>
          <cell r="I40">
            <v>0</v>
          </cell>
          <cell r="J40">
            <v>0</v>
          </cell>
        </row>
        <row r="41">
          <cell r="A41" t="str">
            <v>6219772870</v>
          </cell>
          <cell r="B41">
            <v>62197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 t="str">
            <v xml:space="preserve"> </v>
          </cell>
          <cell r="I41">
            <v>0</v>
          </cell>
          <cell r="J41">
            <v>0</v>
          </cell>
        </row>
        <row r="42">
          <cell r="A42" t="str">
            <v>6219776010</v>
          </cell>
          <cell r="B42">
            <v>62197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 t="str">
            <v xml:space="preserve"> </v>
          </cell>
          <cell r="I42">
            <v>2305.14</v>
          </cell>
          <cell r="J42">
            <v>2305.14</v>
          </cell>
        </row>
        <row r="43">
          <cell r="A43" t="str">
            <v>6219776040</v>
          </cell>
          <cell r="B43">
            <v>62197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 t="str">
            <v xml:space="preserve"> </v>
          </cell>
          <cell r="I43">
            <v>0</v>
          </cell>
          <cell r="J43">
            <v>0</v>
          </cell>
        </row>
        <row r="44">
          <cell r="A44" t="str">
            <v>6219776051</v>
          </cell>
          <cell r="B44">
            <v>62197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 t="str">
            <v xml:space="preserve"> </v>
          </cell>
          <cell r="I44">
            <v>0</v>
          </cell>
          <cell r="J44">
            <v>0</v>
          </cell>
        </row>
        <row r="45">
          <cell r="A45" t="str">
            <v>6219776054</v>
          </cell>
          <cell r="B45">
            <v>62197</v>
          </cell>
          <cell r="C45">
            <v>76054</v>
          </cell>
          <cell r="D45" t="str">
            <v>Bldg Maintenance &amp; Repair</v>
          </cell>
          <cell r="E45">
            <v>15160.9</v>
          </cell>
          <cell r="F45">
            <v>16985.84</v>
          </cell>
          <cell r="G45">
            <v>-1824.94</v>
          </cell>
          <cell r="H45" t="str">
            <v xml:space="preserve"> </v>
          </cell>
          <cell r="I45">
            <v>55152.24</v>
          </cell>
          <cell r="J45">
            <v>55152.24</v>
          </cell>
        </row>
        <row r="46">
          <cell r="A46" t="str">
            <v>6219776060</v>
          </cell>
          <cell r="B46">
            <v>62197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 t="str">
            <v xml:space="preserve"> </v>
          </cell>
          <cell r="I46">
            <v>0</v>
          </cell>
          <cell r="J46">
            <v>0</v>
          </cell>
        </row>
        <row r="47">
          <cell r="A47" t="str">
            <v>6219776071</v>
          </cell>
          <cell r="B47">
            <v>62197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 t="str">
            <v xml:space="preserve"> </v>
          </cell>
          <cell r="I47">
            <v>40250</v>
          </cell>
          <cell r="J47">
            <v>40250</v>
          </cell>
        </row>
        <row r="48">
          <cell r="A48" t="str">
            <v>6219776090</v>
          </cell>
          <cell r="B48">
            <v>62197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 t="str">
            <v xml:space="preserve"> </v>
          </cell>
          <cell r="I48">
            <v>0</v>
          </cell>
          <cell r="J48">
            <v>0</v>
          </cell>
        </row>
        <row r="49">
          <cell r="A49" t="str">
            <v>6219777001</v>
          </cell>
          <cell r="B49">
            <v>62197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 t="str">
            <v xml:space="preserve"> </v>
          </cell>
          <cell r="I49">
            <v>0</v>
          </cell>
          <cell r="J49">
            <v>0</v>
          </cell>
        </row>
        <row r="50">
          <cell r="A50" t="str">
            <v>6219777022</v>
          </cell>
          <cell r="B50">
            <v>62197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 t="str">
            <v xml:space="preserve"> </v>
          </cell>
          <cell r="I50">
            <v>0</v>
          </cell>
          <cell r="J50">
            <v>0</v>
          </cell>
        </row>
        <row r="51">
          <cell r="A51" t="str">
            <v>6219784200</v>
          </cell>
          <cell r="B51">
            <v>62197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 t="str">
            <v xml:space="preserve"> </v>
          </cell>
          <cell r="I51">
            <v>0</v>
          </cell>
          <cell r="J51">
            <v>0</v>
          </cell>
        </row>
        <row r="52">
          <cell r="A52" t="str">
            <v>6219784240</v>
          </cell>
          <cell r="B52">
            <v>62197</v>
          </cell>
          <cell r="C52">
            <v>84240</v>
          </cell>
          <cell r="D52" t="str">
            <v>Marketing Leasing</v>
          </cell>
          <cell r="E52">
            <v>59.340000000000103</v>
          </cell>
          <cell r="F52">
            <v>8074.23</v>
          </cell>
          <cell r="G52">
            <v>-8014.89</v>
          </cell>
          <cell r="H52" t="str">
            <v xml:space="preserve"> </v>
          </cell>
          <cell r="I52">
            <v>33706.800000000003</v>
          </cell>
          <cell r="J52">
            <v>33706.800000000003</v>
          </cell>
        </row>
        <row r="53">
          <cell r="A53" t="str">
            <v>6219784242</v>
          </cell>
          <cell r="B53">
            <v>62197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 t="str">
            <v xml:space="preserve"> </v>
          </cell>
          <cell r="I53">
            <v>0</v>
          </cell>
          <cell r="J53">
            <v>0</v>
          </cell>
        </row>
        <row r="54">
          <cell r="A54" t="str">
            <v>6219784243</v>
          </cell>
          <cell r="B54">
            <v>62197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 t="str">
            <v xml:space="preserve"> </v>
          </cell>
          <cell r="I54">
            <v>-24587.84</v>
          </cell>
          <cell r="J54">
            <v>-24587.84</v>
          </cell>
        </row>
        <row r="55">
          <cell r="A55" t="str">
            <v>6219784244</v>
          </cell>
          <cell r="B55">
            <v>62197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 t="str">
            <v xml:space="preserve"> </v>
          </cell>
          <cell r="I55">
            <v>0</v>
          </cell>
          <cell r="J55">
            <v>0</v>
          </cell>
        </row>
        <row r="56">
          <cell r="A56" t="str">
            <v>6219784265</v>
          </cell>
          <cell r="B56">
            <v>62197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 t="str">
            <v xml:space="preserve"> </v>
          </cell>
          <cell r="I56">
            <v>0</v>
          </cell>
          <cell r="J56">
            <v>0</v>
          </cell>
        </row>
        <row r="57">
          <cell r="A57" t="str">
            <v>6219788037</v>
          </cell>
          <cell r="B57">
            <v>62197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 t="str">
            <v xml:space="preserve"> </v>
          </cell>
          <cell r="I57">
            <v>0</v>
          </cell>
          <cell r="J57">
            <v>0</v>
          </cell>
        </row>
        <row r="58">
          <cell r="A58" t="str">
            <v>6219785016</v>
          </cell>
          <cell r="B58">
            <v>62197</v>
          </cell>
          <cell r="C58">
            <v>85016</v>
          </cell>
          <cell r="D58" t="str">
            <v>Prof Svc-Attorney Outside</v>
          </cell>
          <cell r="E58">
            <v>4143.6499999999996</v>
          </cell>
          <cell r="F58">
            <v>265.23</v>
          </cell>
          <cell r="G58">
            <v>3878.42</v>
          </cell>
          <cell r="H58" t="str">
            <v xml:space="preserve"> </v>
          </cell>
          <cell r="I58">
            <v>9508.3799999999992</v>
          </cell>
          <cell r="J58">
            <v>9508.3799999999992</v>
          </cell>
        </row>
        <row r="59">
          <cell r="A59" t="str">
            <v>6219785022</v>
          </cell>
          <cell r="B59">
            <v>62197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 t="str">
            <v xml:space="preserve"> </v>
          </cell>
          <cell r="I59">
            <v>6563.01</v>
          </cell>
          <cell r="J59">
            <v>6563.01</v>
          </cell>
        </row>
        <row r="60">
          <cell r="A60" t="str">
            <v>6219785065</v>
          </cell>
          <cell r="B60">
            <v>62197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 t="str">
            <v xml:space="preserve"> </v>
          </cell>
          <cell r="I60">
            <v>0</v>
          </cell>
          <cell r="J60">
            <v>0</v>
          </cell>
        </row>
        <row r="61">
          <cell r="A61" t="str">
            <v>6219785500</v>
          </cell>
          <cell r="B61">
            <v>62197</v>
          </cell>
          <cell r="C61">
            <v>85500</v>
          </cell>
          <cell r="D61" t="str">
            <v>Consulting Services</v>
          </cell>
          <cell r="E61">
            <v>100</v>
          </cell>
          <cell r="F61">
            <v>294.29000000000002</v>
          </cell>
          <cell r="G61">
            <v>-194.29</v>
          </cell>
          <cell r="H61" t="str">
            <v xml:space="preserve"> </v>
          </cell>
          <cell r="I61">
            <v>2270.2399999999998</v>
          </cell>
          <cell r="J61">
            <v>2270.2399999999998</v>
          </cell>
        </row>
        <row r="62">
          <cell r="A62" t="str">
            <v>6219785566</v>
          </cell>
          <cell r="B62">
            <v>62197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 t="str">
            <v xml:space="preserve"> </v>
          </cell>
          <cell r="I62">
            <v>0</v>
          </cell>
          <cell r="J62">
            <v>0</v>
          </cell>
        </row>
        <row r="63">
          <cell r="A63" t="str">
            <v>6219785581</v>
          </cell>
          <cell r="B63">
            <v>62197</v>
          </cell>
          <cell r="C63">
            <v>85581</v>
          </cell>
          <cell r="D63" t="str">
            <v>Bldg Admin- Salaries</v>
          </cell>
          <cell r="E63">
            <v>11.1699999999983</v>
          </cell>
          <cell r="F63">
            <v>32837.01</v>
          </cell>
          <cell r="G63">
            <v>-32825.839999999997</v>
          </cell>
          <cell r="H63" t="str">
            <v xml:space="preserve"> </v>
          </cell>
          <cell r="I63">
            <v>138985.70000000001</v>
          </cell>
          <cell r="J63">
            <v>138985.70000000001</v>
          </cell>
        </row>
        <row r="64">
          <cell r="A64" t="str">
            <v>6219785583</v>
          </cell>
          <cell r="B64">
            <v>62197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 t="str">
            <v xml:space="preserve"> </v>
          </cell>
          <cell r="I64">
            <v>0</v>
          </cell>
          <cell r="J64">
            <v>0</v>
          </cell>
        </row>
        <row r="65">
          <cell r="A65" t="str">
            <v>6219785530</v>
          </cell>
          <cell r="B65">
            <v>62197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 t="str">
            <v xml:space="preserve"> </v>
          </cell>
          <cell r="I65">
            <v>0</v>
          </cell>
          <cell r="J65">
            <v>0</v>
          </cell>
        </row>
        <row r="66">
          <cell r="A66" t="str">
            <v>6219786012</v>
          </cell>
          <cell r="B66">
            <v>62197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 t="str">
            <v xml:space="preserve"> </v>
          </cell>
          <cell r="I66">
            <v>0</v>
          </cell>
          <cell r="J66">
            <v>0</v>
          </cell>
        </row>
        <row r="67">
          <cell r="A67" t="str">
            <v>6219786037</v>
          </cell>
          <cell r="B67">
            <v>62197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 t="str">
            <v xml:space="preserve"> </v>
          </cell>
          <cell r="I67">
            <v>0</v>
          </cell>
          <cell r="J67">
            <v>0</v>
          </cell>
        </row>
        <row r="68">
          <cell r="A68" t="str">
            <v>6219783050</v>
          </cell>
          <cell r="B68">
            <v>62197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 t="str">
            <v xml:space="preserve"> </v>
          </cell>
          <cell r="I68">
            <v>0</v>
          </cell>
          <cell r="J68">
            <v>0</v>
          </cell>
        </row>
        <row r="69">
          <cell r="A69" t="str">
            <v>6219786510</v>
          </cell>
          <cell r="B69">
            <v>62197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 t="str">
            <v xml:space="preserve"> </v>
          </cell>
          <cell r="I69">
            <v>0</v>
          </cell>
          <cell r="J69">
            <v>0</v>
          </cell>
        </row>
        <row r="70">
          <cell r="A70" t="str">
            <v>6219786537</v>
          </cell>
          <cell r="B70">
            <v>62197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 t="str">
            <v xml:space="preserve"> </v>
          </cell>
          <cell r="I70">
            <v>0</v>
          </cell>
          <cell r="J70">
            <v>0</v>
          </cell>
        </row>
        <row r="71">
          <cell r="A71" t="str">
            <v>6219786566</v>
          </cell>
          <cell r="B71">
            <v>62197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 t="str">
            <v xml:space="preserve"> </v>
          </cell>
          <cell r="I71">
            <v>0</v>
          </cell>
          <cell r="J71">
            <v>0</v>
          </cell>
        </row>
        <row r="72">
          <cell r="A72" t="str">
            <v>6219786955</v>
          </cell>
          <cell r="B72">
            <v>62197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 t="str">
            <v xml:space="preserve"> </v>
          </cell>
          <cell r="I72">
            <v>0</v>
          </cell>
          <cell r="J72">
            <v>0</v>
          </cell>
        </row>
        <row r="73">
          <cell r="A73" t="str">
            <v>6219786985</v>
          </cell>
          <cell r="B73">
            <v>62197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 t="str">
            <v xml:space="preserve"> </v>
          </cell>
          <cell r="I73">
            <v>0</v>
          </cell>
          <cell r="J73">
            <v>0</v>
          </cell>
        </row>
        <row r="74">
          <cell r="A74" t="str">
            <v>6219786880</v>
          </cell>
          <cell r="B74">
            <v>62197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 t="str">
            <v xml:space="preserve"> </v>
          </cell>
          <cell r="I74">
            <v>0</v>
          </cell>
          <cell r="J74">
            <v>0</v>
          </cell>
        </row>
        <row r="75">
          <cell r="A75" t="str">
            <v>6219788710</v>
          </cell>
          <cell r="B75">
            <v>62197</v>
          </cell>
          <cell r="C75">
            <v>88710</v>
          </cell>
          <cell r="D75" t="str">
            <v>Losses-Bad Debts</v>
          </cell>
          <cell r="E75">
            <v>11320.04</v>
          </cell>
          <cell r="F75">
            <v>15337</v>
          </cell>
          <cell r="G75">
            <v>-4016.96</v>
          </cell>
          <cell r="H75" t="str">
            <v xml:space="preserve"> </v>
          </cell>
          <cell r="I75">
            <v>61348</v>
          </cell>
          <cell r="J75">
            <v>61348</v>
          </cell>
        </row>
        <row r="76">
          <cell r="A76" t="str">
            <v>6219788711</v>
          </cell>
          <cell r="B76">
            <v>62197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 t="str">
            <v xml:space="preserve"> </v>
          </cell>
          <cell r="I76">
            <v>0</v>
          </cell>
          <cell r="J76">
            <v>0</v>
          </cell>
        </row>
        <row r="77">
          <cell r="A77" t="str">
            <v>6219788785</v>
          </cell>
          <cell r="B77">
            <v>62197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 t="str">
            <v xml:space="preserve"> </v>
          </cell>
          <cell r="I77">
            <v>0</v>
          </cell>
          <cell r="J77">
            <v>0</v>
          </cell>
        </row>
        <row r="78">
          <cell r="A78" t="str">
            <v>6219788847</v>
          </cell>
          <cell r="B78">
            <v>62197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 t="str">
            <v xml:space="preserve"> </v>
          </cell>
          <cell r="I78">
            <v>0</v>
          </cell>
          <cell r="J78">
            <v>0</v>
          </cell>
        </row>
        <row r="79">
          <cell r="A79" t="str">
            <v>6219788866</v>
          </cell>
          <cell r="B79">
            <v>62197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 t="str">
            <v xml:space="preserve"> </v>
          </cell>
          <cell r="I79">
            <v>0</v>
          </cell>
          <cell r="J79">
            <v>0</v>
          </cell>
        </row>
        <row r="80">
          <cell r="A80" t="str">
            <v>6219788870</v>
          </cell>
          <cell r="B80">
            <v>62197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 t="str">
            <v xml:space="preserve"> </v>
          </cell>
          <cell r="I80">
            <v>0</v>
          </cell>
          <cell r="J80">
            <v>0</v>
          </cell>
        </row>
        <row r="81">
          <cell r="A81" t="str">
            <v>6219788889</v>
          </cell>
          <cell r="B81">
            <v>62197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 t="str">
            <v xml:space="preserve"> </v>
          </cell>
          <cell r="I81">
            <v>0</v>
          </cell>
          <cell r="J81">
            <v>0</v>
          </cell>
        </row>
        <row r="82">
          <cell r="A82" t="str">
            <v>6219789776</v>
          </cell>
          <cell r="B82">
            <v>62197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 t="str">
            <v xml:space="preserve"> </v>
          </cell>
          <cell r="I82">
            <v>0</v>
          </cell>
          <cell r="J82">
            <v>0</v>
          </cell>
        </row>
        <row r="83">
          <cell r="A83" t="str">
            <v>6219789787</v>
          </cell>
          <cell r="B83">
            <v>62197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 t="str">
            <v xml:space="preserve"> </v>
          </cell>
          <cell r="I83">
            <v>0</v>
          </cell>
          <cell r="J83">
            <v>0</v>
          </cell>
        </row>
        <row r="84">
          <cell r="A84" t="str">
            <v>6219789510</v>
          </cell>
          <cell r="B84">
            <v>62197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307195</v>
          </cell>
          <cell r="G84">
            <v>-307195</v>
          </cell>
          <cell r="H84" t="str">
            <v xml:space="preserve"> </v>
          </cell>
          <cell r="I84">
            <v>1200071</v>
          </cell>
          <cell r="J84">
            <v>1200071</v>
          </cell>
        </row>
        <row r="85">
          <cell r="A85" t="str">
            <v>6219789511</v>
          </cell>
          <cell r="B85">
            <v>62197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 t="str">
            <v xml:space="preserve"> </v>
          </cell>
          <cell r="I85">
            <v>0</v>
          </cell>
          <cell r="J85">
            <v>0</v>
          </cell>
        </row>
        <row r="86">
          <cell r="A86" t="str">
            <v>6219789512</v>
          </cell>
          <cell r="B86">
            <v>62197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 t="str">
            <v xml:space="preserve"> </v>
          </cell>
          <cell r="I86">
            <v>0</v>
          </cell>
          <cell r="J86">
            <v>0</v>
          </cell>
        </row>
        <row r="87">
          <cell r="A87" t="str">
            <v>6219789528</v>
          </cell>
          <cell r="B87">
            <v>62197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 t="str">
            <v xml:space="preserve"> </v>
          </cell>
          <cell r="I87">
            <v>0</v>
          </cell>
          <cell r="J87">
            <v>0</v>
          </cell>
        </row>
        <row r="88">
          <cell r="A88" t="str">
            <v>6219789529</v>
          </cell>
          <cell r="B88">
            <v>62197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7002</v>
          </cell>
          <cell r="G88">
            <v>-7002</v>
          </cell>
          <cell r="H88" t="str">
            <v xml:space="preserve"> </v>
          </cell>
          <cell r="I88">
            <v>28008</v>
          </cell>
          <cell r="J88">
            <v>28008</v>
          </cell>
        </row>
        <row r="89">
          <cell r="A89" t="str">
            <v>6219789567</v>
          </cell>
          <cell r="B89">
            <v>62197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 t="str">
            <v xml:space="preserve"> </v>
          </cell>
          <cell r="I89">
            <v>0</v>
          </cell>
          <cell r="J89">
            <v>0</v>
          </cell>
        </row>
        <row r="90">
          <cell r="A90" t="str">
            <v>6219785058</v>
          </cell>
          <cell r="B90">
            <v>62197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 t="str">
            <v xml:space="preserve"> </v>
          </cell>
          <cell r="I90">
            <v>0</v>
          </cell>
          <cell r="J90">
            <v>0</v>
          </cell>
        </row>
        <row r="91">
          <cell r="A91" t="str">
            <v>6219786513</v>
          </cell>
          <cell r="B91">
            <v>62197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268.52</v>
          </cell>
          <cell r="G91">
            <v>-268.52</v>
          </cell>
          <cell r="H91" t="str">
            <v xml:space="preserve"> </v>
          </cell>
          <cell r="I91">
            <v>6344.69</v>
          </cell>
          <cell r="J91">
            <v>6344.69</v>
          </cell>
        </row>
        <row r="92">
          <cell r="A92" t="str">
            <v>6219786519</v>
          </cell>
          <cell r="B92">
            <v>62197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 t="str">
            <v xml:space="preserve"> </v>
          </cell>
          <cell r="I92">
            <v>0</v>
          </cell>
          <cell r="J92">
            <v>0</v>
          </cell>
        </row>
        <row r="93">
          <cell r="A93" t="str">
            <v>6219788770</v>
          </cell>
          <cell r="B93">
            <v>62197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 t="str">
            <v xml:space="preserve"> </v>
          </cell>
          <cell r="I93">
            <v>0</v>
          </cell>
          <cell r="J93">
            <v>0</v>
          </cell>
        </row>
        <row r="94">
          <cell r="A94" t="str">
            <v>6219788862</v>
          </cell>
          <cell r="B94">
            <v>62197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 t="str">
            <v xml:space="preserve"> </v>
          </cell>
          <cell r="I94">
            <v>0</v>
          </cell>
          <cell r="J94">
            <v>0</v>
          </cell>
        </row>
        <row r="95">
          <cell r="A95" t="str">
            <v>6219788874</v>
          </cell>
          <cell r="B95">
            <v>62197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 t="str">
            <v xml:space="preserve"> </v>
          </cell>
          <cell r="I95">
            <v>0</v>
          </cell>
          <cell r="J95">
            <v>0</v>
          </cell>
        </row>
        <row r="96">
          <cell r="A96" t="str">
            <v>6219789910</v>
          </cell>
          <cell r="B96">
            <v>62197</v>
          </cell>
          <cell r="C96">
            <v>89910</v>
          </cell>
          <cell r="D96" t="str">
            <v>Depreciation</v>
          </cell>
          <cell r="E96">
            <v>0</v>
          </cell>
          <cell r="F96">
            <v>98136.75</v>
          </cell>
          <cell r="G96">
            <v>-98136.75</v>
          </cell>
          <cell r="H96" t="str">
            <v xml:space="preserve"> </v>
          </cell>
          <cell r="I96">
            <v>418959.38</v>
          </cell>
          <cell r="J96">
            <v>418959.38</v>
          </cell>
        </row>
        <row r="97">
          <cell r="A97" t="str">
            <v>6219789548</v>
          </cell>
          <cell r="B97">
            <v>62197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 t="str">
            <v xml:space="preserve"> </v>
          </cell>
          <cell r="I97">
            <v>0</v>
          </cell>
          <cell r="J97">
            <v>0</v>
          </cell>
        </row>
        <row r="98">
          <cell r="A98" t="str">
            <v/>
          </cell>
          <cell r="B98">
            <v>62245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/>
          </cell>
          <cell r="B99">
            <v>62245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/>
          </cell>
          <cell r="B100">
            <v>62245</v>
          </cell>
          <cell r="C100">
            <v>41050</v>
          </cell>
          <cell r="D100" t="str">
            <v>Rental Income - Fixed</v>
          </cell>
          <cell r="E100">
            <v>-636948.39</v>
          </cell>
          <cell r="F100">
            <v>-636948.01</v>
          </cell>
          <cell r="G100">
            <v>-0.380000000004657</v>
          </cell>
          <cell r="H100">
            <v>-7764769.8399999999</v>
          </cell>
          <cell r="I100">
            <v>-7764769.8399999999</v>
          </cell>
          <cell r="J100">
            <v>0</v>
          </cell>
        </row>
        <row r="101">
          <cell r="A101" t="str">
            <v/>
          </cell>
          <cell r="B101">
            <v>62245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-19958.330000000002</v>
          </cell>
          <cell r="G101">
            <v>19958.330000000002</v>
          </cell>
          <cell r="H101">
            <v>-239500</v>
          </cell>
          <cell r="I101">
            <v>-239500</v>
          </cell>
          <cell r="J101">
            <v>0</v>
          </cell>
        </row>
        <row r="102">
          <cell r="A102" t="str">
            <v/>
          </cell>
          <cell r="B102">
            <v>62245</v>
          </cell>
          <cell r="C102">
            <v>41082</v>
          </cell>
          <cell r="D102" t="str">
            <v>Rental Income - Operating Exp</v>
          </cell>
          <cell r="E102">
            <v>-116182.08</v>
          </cell>
          <cell r="F102">
            <v>-172079.29</v>
          </cell>
          <cell r="G102">
            <v>55897.21</v>
          </cell>
          <cell r="H102">
            <v>-1573662.97</v>
          </cell>
          <cell r="I102">
            <v>-1573662.97</v>
          </cell>
          <cell r="J102">
            <v>0</v>
          </cell>
        </row>
        <row r="103">
          <cell r="A103" t="str">
            <v/>
          </cell>
          <cell r="B103">
            <v>62245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/>
          </cell>
          <cell r="B104">
            <v>62245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/>
          </cell>
          <cell r="B105">
            <v>62245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/>
          </cell>
          <cell r="B106">
            <v>62245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/>
          </cell>
          <cell r="B107">
            <v>62245</v>
          </cell>
          <cell r="C107">
            <v>45070</v>
          </cell>
          <cell r="D107" t="str">
            <v>Other Income</v>
          </cell>
          <cell r="E107">
            <v>-0.66</v>
          </cell>
          <cell r="F107">
            <v>-100</v>
          </cell>
          <cell r="G107">
            <v>99.34</v>
          </cell>
          <cell r="H107">
            <v>-1200</v>
          </cell>
          <cell r="I107">
            <v>-1200</v>
          </cell>
          <cell r="J107">
            <v>0</v>
          </cell>
        </row>
        <row r="108">
          <cell r="A108" t="str">
            <v/>
          </cell>
          <cell r="B108">
            <v>62245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6470.58</v>
          </cell>
          <cell r="G108">
            <v>-6470.58</v>
          </cell>
          <cell r="H108">
            <v>77647</v>
          </cell>
          <cell r="I108">
            <v>77647</v>
          </cell>
          <cell r="J108">
            <v>0</v>
          </cell>
        </row>
        <row r="109">
          <cell r="A109" t="str">
            <v/>
          </cell>
          <cell r="B109">
            <v>62245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/>
          </cell>
          <cell r="B110">
            <v>62245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/>
          </cell>
          <cell r="B111">
            <v>62245</v>
          </cell>
          <cell r="C111">
            <v>72710</v>
          </cell>
          <cell r="D111" t="str">
            <v>Utilities - Electricity</v>
          </cell>
          <cell r="E111">
            <v>7821.81</v>
          </cell>
          <cell r="F111">
            <v>6053.19</v>
          </cell>
          <cell r="G111">
            <v>1768.62</v>
          </cell>
          <cell r="H111">
            <v>106381.11</v>
          </cell>
          <cell r="I111">
            <v>106381.11</v>
          </cell>
          <cell r="J111">
            <v>0</v>
          </cell>
        </row>
        <row r="112">
          <cell r="A112" t="str">
            <v/>
          </cell>
          <cell r="B112">
            <v>62245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/>
          </cell>
          <cell r="B113">
            <v>62245</v>
          </cell>
          <cell r="C113">
            <v>72770</v>
          </cell>
          <cell r="D113" t="str">
            <v>Utilities - Water</v>
          </cell>
          <cell r="E113">
            <v>2316.42</v>
          </cell>
          <cell r="F113">
            <v>2381.25</v>
          </cell>
          <cell r="G113">
            <v>-64.829999999999899</v>
          </cell>
          <cell r="H113">
            <v>28575</v>
          </cell>
          <cell r="I113">
            <v>28575</v>
          </cell>
          <cell r="J113">
            <v>0</v>
          </cell>
        </row>
        <row r="114">
          <cell r="A114" t="str">
            <v/>
          </cell>
          <cell r="B114">
            <v>62245</v>
          </cell>
          <cell r="C114">
            <v>76000</v>
          </cell>
          <cell r="D114" t="str">
            <v>Bldg Maintenance &amp; Repair</v>
          </cell>
          <cell r="E114">
            <v>1600.67</v>
          </cell>
          <cell r="F114">
            <v>1792.91</v>
          </cell>
          <cell r="G114">
            <v>-192.24</v>
          </cell>
          <cell r="H114">
            <v>26575</v>
          </cell>
          <cell r="I114">
            <v>26575</v>
          </cell>
          <cell r="J114">
            <v>0</v>
          </cell>
        </row>
        <row r="115">
          <cell r="A115" t="str">
            <v/>
          </cell>
          <cell r="B115">
            <v>62245</v>
          </cell>
          <cell r="C115">
            <v>76020</v>
          </cell>
          <cell r="D115" t="str">
            <v>Food Court Expense</v>
          </cell>
          <cell r="E115">
            <v>1003.7</v>
          </cell>
          <cell r="F115">
            <v>1004</v>
          </cell>
          <cell r="G115">
            <v>-0.29999999999995502</v>
          </cell>
          <cell r="H115">
            <v>12048</v>
          </cell>
          <cell r="I115">
            <v>12048</v>
          </cell>
          <cell r="J115">
            <v>0</v>
          </cell>
        </row>
        <row r="116">
          <cell r="A116" t="str">
            <v/>
          </cell>
          <cell r="B116">
            <v>62245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/>
          </cell>
          <cell r="B117">
            <v>62245</v>
          </cell>
          <cell r="C117">
            <v>76050</v>
          </cell>
          <cell r="D117" t="str">
            <v>Cleaning Expense</v>
          </cell>
          <cell r="E117">
            <v>9234.7800000000007</v>
          </cell>
          <cell r="F117">
            <v>9377.58</v>
          </cell>
          <cell r="G117">
            <v>-142.79999999999899</v>
          </cell>
          <cell r="H117">
            <v>112531</v>
          </cell>
          <cell r="I117">
            <v>112531</v>
          </cell>
          <cell r="J117">
            <v>0</v>
          </cell>
        </row>
        <row r="118">
          <cell r="A118" t="str">
            <v/>
          </cell>
          <cell r="B118">
            <v>62245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/>
          </cell>
          <cell r="B119">
            <v>62245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/>
          </cell>
          <cell r="B120">
            <v>62245</v>
          </cell>
          <cell r="C120">
            <v>76091</v>
          </cell>
          <cell r="D120" t="str">
            <v>Parking Maintenance</v>
          </cell>
          <cell r="E120">
            <v>3295</v>
          </cell>
          <cell r="F120">
            <v>3350</v>
          </cell>
          <cell r="G120">
            <v>-55</v>
          </cell>
          <cell r="H120">
            <v>42600</v>
          </cell>
          <cell r="I120">
            <v>42600</v>
          </cell>
          <cell r="J120">
            <v>0</v>
          </cell>
        </row>
        <row r="121">
          <cell r="A121" t="str">
            <v/>
          </cell>
          <cell r="B121">
            <v>62245</v>
          </cell>
          <cell r="C121">
            <v>77000</v>
          </cell>
          <cell r="D121" t="str">
            <v>Grounds Maintenance</v>
          </cell>
          <cell r="E121">
            <v>2894.21</v>
          </cell>
          <cell r="F121">
            <v>5876.74</v>
          </cell>
          <cell r="G121">
            <v>-2982.53</v>
          </cell>
          <cell r="H121">
            <v>89690.08</v>
          </cell>
          <cell r="I121">
            <v>89690.08</v>
          </cell>
          <cell r="J121">
            <v>0</v>
          </cell>
        </row>
        <row r="122">
          <cell r="A122" t="str">
            <v/>
          </cell>
          <cell r="B122">
            <v>62245</v>
          </cell>
          <cell r="C122">
            <v>77053</v>
          </cell>
          <cell r="D122" t="str">
            <v>Landscaping</v>
          </cell>
          <cell r="E122">
            <v>5500</v>
          </cell>
          <cell r="F122">
            <v>7260</v>
          </cell>
          <cell r="G122">
            <v>-1760</v>
          </cell>
          <cell r="H122">
            <v>123240</v>
          </cell>
          <cell r="I122">
            <v>123240</v>
          </cell>
          <cell r="J122">
            <v>0</v>
          </cell>
        </row>
        <row r="123">
          <cell r="A123" t="str">
            <v/>
          </cell>
          <cell r="B123">
            <v>62245</v>
          </cell>
          <cell r="C123">
            <v>78020</v>
          </cell>
          <cell r="D123" t="str">
            <v>Amortized CAM Exp</v>
          </cell>
          <cell r="E123">
            <v>4167</v>
          </cell>
          <cell r="F123">
            <v>4166.67</v>
          </cell>
          <cell r="G123">
            <v>0.32999999999992702</v>
          </cell>
          <cell r="H123">
            <v>50000</v>
          </cell>
          <cell r="I123">
            <v>50000</v>
          </cell>
          <cell r="J123">
            <v>0</v>
          </cell>
        </row>
        <row r="124">
          <cell r="A124" t="str">
            <v/>
          </cell>
          <cell r="B124">
            <v>62245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/>
          </cell>
          <cell r="B125">
            <v>62245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/>
          </cell>
          <cell r="B126">
            <v>62245</v>
          </cell>
          <cell r="C126">
            <v>85584</v>
          </cell>
          <cell r="D126" t="str">
            <v>Bldg Admin-Office Costs</v>
          </cell>
          <cell r="E126">
            <v>4946.45</v>
          </cell>
          <cell r="F126">
            <v>4867.76</v>
          </cell>
          <cell r="G126">
            <v>78.6899999999996</v>
          </cell>
          <cell r="H126">
            <v>66613</v>
          </cell>
          <cell r="I126">
            <v>66613</v>
          </cell>
          <cell r="J126">
            <v>0</v>
          </cell>
        </row>
        <row r="127">
          <cell r="A127" t="str">
            <v/>
          </cell>
          <cell r="B127">
            <v>62245</v>
          </cell>
          <cell r="C127">
            <v>85582</v>
          </cell>
          <cell r="D127" t="str">
            <v>Bldg Admin-Salaries</v>
          </cell>
          <cell r="E127">
            <v>4191.46</v>
          </cell>
          <cell r="F127">
            <v>4190.34</v>
          </cell>
          <cell r="G127">
            <v>1.11999999999989</v>
          </cell>
          <cell r="H127">
            <v>57384</v>
          </cell>
          <cell r="I127">
            <v>57384</v>
          </cell>
          <cell r="J127">
            <v>0</v>
          </cell>
        </row>
        <row r="128">
          <cell r="A128" t="str">
            <v/>
          </cell>
          <cell r="B128">
            <v>62245</v>
          </cell>
          <cell r="C128">
            <v>86564</v>
          </cell>
          <cell r="D128" t="str">
            <v>Insurance</v>
          </cell>
          <cell r="E128">
            <v>11253</v>
          </cell>
          <cell r="F128">
            <v>11253</v>
          </cell>
          <cell r="G128">
            <v>0</v>
          </cell>
          <cell r="H128">
            <v>135036</v>
          </cell>
          <cell r="I128">
            <v>135036</v>
          </cell>
          <cell r="J128">
            <v>0</v>
          </cell>
        </row>
        <row r="129">
          <cell r="A129" t="str">
            <v/>
          </cell>
          <cell r="B129">
            <v>62245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/>
          </cell>
          <cell r="B130">
            <v>62245</v>
          </cell>
          <cell r="C130">
            <v>88890</v>
          </cell>
          <cell r="D130" t="str">
            <v>Security/Safety</v>
          </cell>
          <cell r="E130">
            <v>10032.32</v>
          </cell>
          <cell r="F130">
            <v>11500</v>
          </cell>
          <cell r="G130">
            <v>-1467.68</v>
          </cell>
          <cell r="H130">
            <v>138000</v>
          </cell>
          <cell r="I130">
            <v>138000</v>
          </cell>
          <cell r="J130">
            <v>0</v>
          </cell>
        </row>
        <row r="131">
          <cell r="A131" t="str">
            <v/>
          </cell>
          <cell r="B131">
            <v>62245</v>
          </cell>
          <cell r="C131">
            <v>89775</v>
          </cell>
          <cell r="D131" t="str">
            <v>Assmt Dist Taxes- Reimb</v>
          </cell>
          <cell r="E131">
            <v>11703</v>
          </cell>
          <cell r="F131">
            <v>11703.42</v>
          </cell>
          <cell r="G131">
            <v>-0.42000000000007298</v>
          </cell>
          <cell r="H131">
            <v>140441</v>
          </cell>
          <cell r="I131">
            <v>140441</v>
          </cell>
          <cell r="J131">
            <v>0</v>
          </cell>
        </row>
        <row r="132">
          <cell r="A132" t="str">
            <v/>
          </cell>
          <cell r="B132">
            <v>62245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/>
          </cell>
          <cell r="B133">
            <v>62245</v>
          </cell>
          <cell r="C133">
            <v>89786</v>
          </cell>
          <cell r="D133" t="str">
            <v>Property Tax Exp</v>
          </cell>
          <cell r="E133">
            <v>32079</v>
          </cell>
          <cell r="F133">
            <v>32078.92</v>
          </cell>
          <cell r="G133">
            <v>8.0000000001746202E-2</v>
          </cell>
          <cell r="H133">
            <v>384947</v>
          </cell>
          <cell r="I133">
            <v>384947</v>
          </cell>
          <cell r="J133">
            <v>0</v>
          </cell>
        </row>
        <row r="134">
          <cell r="A134" t="str">
            <v/>
          </cell>
          <cell r="B134">
            <v>62245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/>
          </cell>
          <cell r="B135">
            <v>62245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/>
          </cell>
          <cell r="B136">
            <v>62245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/>
          </cell>
          <cell r="B137">
            <v>62245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/>
          </cell>
          <cell r="B138">
            <v>62245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/>
          </cell>
          <cell r="B139">
            <v>62245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/>
          </cell>
          <cell r="B140">
            <v>62245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/>
          </cell>
          <cell r="B141">
            <v>62245</v>
          </cell>
          <cell r="C141">
            <v>76054</v>
          </cell>
          <cell r="D141" t="str">
            <v>Bldg Maintenance &amp; Repair</v>
          </cell>
          <cell r="E141">
            <v>6.15</v>
          </cell>
          <cell r="F141">
            <v>140.33000000000001</v>
          </cell>
          <cell r="G141">
            <v>-134.18</v>
          </cell>
          <cell r="H141">
            <v>1684</v>
          </cell>
          <cell r="I141">
            <v>1684</v>
          </cell>
          <cell r="J141">
            <v>0</v>
          </cell>
        </row>
        <row r="142">
          <cell r="A142" t="str">
            <v/>
          </cell>
          <cell r="B142">
            <v>62245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/>
          </cell>
          <cell r="B143">
            <v>62245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/>
          </cell>
          <cell r="B144">
            <v>62245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/>
          </cell>
          <cell r="B145">
            <v>62245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/>
          </cell>
          <cell r="B146">
            <v>62245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/>
          </cell>
          <cell r="B147">
            <v>62245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/>
          </cell>
          <cell r="B148">
            <v>62245</v>
          </cell>
          <cell r="C148">
            <v>84240</v>
          </cell>
          <cell r="D148" t="str">
            <v>Marketing Leasing</v>
          </cell>
          <cell r="E148">
            <v>23.9</v>
          </cell>
          <cell r="F148">
            <v>0</v>
          </cell>
          <cell r="G148">
            <v>23.9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/>
          </cell>
          <cell r="B149">
            <v>62245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/>
          </cell>
          <cell r="B150">
            <v>62245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/>
          </cell>
          <cell r="B151">
            <v>62245</v>
          </cell>
          <cell r="C151">
            <v>84244</v>
          </cell>
          <cell r="D151" t="str">
            <v>Marketing-Net Required</v>
          </cell>
          <cell r="E151">
            <v>1901</v>
          </cell>
          <cell r="F151">
            <v>1901.33</v>
          </cell>
          <cell r="G151">
            <v>-0.32999999999992702</v>
          </cell>
          <cell r="H151">
            <v>22816</v>
          </cell>
          <cell r="I151">
            <v>22816</v>
          </cell>
          <cell r="J151">
            <v>0</v>
          </cell>
        </row>
        <row r="152">
          <cell r="A152" t="str">
            <v/>
          </cell>
          <cell r="B152">
            <v>62245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/>
          </cell>
          <cell r="B153">
            <v>62245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/>
          </cell>
          <cell r="B154">
            <v>62245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200</v>
          </cell>
          <cell r="G154">
            <v>-200</v>
          </cell>
          <cell r="H154">
            <v>2400</v>
          </cell>
          <cell r="I154">
            <v>2400</v>
          </cell>
          <cell r="J154">
            <v>0</v>
          </cell>
        </row>
        <row r="155">
          <cell r="A155" t="str">
            <v/>
          </cell>
          <cell r="B155">
            <v>62245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-0.08</v>
          </cell>
          <cell r="H155">
            <v>4121</v>
          </cell>
          <cell r="I155">
            <v>4121</v>
          </cell>
          <cell r="J155">
            <v>0</v>
          </cell>
        </row>
        <row r="156">
          <cell r="A156" t="str">
            <v/>
          </cell>
          <cell r="B156">
            <v>62245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/>
          </cell>
          <cell r="B157">
            <v>62245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/>
          </cell>
          <cell r="B158">
            <v>62245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/>
          </cell>
          <cell r="B159">
            <v>62245</v>
          </cell>
          <cell r="C159">
            <v>85581</v>
          </cell>
          <cell r="D159" t="str">
            <v>Bldg Admin- Salaries</v>
          </cell>
          <cell r="E159">
            <v>5649</v>
          </cell>
          <cell r="F159">
            <v>5649</v>
          </cell>
          <cell r="G159">
            <v>0</v>
          </cell>
          <cell r="H159">
            <v>67700</v>
          </cell>
          <cell r="I159">
            <v>67700</v>
          </cell>
          <cell r="J159">
            <v>0</v>
          </cell>
        </row>
        <row r="160">
          <cell r="A160" t="str">
            <v/>
          </cell>
          <cell r="B160">
            <v>62245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133.33000000000001</v>
          </cell>
          <cell r="G160">
            <v>-133.33000000000001</v>
          </cell>
          <cell r="H160">
            <v>3100</v>
          </cell>
          <cell r="I160">
            <v>3100</v>
          </cell>
          <cell r="J160">
            <v>0</v>
          </cell>
        </row>
        <row r="161">
          <cell r="A161" t="str">
            <v/>
          </cell>
          <cell r="B161">
            <v>62245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133.33000000000001</v>
          </cell>
          <cell r="G161">
            <v>-133.33000000000001</v>
          </cell>
          <cell r="H161">
            <v>3100</v>
          </cell>
          <cell r="I161">
            <v>3100</v>
          </cell>
          <cell r="J161">
            <v>0</v>
          </cell>
        </row>
        <row r="162">
          <cell r="A162" t="str">
            <v/>
          </cell>
          <cell r="B162">
            <v>62245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/>
          </cell>
          <cell r="B163">
            <v>62245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/>
          </cell>
          <cell r="B164">
            <v>62245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/>
          </cell>
          <cell r="B165">
            <v>62245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/>
          </cell>
          <cell r="B166">
            <v>62245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/>
          </cell>
          <cell r="B167">
            <v>62245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/>
          </cell>
          <cell r="B168">
            <v>62245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/>
          </cell>
          <cell r="B169">
            <v>62245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/>
          </cell>
          <cell r="B170">
            <v>62245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/>
          </cell>
          <cell r="B171">
            <v>62245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95015</v>
          </cell>
          <cell r="I171">
            <v>95015</v>
          </cell>
          <cell r="J171">
            <v>0</v>
          </cell>
        </row>
        <row r="172">
          <cell r="A172" t="str">
            <v/>
          </cell>
          <cell r="B172">
            <v>62245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/>
          </cell>
          <cell r="B173">
            <v>62245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/>
          </cell>
          <cell r="B174">
            <v>62245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/>
          </cell>
          <cell r="B175">
            <v>62245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/>
          </cell>
          <cell r="B176">
            <v>62245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/>
          </cell>
          <cell r="B177">
            <v>62245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/>
          </cell>
          <cell r="B178">
            <v>62245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/>
          </cell>
          <cell r="B179">
            <v>62245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/>
          </cell>
          <cell r="B180">
            <v>62245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180149</v>
          </cell>
          <cell r="G180">
            <v>-180149</v>
          </cell>
          <cell r="H180">
            <v>2135395</v>
          </cell>
          <cell r="I180">
            <v>2135395</v>
          </cell>
          <cell r="J180">
            <v>0</v>
          </cell>
        </row>
        <row r="181">
          <cell r="A181" t="str">
            <v/>
          </cell>
          <cell r="B181">
            <v>62245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/>
          </cell>
          <cell r="B182">
            <v>62245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/>
          </cell>
          <cell r="B183">
            <v>62245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/>
          </cell>
          <cell r="B184">
            <v>62245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1054</v>
          </cell>
          <cell r="G184">
            <v>-1054</v>
          </cell>
          <cell r="H184">
            <v>12648</v>
          </cell>
          <cell r="I184">
            <v>12648</v>
          </cell>
          <cell r="J184">
            <v>0</v>
          </cell>
        </row>
        <row r="185">
          <cell r="A185" t="str">
            <v/>
          </cell>
          <cell r="B185">
            <v>62245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/>
          </cell>
          <cell r="B186">
            <v>62245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/>
          </cell>
          <cell r="B187">
            <v>62245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/>
          </cell>
          <cell r="B188">
            <v>62245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/>
          </cell>
          <cell r="B189">
            <v>62245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/>
          </cell>
          <cell r="B190">
            <v>62245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/>
          </cell>
          <cell r="B191">
            <v>62245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/>
          </cell>
          <cell r="B192">
            <v>62245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109434.92</v>
          </cell>
          <cell r="G192">
            <v>-109434.92</v>
          </cell>
          <cell r="H192">
            <v>1291369.56</v>
          </cell>
          <cell r="I192">
            <v>1291369.56</v>
          </cell>
          <cell r="J192">
            <v>0</v>
          </cell>
        </row>
        <row r="193">
          <cell r="A193" t="str">
            <v/>
          </cell>
          <cell r="B193">
            <v>62245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/>
          </cell>
          <cell r="B194">
            <v>62246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/>
          </cell>
          <cell r="B195">
            <v>62246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/>
          </cell>
          <cell r="B196">
            <v>62246</v>
          </cell>
          <cell r="C196">
            <v>41050</v>
          </cell>
          <cell r="D196" t="str">
            <v>Rental Income - Fixed</v>
          </cell>
          <cell r="E196">
            <v>-456131.49</v>
          </cell>
          <cell r="F196">
            <v>-469500.75</v>
          </cell>
          <cell r="G196">
            <v>13369.26</v>
          </cell>
          <cell r="H196">
            <v>-5669692.2999999998</v>
          </cell>
          <cell r="I196">
            <v>-5669692.2999999998</v>
          </cell>
          <cell r="J196">
            <v>0</v>
          </cell>
        </row>
        <row r="197">
          <cell r="A197" t="str">
            <v/>
          </cell>
          <cell r="B197">
            <v>62246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-14166.67</v>
          </cell>
          <cell r="G197">
            <v>14166.67</v>
          </cell>
          <cell r="H197">
            <v>-170000</v>
          </cell>
          <cell r="I197">
            <v>-170000</v>
          </cell>
          <cell r="J197">
            <v>0</v>
          </cell>
        </row>
        <row r="198">
          <cell r="A198" t="str">
            <v/>
          </cell>
          <cell r="B198">
            <v>62246</v>
          </cell>
          <cell r="C198">
            <v>41082</v>
          </cell>
          <cell r="D198" t="str">
            <v>Rental Income - Operating Exp</v>
          </cell>
          <cell r="E198">
            <v>-95011.01</v>
          </cell>
          <cell r="F198">
            <v>-131652.68</v>
          </cell>
          <cell r="G198">
            <v>36641.67</v>
          </cell>
          <cell r="H198">
            <v>-1443760.81</v>
          </cell>
          <cell r="I198">
            <v>-1443760.81</v>
          </cell>
          <cell r="J198">
            <v>0</v>
          </cell>
        </row>
        <row r="199">
          <cell r="A199" t="str">
            <v/>
          </cell>
          <cell r="B199">
            <v>62246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/>
          </cell>
          <cell r="B200">
            <v>62246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/>
          </cell>
          <cell r="B201">
            <v>62246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/>
          </cell>
          <cell r="B202">
            <v>62246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/>
          </cell>
          <cell r="B203">
            <v>62246</v>
          </cell>
          <cell r="C203">
            <v>45070</v>
          </cell>
          <cell r="D203" t="str">
            <v>Other Income</v>
          </cell>
          <cell r="E203">
            <v>0</v>
          </cell>
          <cell r="F203">
            <v>-41.67</v>
          </cell>
          <cell r="G203">
            <v>41.67</v>
          </cell>
          <cell r="H203">
            <v>-500</v>
          </cell>
          <cell r="I203">
            <v>-500</v>
          </cell>
          <cell r="J203">
            <v>0</v>
          </cell>
        </row>
        <row r="204">
          <cell r="A204" t="str">
            <v/>
          </cell>
          <cell r="B204">
            <v>62246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4636.92</v>
          </cell>
          <cell r="G204">
            <v>-4636.92</v>
          </cell>
          <cell r="H204">
            <v>55643</v>
          </cell>
          <cell r="I204">
            <v>55643</v>
          </cell>
          <cell r="J204">
            <v>0</v>
          </cell>
        </row>
        <row r="205">
          <cell r="A205" t="str">
            <v/>
          </cell>
          <cell r="B205">
            <v>62246</v>
          </cell>
          <cell r="C205">
            <v>44870</v>
          </cell>
          <cell r="D205" t="str">
            <v>Late Fees</v>
          </cell>
          <cell r="E205">
            <v>0</v>
          </cell>
          <cell r="F205">
            <v>-100</v>
          </cell>
          <cell r="G205">
            <v>100</v>
          </cell>
          <cell r="H205">
            <v>-1200</v>
          </cell>
          <cell r="I205">
            <v>-1200</v>
          </cell>
          <cell r="J205">
            <v>0</v>
          </cell>
        </row>
        <row r="206">
          <cell r="A206" t="str">
            <v/>
          </cell>
          <cell r="B206">
            <v>62246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/>
          </cell>
          <cell r="B207">
            <v>62246</v>
          </cell>
          <cell r="C207">
            <v>72710</v>
          </cell>
          <cell r="D207" t="str">
            <v>Utilities - Electricity</v>
          </cell>
          <cell r="E207">
            <v>9369.2099999999991</v>
          </cell>
          <cell r="F207">
            <v>12656.58</v>
          </cell>
          <cell r="G207">
            <v>-3287.37</v>
          </cell>
          <cell r="H207">
            <v>151879</v>
          </cell>
          <cell r="I207">
            <v>151879</v>
          </cell>
          <cell r="J207">
            <v>0</v>
          </cell>
        </row>
        <row r="208">
          <cell r="A208" t="str">
            <v/>
          </cell>
          <cell r="B208">
            <v>62246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/>
          </cell>
          <cell r="B209">
            <v>62246</v>
          </cell>
          <cell r="C209">
            <v>72770</v>
          </cell>
          <cell r="D209" t="str">
            <v>Utilities - Water</v>
          </cell>
          <cell r="E209">
            <v>2105.11</v>
          </cell>
          <cell r="F209">
            <v>3319.29</v>
          </cell>
          <cell r="G209">
            <v>-1214.18</v>
          </cell>
          <cell r="H209">
            <v>44788.02</v>
          </cell>
          <cell r="I209">
            <v>44788.02</v>
          </cell>
          <cell r="J209">
            <v>0</v>
          </cell>
        </row>
        <row r="210">
          <cell r="A210" t="str">
            <v/>
          </cell>
          <cell r="B210">
            <v>62246</v>
          </cell>
          <cell r="C210">
            <v>76000</v>
          </cell>
          <cell r="D210" t="str">
            <v>Bldg Maintenance &amp; Repair</v>
          </cell>
          <cell r="E210">
            <v>945</v>
          </cell>
          <cell r="F210">
            <v>2375.0700000000002</v>
          </cell>
          <cell r="G210">
            <v>-1430.07</v>
          </cell>
          <cell r="H210">
            <v>33376.550000000003</v>
          </cell>
          <cell r="I210">
            <v>33376.550000000003</v>
          </cell>
          <cell r="J210">
            <v>0</v>
          </cell>
        </row>
        <row r="211">
          <cell r="A211" t="str">
            <v/>
          </cell>
          <cell r="B211">
            <v>62246</v>
          </cell>
          <cell r="C211">
            <v>76020</v>
          </cell>
          <cell r="D211" t="str">
            <v>Food Court Expense</v>
          </cell>
          <cell r="E211">
            <v>2341.8000000000002</v>
          </cell>
          <cell r="F211">
            <v>2341.83</v>
          </cell>
          <cell r="G211">
            <v>-2.99999999997453E-2</v>
          </cell>
          <cell r="H211">
            <v>28102</v>
          </cell>
          <cell r="I211">
            <v>28102</v>
          </cell>
          <cell r="J211">
            <v>0</v>
          </cell>
        </row>
        <row r="212">
          <cell r="A212" t="str">
            <v/>
          </cell>
          <cell r="B212">
            <v>62246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/>
          </cell>
          <cell r="B213">
            <v>62246</v>
          </cell>
          <cell r="C213">
            <v>76050</v>
          </cell>
          <cell r="D213" t="str">
            <v>Cleaning Expense</v>
          </cell>
          <cell r="E213">
            <v>13531.94</v>
          </cell>
          <cell r="F213">
            <v>13976.67</v>
          </cell>
          <cell r="G213">
            <v>-444.73</v>
          </cell>
          <cell r="H213">
            <v>167720</v>
          </cell>
          <cell r="I213">
            <v>167720</v>
          </cell>
          <cell r="J213">
            <v>0</v>
          </cell>
        </row>
        <row r="214">
          <cell r="A214" t="str">
            <v/>
          </cell>
          <cell r="B214">
            <v>62246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/>
          </cell>
          <cell r="B215">
            <v>62246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/>
          </cell>
          <cell r="B216">
            <v>62246</v>
          </cell>
          <cell r="C216">
            <v>76091</v>
          </cell>
          <cell r="D216" t="str">
            <v>Parking Maintenance</v>
          </cell>
          <cell r="E216">
            <v>4224</v>
          </cell>
          <cell r="F216">
            <v>3430.83</v>
          </cell>
          <cell r="G216">
            <v>793.17</v>
          </cell>
          <cell r="H216">
            <v>43170</v>
          </cell>
          <cell r="I216">
            <v>43170</v>
          </cell>
          <cell r="J216">
            <v>0</v>
          </cell>
        </row>
        <row r="217">
          <cell r="A217" t="str">
            <v/>
          </cell>
          <cell r="B217">
            <v>62246</v>
          </cell>
          <cell r="C217">
            <v>77000</v>
          </cell>
          <cell r="D217" t="str">
            <v>Grounds Maintenance</v>
          </cell>
          <cell r="E217">
            <v>3333.06</v>
          </cell>
          <cell r="F217">
            <v>5697.26</v>
          </cell>
          <cell r="G217">
            <v>-2364.1999999999998</v>
          </cell>
          <cell r="H217">
            <v>111103</v>
          </cell>
          <cell r="I217">
            <v>111103</v>
          </cell>
          <cell r="J217">
            <v>0</v>
          </cell>
        </row>
        <row r="218">
          <cell r="A218" t="str">
            <v/>
          </cell>
          <cell r="B218">
            <v>62246</v>
          </cell>
          <cell r="C218">
            <v>77053</v>
          </cell>
          <cell r="D218" t="str">
            <v>Landscaping</v>
          </cell>
          <cell r="E218">
            <v>5826</v>
          </cell>
          <cell r="F218">
            <v>7862.75</v>
          </cell>
          <cell r="G218">
            <v>-2036.75</v>
          </cell>
          <cell r="H218">
            <v>133633</v>
          </cell>
          <cell r="I218">
            <v>133633</v>
          </cell>
          <cell r="J218">
            <v>0</v>
          </cell>
        </row>
        <row r="219">
          <cell r="A219" t="str">
            <v/>
          </cell>
          <cell r="B219">
            <v>62246</v>
          </cell>
          <cell r="C219">
            <v>78020</v>
          </cell>
          <cell r="D219" t="str">
            <v>Amortized CAM Exp</v>
          </cell>
          <cell r="E219">
            <v>0</v>
          </cell>
          <cell r="F219">
            <v>0</v>
          </cell>
          <cell r="G219">
            <v>0</v>
          </cell>
          <cell r="H219">
            <v>30000</v>
          </cell>
          <cell r="I219">
            <v>30000</v>
          </cell>
          <cell r="J219">
            <v>0</v>
          </cell>
        </row>
        <row r="220">
          <cell r="A220" t="str">
            <v/>
          </cell>
          <cell r="B220">
            <v>62246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/>
          </cell>
          <cell r="B221">
            <v>62246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/>
          </cell>
          <cell r="B222">
            <v>62246</v>
          </cell>
          <cell r="C222">
            <v>85584</v>
          </cell>
          <cell r="D222" t="str">
            <v>Bldg Admin-Office Costs</v>
          </cell>
          <cell r="E222">
            <v>4946.5</v>
          </cell>
          <cell r="F222">
            <v>4903.66</v>
          </cell>
          <cell r="G222">
            <v>42.840000000000103</v>
          </cell>
          <cell r="H222">
            <v>66344</v>
          </cell>
          <cell r="I222">
            <v>66344</v>
          </cell>
          <cell r="J222">
            <v>0</v>
          </cell>
        </row>
        <row r="223">
          <cell r="A223" t="str">
            <v/>
          </cell>
          <cell r="B223">
            <v>62246</v>
          </cell>
          <cell r="C223">
            <v>85582</v>
          </cell>
          <cell r="D223" t="str">
            <v>Bldg Admin-Salaries</v>
          </cell>
          <cell r="E223">
            <v>4186.46</v>
          </cell>
          <cell r="F223">
            <v>4185.51</v>
          </cell>
          <cell r="G223">
            <v>0.94999999999981799</v>
          </cell>
          <cell r="H223">
            <v>57326</v>
          </cell>
          <cell r="I223">
            <v>57326</v>
          </cell>
          <cell r="J223">
            <v>0</v>
          </cell>
        </row>
        <row r="224">
          <cell r="A224" t="str">
            <v/>
          </cell>
          <cell r="B224">
            <v>62246</v>
          </cell>
          <cell r="C224">
            <v>86564</v>
          </cell>
          <cell r="D224" t="str">
            <v>Insurance</v>
          </cell>
          <cell r="E224">
            <v>6883</v>
          </cell>
          <cell r="F224">
            <v>6883.58</v>
          </cell>
          <cell r="G224">
            <v>-0.57999999999992702</v>
          </cell>
          <cell r="H224">
            <v>82603</v>
          </cell>
          <cell r="I224">
            <v>82603</v>
          </cell>
          <cell r="J224">
            <v>0</v>
          </cell>
        </row>
        <row r="225">
          <cell r="A225" t="str">
            <v/>
          </cell>
          <cell r="B225">
            <v>62246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/>
          </cell>
          <cell r="B226">
            <v>62246</v>
          </cell>
          <cell r="C226">
            <v>88890</v>
          </cell>
          <cell r="D226" t="str">
            <v>Security/Safety</v>
          </cell>
          <cell r="E226">
            <v>10032.32</v>
          </cell>
          <cell r="F226">
            <v>11500</v>
          </cell>
          <cell r="G226">
            <v>-1467.68</v>
          </cell>
          <cell r="H226">
            <v>138000</v>
          </cell>
          <cell r="I226">
            <v>138000</v>
          </cell>
          <cell r="J226">
            <v>0</v>
          </cell>
        </row>
        <row r="227">
          <cell r="A227" t="str">
            <v/>
          </cell>
          <cell r="B227">
            <v>62246</v>
          </cell>
          <cell r="C227">
            <v>89775</v>
          </cell>
          <cell r="D227" t="str">
            <v>Assmt Dist Taxes- Reimb</v>
          </cell>
          <cell r="E227">
            <v>8166</v>
          </cell>
          <cell r="F227">
            <v>8165.58</v>
          </cell>
          <cell r="G227">
            <v>0.42000000000007298</v>
          </cell>
          <cell r="H227">
            <v>97987</v>
          </cell>
          <cell r="I227">
            <v>97987</v>
          </cell>
          <cell r="J227">
            <v>0</v>
          </cell>
        </row>
        <row r="228">
          <cell r="A228" t="str">
            <v/>
          </cell>
          <cell r="B228">
            <v>62246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/>
          </cell>
          <cell r="B229">
            <v>62246</v>
          </cell>
          <cell r="C229">
            <v>89786</v>
          </cell>
          <cell r="D229" t="str">
            <v>Property Tax Exp</v>
          </cell>
          <cell r="E229">
            <v>12482</v>
          </cell>
          <cell r="F229">
            <v>12482.16</v>
          </cell>
          <cell r="G229">
            <v>-0.15999999999985401</v>
          </cell>
          <cell r="H229">
            <v>149786</v>
          </cell>
          <cell r="I229">
            <v>149786</v>
          </cell>
          <cell r="J229">
            <v>0</v>
          </cell>
        </row>
        <row r="230">
          <cell r="A230" t="str">
            <v/>
          </cell>
          <cell r="B230">
            <v>62246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/>
          </cell>
          <cell r="B231">
            <v>62246</v>
          </cell>
          <cell r="C231">
            <v>72701</v>
          </cell>
          <cell r="D231" t="str">
            <v>Utilities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/>
          </cell>
          <cell r="B232">
            <v>62246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/>
          </cell>
          <cell r="B233">
            <v>62246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/>
          </cell>
          <cell r="B234">
            <v>62246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/>
          </cell>
          <cell r="B235">
            <v>62246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/>
          </cell>
          <cell r="B236">
            <v>62246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/>
          </cell>
          <cell r="B237">
            <v>62246</v>
          </cell>
          <cell r="C237">
            <v>76054</v>
          </cell>
          <cell r="D237" t="str">
            <v>Bldg Maintenance &amp; Repair</v>
          </cell>
          <cell r="E237">
            <v>6.15</v>
          </cell>
          <cell r="F237">
            <v>241.75</v>
          </cell>
          <cell r="G237">
            <v>-235.6</v>
          </cell>
          <cell r="H237">
            <v>2901</v>
          </cell>
          <cell r="I237">
            <v>2901</v>
          </cell>
          <cell r="J237">
            <v>0</v>
          </cell>
        </row>
        <row r="238">
          <cell r="A238" t="str">
            <v/>
          </cell>
          <cell r="B238">
            <v>62246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/>
          </cell>
          <cell r="B239">
            <v>62246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/>
          </cell>
          <cell r="B240">
            <v>62246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/>
          </cell>
          <cell r="B241">
            <v>62246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/>
          </cell>
          <cell r="B242">
            <v>62246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/>
          </cell>
          <cell r="B243">
            <v>62246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/>
          </cell>
          <cell r="B244">
            <v>62246</v>
          </cell>
          <cell r="C244">
            <v>84240</v>
          </cell>
          <cell r="D244" t="str">
            <v>Marketing Leasing</v>
          </cell>
          <cell r="E244">
            <v>23.91</v>
          </cell>
          <cell r="F244">
            <v>0</v>
          </cell>
          <cell r="G244">
            <v>23.91</v>
          </cell>
          <cell r="H244">
            <v>0</v>
          </cell>
          <cell r="I244">
            <v>0</v>
          </cell>
          <cell r="J244">
            <v>0</v>
          </cell>
        </row>
        <row r="245">
          <cell r="A245" t="str">
            <v/>
          </cell>
          <cell r="B245">
            <v>62246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/>
          </cell>
          <cell r="B246">
            <v>62246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/>
          </cell>
          <cell r="B247">
            <v>62246</v>
          </cell>
          <cell r="C247">
            <v>84244</v>
          </cell>
          <cell r="D247" t="str">
            <v>Marketing-Net Required</v>
          </cell>
          <cell r="E247">
            <v>3475</v>
          </cell>
          <cell r="F247">
            <v>3474.67</v>
          </cell>
          <cell r="G247">
            <v>0.32999999999992702</v>
          </cell>
          <cell r="H247">
            <v>41696</v>
          </cell>
          <cell r="I247">
            <v>41696</v>
          </cell>
          <cell r="J247">
            <v>0</v>
          </cell>
        </row>
        <row r="248">
          <cell r="A248" t="str">
            <v/>
          </cell>
          <cell r="B248">
            <v>62246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/>
          </cell>
          <cell r="B249">
            <v>62246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/>
          </cell>
          <cell r="B250">
            <v>62246</v>
          </cell>
          <cell r="C250">
            <v>85016</v>
          </cell>
          <cell r="D250" t="str">
            <v>Prof Svc-Attorney Outside</v>
          </cell>
          <cell r="E250">
            <v>-701.75</v>
          </cell>
          <cell r="F250">
            <v>200</v>
          </cell>
          <cell r="G250">
            <v>-901.75</v>
          </cell>
          <cell r="H250">
            <v>2400</v>
          </cell>
          <cell r="I250">
            <v>2400</v>
          </cell>
          <cell r="J250">
            <v>0</v>
          </cell>
        </row>
        <row r="251">
          <cell r="A251" t="str">
            <v/>
          </cell>
          <cell r="B251">
            <v>62246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2400</v>
          </cell>
          <cell r="I251">
            <v>2400</v>
          </cell>
          <cell r="J251">
            <v>0</v>
          </cell>
        </row>
        <row r="252">
          <cell r="A252" t="str">
            <v/>
          </cell>
          <cell r="B252">
            <v>62246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/>
          </cell>
          <cell r="B253">
            <v>62246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 t="str">
            <v/>
          </cell>
          <cell r="B254">
            <v>62246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/>
          </cell>
          <cell r="B255">
            <v>62246</v>
          </cell>
          <cell r="C255">
            <v>85581</v>
          </cell>
          <cell r="D255" t="str">
            <v>Bldg Admin- Salaries</v>
          </cell>
          <cell r="E255">
            <v>4370</v>
          </cell>
          <cell r="F255">
            <v>4370</v>
          </cell>
          <cell r="G255">
            <v>0</v>
          </cell>
          <cell r="H255">
            <v>52374</v>
          </cell>
          <cell r="I255">
            <v>52374</v>
          </cell>
          <cell r="J255">
            <v>0</v>
          </cell>
        </row>
        <row r="256">
          <cell r="A256" t="str">
            <v/>
          </cell>
          <cell r="B256">
            <v>62246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133.33000000000001</v>
          </cell>
          <cell r="G256">
            <v>-133.33000000000001</v>
          </cell>
          <cell r="H256">
            <v>3600</v>
          </cell>
          <cell r="I256">
            <v>3600</v>
          </cell>
          <cell r="J256">
            <v>0</v>
          </cell>
        </row>
        <row r="257">
          <cell r="A257" t="str">
            <v/>
          </cell>
          <cell r="B257">
            <v>62246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133.33000000000001</v>
          </cell>
          <cell r="G257">
            <v>-133.33000000000001</v>
          </cell>
          <cell r="H257">
            <v>3600</v>
          </cell>
          <cell r="I257">
            <v>3600</v>
          </cell>
          <cell r="J257">
            <v>0</v>
          </cell>
        </row>
        <row r="258">
          <cell r="A258" t="str">
            <v/>
          </cell>
          <cell r="B258">
            <v>62246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/>
          </cell>
          <cell r="B259">
            <v>62246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/>
          </cell>
          <cell r="B260">
            <v>62246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/>
          </cell>
          <cell r="B261">
            <v>62246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/>
          </cell>
          <cell r="B262">
            <v>62246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/>
          </cell>
          <cell r="B263">
            <v>62246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/>
          </cell>
          <cell r="B264">
            <v>62246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/>
          </cell>
          <cell r="B265">
            <v>62246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/>
          </cell>
          <cell r="B266">
            <v>62246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/>
          </cell>
          <cell r="B267">
            <v>62246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</v>
          </cell>
          <cell r="G267">
            <v>0</v>
          </cell>
          <cell r="H267">
            <v>72373</v>
          </cell>
          <cell r="I267">
            <v>72373</v>
          </cell>
          <cell r="J267">
            <v>0</v>
          </cell>
        </row>
        <row r="268">
          <cell r="A268" t="str">
            <v/>
          </cell>
          <cell r="B268">
            <v>62246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/>
          </cell>
          <cell r="B269">
            <v>62246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/>
          </cell>
          <cell r="B270">
            <v>62246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/>
          </cell>
          <cell r="B271">
            <v>62246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/>
          </cell>
          <cell r="B272">
            <v>62246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/>
          </cell>
          <cell r="B273">
            <v>62246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/>
          </cell>
          <cell r="B274">
            <v>62246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/>
          </cell>
          <cell r="B275">
            <v>62246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/>
          </cell>
          <cell r="B276">
            <v>62246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/>
          </cell>
          <cell r="B277">
            <v>62246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/>
          </cell>
          <cell r="B278">
            <v>62246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/>
          </cell>
          <cell r="B279">
            <v>62246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/>
          </cell>
          <cell r="B280">
            <v>62246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/>
          </cell>
          <cell r="B281">
            <v>62246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/>
          </cell>
          <cell r="B282">
            <v>62246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/>
          </cell>
          <cell r="B283">
            <v>62246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0</v>
          </cell>
          <cell r="G283">
            <v>0</v>
          </cell>
          <cell r="H283">
            <v>5678.98</v>
          </cell>
          <cell r="I283">
            <v>5678.98</v>
          </cell>
          <cell r="J283">
            <v>0</v>
          </cell>
        </row>
        <row r="284">
          <cell r="A284" t="str">
            <v/>
          </cell>
          <cell r="B284">
            <v>62246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/>
          </cell>
          <cell r="B285">
            <v>62246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/>
          </cell>
          <cell r="B286">
            <v>62246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/>
          </cell>
          <cell r="B287">
            <v>62246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/>
          </cell>
          <cell r="B288">
            <v>62246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61697.62</v>
          </cell>
          <cell r="G288">
            <v>-61697.62</v>
          </cell>
          <cell r="H288">
            <v>739135.99</v>
          </cell>
          <cell r="I288">
            <v>739135.99</v>
          </cell>
          <cell r="J288">
            <v>0</v>
          </cell>
        </row>
        <row r="289">
          <cell r="A289" t="str">
            <v/>
          </cell>
          <cell r="B289">
            <v>62246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1"/>
      <sheetName val="TMP2"/>
      <sheetName val="TMP3"/>
      <sheetName val="variance"/>
    </sheetNames>
    <sheetDataSet>
      <sheetData sheetId="0"/>
      <sheetData sheetId="1"/>
      <sheetData sheetId="2"/>
      <sheetData sheetId="3" refreshError="1">
        <row r="2">
          <cell r="A2" t="str">
            <v>6227041010</v>
          </cell>
          <cell r="B2">
            <v>62270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 t="str">
            <v xml:space="preserve"> </v>
          </cell>
          <cell r="I2">
            <v>0</v>
          </cell>
          <cell r="J2">
            <v>0</v>
          </cell>
        </row>
        <row r="3">
          <cell r="A3" t="str">
            <v>6227041040</v>
          </cell>
          <cell r="B3">
            <v>62270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 t="str">
            <v xml:space="preserve"> </v>
          </cell>
          <cell r="I3">
            <v>0</v>
          </cell>
          <cell r="J3">
            <v>0</v>
          </cell>
        </row>
        <row r="4">
          <cell r="A4" t="str">
            <v>6227041050</v>
          </cell>
          <cell r="B4">
            <v>62270</v>
          </cell>
          <cell r="C4">
            <v>41050</v>
          </cell>
          <cell r="D4" t="str">
            <v>Rental Income - Fixed</v>
          </cell>
          <cell r="E4">
            <v>-1250488.52</v>
          </cell>
          <cell r="F4">
            <v>-1248884.82</v>
          </cell>
          <cell r="G4">
            <v>-1603.69999999995</v>
          </cell>
          <cell r="H4" t="str">
            <v xml:space="preserve"> </v>
          </cell>
          <cell r="I4">
            <v>-5103929.24</v>
          </cell>
          <cell r="J4">
            <v>-5103929.24</v>
          </cell>
        </row>
        <row r="5">
          <cell r="A5" t="str">
            <v>6227041074</v>
          </cell>
          <cell r="B5">
            <v>62270</v>
          </cell>
          <cell r="C5">
            <v>41074</v>
          </cell>
          <cell r="D5" t="str">
            <v>Rental Income - Percentage</v>
          </cell>
          <cell r="E5">
            <v>-2364.0100000000002</v>
          </cell>
          <cell r="F5">
            <v>0</v>
          </cell>
          <cell r="G5">
            <v>-2364.0100000000002</v>
          </cell>
          <cell r="H5" t="str">
            <v xml:space="preserve"> </v>
          </cell>
          <cell r="I5">
            <v>-13990</v>
          </cell>
          <cell r="J5">
            <v>-13990</v>
          </cell>
        </row>
        <row r="6">
          <cell r="A6" t="str">
            <v>6227041082</v>
          </cell>
          <cell r="B6">
            <v>62270</v>
          </cell>
          <cell r="C6">
            <v>41082</v>
          </cell>
          <cell r="D6" t="str">
            <v>Rental Income - Operating Exp</v>
          </cell>
          <cell r="E6">
            <v>-311979.46999999997</v>
          </cell>
          <cell r="F6">
            <v>-363486.3</v>
          </cell>
          <cell r="G6">
            <v>51506.83</v>
          </cell>
          <cell r="H6" t="str">
            <v xml:space="preserve"> </v>
          </cell>
          <cell r="I6">
            <v>-1453945.2</v>
          </cell>
          <cell r="J6">
            <v>-1453945.2</v>
          </cell>
        </row>
        <row r="7">
          <cell r="A7" t="str">
            <v>6227044610</v>
          </cell>
          <cell r="B7">
            <v>62270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 t="str">
            <v xml:space="preserve"> </v>
          </cell>
          <cell r="I7">
            <v>0</v>
          </cell>
          <cell r="J7">
            <v>0</v>
          </cell>
        </row>
        <row r="8">
          <cell r="A8" t="str">
            <v>6227045071</v>
          </cell>
          <cell r="B8">
            <v>62270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 t="str">
            <v xml:space="preserve"> </v>
          </cell>
          <cell r="I8">
            <v>0</v>
          </cell>
          <cell r="J8">
            <v>0</v>
          </cell>
        </row>
        <row r="9">
          <cell r="A9" t="str">
            <v>6227045010</v>
          </cell>
          <cell r="B9">
            <v>62270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 t="str">
            <v xml:space="preserve"> </v>
          </cell>
          <cell r="I9">
            <v>0</v>
          </cell>
          <cell r="J9">
            <v>0</v>
          </cell>
        </row>
        <row r="10">
          <cell r="A10" t="str">
            <v>6227045046</v>
          </cell>
          <cell r="B10">
            <v>62270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 t="str">
            <v xml:space="preserve"> </v>
          </cell>
          <cell r="I10">
            <v>0</v>
          </cell>
          <cell r="J10">
            <v>0</v>
          </cell>
        </row>
        <row r="11">
          <cell r="A11" t="str">
            <v>6227045070</v>
          </cell>
          <cell r="B11">
            <v>62270</v>
          </cell>
          <cell r="C11">
            <v>45070</v>
          </cell>
          <cell r="D11" t="str">
            <v>Other Income</v>
          </cell>
          <cell r="E11">
            <v>-12000.08</v>
          </cell>
          <cell r="F11">
            <v>0</v>
          </cell>
          <cell r="G11">
            <v>-12000.08</v>
          </cell>
          <cell r="H11" t="str">
            <v xml:space="preserve"> </v>
          </cell>
          <cell r="I11">
            <v>0</v>
          </cell>
          <cell r="J11">
            <v>0</v>
          </cell>
        </row>
        <row r="12">
          <cell r="A12" t="str">
            <v>6227041060</v>
          </cell>
          <cell r="B12">
            <v>62270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16429.740000000002</v>
          </cell>
          <cell r="G12">
            <v>-16429.740000000002</v>
          </cell>
          <cell r="H12" t="str">
            <v xml:space="preserve"> </v>
          </cell>
          <cell r="I12">
            <v>65719</v>
          </cell>
          <cell r="J12">
            <v>65719</v>
          </cell>
        </row>
        <row r="13">
          <cell r="A13" t="str">
            <v>6227044870</v>
          </cell>
          <cell r="B13">
            <v>62270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 t="str">
            <v xml:space="preserve"> </v>
          </cell>
          <cell r="I13">
            <v>-1030</v>
          </cell>
          <cell r="J13">
            <v>-1030</v>
          </cell>
        </row>
        <row r="14">
          <cell r="A14" t="str">
            <v>6227052542</v>
          </cell>
          <cell r="B14">
            <v>62270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 t="str">
            <v xml:space="preserve"> </v>
          </cell>
          <cell r="I14">
            <v>0</v>
          </cell>
          <cell r="J14">
            <v>0</v>
          </cell>
        </row>
        <row r="15">
          <cell r="A15" t="str">
            <v>6227072710</v>
          </cell>
          <cell r="B15">
            <v>62270</v>
          </cell>
          <cell r="C15">
            <v>72710</v>
          </cell>
          <cell r="D15" t="str">
            <v>Utilities - Electricity</v>
          </cell>
          <cell r="E15">
            <v>8462.43</v>
          </cell>
          <cell r="F15">
            <v>10519.49</v>
          </cell>
          <cell r="G15">
            <v>-2057.06</v>
          </cell>
          <cell r="H15" t="str">
            <v xml:space="preserve"> </v>
          </cell>
          <cell r="I15">
            <v>56077.34</v>
          </cell>
          <cell r="J15">
            <v>56077.34</v>
          </cell>
        </row>
        <row r="16">
          <cell r="A16" t="str">
            <v>6227072740</v>
          </cell>
          <cell r="B16">
            <v>62270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 t="str">
            <v xml:space="preserve"> </v>
          </cell>
          <cell r="I16">
            <v>0</v>
          </cell>
          <cell r="J16">
            <v>0</v>
          </cell>
        </row>
        <row r="17">
          <cell r="A17" t="str">
            <v>6227072770</v>
          </cell>
          <cell r="B17">
            <v>62270</v>
          </cell>
          <cell r="C17">
            <v>72770</v>
          </cell>
          <cell r="D17" t="str">
            <v>Utilities - Water</v>
          </cell>
          <cell r="E17">
            <v>6696.99</v>
          </cell>
          <cell r="F17">
            <v>3982.8</v>
          </cell>
          <cell r="G17">
            <v>2714.19</v>
          </cell>
          <cell r="H17" t="str">
            <v xml:space="preserve"> </v>
          </cell>
          <cell r="I17">
            <v>19157.189999999999</v>
          </cell>
          <cell r="J17">
            <v>19157.189999999999</v>
          </cell>
        </row>
        <row r="18">
          <cell r="A18" t="str">
            <v>6227076000</v>
          </cell>
          <cell r="B18">
            <v>62270</v>
          </cell>
          <cell r="C18">
            <v>76000</v>
          </cell>
          <cell r="D18" t="str">
            <v>Bldg Maintenance &amp; Repair</v>
          </cell>
          <cell r="E18">
            <v>7380.82</v>
          </cell>
          <cell r="F18">
            <v>11573.69</v>
          </cell>
          <cell r="G18">
            <v>-4192.87</v>
          </cell>
          <cell r="H18" t="str">
            <v xml:space="preserve"> </v>
          </cell>
          <cell r="I18">
            <v>63292.58</v>
          </cell>
          <cell r="J18">
            <v>63292.58</v>
          </cell>
        </row>
        <row r="19">
          <cell r="A19" t="str">
            <v>6227076020</v>
          </cell>
          <cell r="B19">
            <v>62270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2626.5</v>
          </cell>
          <cell r="G19">
            <v>-2626.5</v>
          </cell>
          <cell r="H19" t="str">
            <v xml:space="preserve"> </v>
          </cell>
          <cell r="I19">
            <v>10712</v>
          </cell>
          <cell r="J19">
            <v>10712</v>
          </cell>
        </row>
        <row r="20">
          <cell r="A20" t="str">
            <v>6227076034</v>
          </cell>
          <cell r="B20">
            <v>62270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 t="str">
            <v xml:space="preserve"> </v>
          </cell>
          <cell r="I20">
            <v>0</v>
          </cell>
          <cell r="J20">
            <v>0</v>
          </cell>
        </row>
        <row r="21">
          <cell r="A21" t="str">
            <v>6227076050</v>
          </cell>
          <cell r="B21">
            <v>62270</v>
          </cell>
          <cell r="C21">
            <v>76050</v>
          </cell>
          <cell r="D21" t="str">
            <v>Cleaning Expense</v>
          </cell>
          <cell r="E21">
            <v>19423.759999999998</v>
          </cell>
          <cell r="F21">
            <v>16215.06</v>
          </cell>
          <cell r="G21">
            <v>3208.7</v>
          </cell>
          <cell r="H21" t="str">
            <v xml:space="preserve"> </v>
          </cell>
          <cell r="I21">
            <v>77274.210000000006</v>
          </cell>
          <cell r="J21">
            <v>77274.210000000006</v>
          </cell>
        </row>
        <row r="22">
          <cell r="A22" t="str">
            <v>6227076056</v>
          </cell>
          <cell r="B22">
            <v>62270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 t="str">
            <v xml:space="preserve"> </v>
          </cell>
          <cell r="I22">
            <v>0</v>
          </cell>
          <cell r="J22">
            <v>0</v>
          </cell>
        </row>
        <row r="23">
          <cell r="A23" t="str">
            <v>6227076070</v>
          </cell>
          <cell r="B23">
            <v>62270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 t="str">
            <v xml:space="preserve"> </v>
          </cell>
          <cell r="I23">
            <v>0</v>
          </cell>
          <cell r="J23">
            <v>0</v>
          </cell>
        </row>
        <row r="24">
          <cell r="A24" t="str">
            <v>6227076091</v>
          </cell>
          <cell r="B24">
            <v>62270</v>
          </cell>
          <cell r="C24">
            <v>76091</v>
          </cell>
          <cell r="D24" t="str">
            <v>Parking Maintenance</v>
          </cell>
          <cell r="E24">
            <v>9004.01</v>
          </cell>
          <cell r="F24">
            <v>12528.5</v>
          </cell>
          <cell r="G24">
            <v>-3524.49</v>
          </cell>
          <cell r="H24" t="str">
            <v xml:space="preserve"> </v>
          </cell>
          <cell r="I24">
            <v>59121.55</v>
          </cell>
          <cell r="J24">
            <v>59121.55</v>
          </cell>
        </row>
        <row r="25">
          <cell r="A25" t="str">
            <v>6227077000</v>
          </cell>
          <cell r="B25">
            <v>62270</v>
          </cell>
          <cell r="C25">
            <v>77000</v>
          </cell>
          <cell r="D25" t="str">
            <v>Grounds Maintenance</v>
          </cell>
          <cell r="E25">
            <v>18432.02</v>
          </cell>
          <cell r="F25">
            <v>12074.95</v>
          </cell>
          <cell r="G25">
            <v>6357.07</v>
          </cell>
          <cell r="H25" t="str">
            <v xml:space="preserve"> </v>
          </cell>
          <cell r="I25">
            <v>74511.91</v>
          </cell>
          <cell r="J25">
            <v>74511.91</v>
          </cell>
        </row>
        <row r="26">
          <cell r="A26" t="str">
            <v>6227077053</v>
          </cell>
          <cell r="B26">
            <v>62270</v>
          </cell>
          <cell r="C26">
            <v>77053</v>
          </cell>
          <cell r="D26" t="str">
            <v>Landscaping</v>
          </cell>
          <cell r="E26">
            <v>14305</v>
          </cell>
          <cell r="F26">
            <v>25339.23</v>
          </cell>
          <cell r="G26">
            <v>-11034.23</v>
          </cell>
          <cell r="H26" t="str">
            <v xml:space="preserve"> </v>
          </cell>
          <cell r="I26">
            <v>125364.17</v>
          </cell>
          <cell r="J26">
            <v>125364.17</v>
          </cell>
        </row>
        <row r="27">
          <cell r="A27" t="str">
            <v>6227078020</v>
          </cell>
          <cell r="B27">
            <v>62270</v>
          </cell>
          <cell r="C27">
            <v>78020</v>
          </cell>
          <cell r="D27" t="str">
            <v>Amortized CAM Exp</v>
          </cell>
          <cell r="E27">
            <v>20262.599999999999</v>
          </cell>
          <cell r="F27">
            <v>20262.54</v>
          </cell>
          <cell r="G27">
            <v>5.9999999997671701E-2</v>
          </cell>
          <cell r="H27" t="str">
            <v xml:space="preserve"> </v>
          </cell>
          <cell r="I27">
            <v>88050</v>
          </cell>
          <cell r="J27">
            <v>88050</v>
          </cell>
        </row>
        <row r="28">
          <cell r="A28" t="str">
            <v>6227084264</v>
          </cell>
          <cell r="B28">
            <v>62270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 t="str">
            <v xml:space="preserve"> </v>
          </cell>
          <cell r="I28">
            <v>0</v>
          </cell>
          <cell r="J28">
            <v>0</v>
          </cell>
        </row>
        <row r="29">
          <cell r="A29" t="str">
            <v>6227085555</v>
          </cell>
          <cell r="B29">
            <v>62270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 t="str">
            <v xml:space="preserve"> </v>
          </cell>
          <cell r="I29">
            <v>0</v>
          </cell>
          <cell r="J29">
            <v>0</v>
          </cell>
        </row>
        <row r="30">
          <cell r="A30" t="str">
            <v>6227085584</v>
          </cell>
          <cell r="B30">
            <v>62270</v>
          </cell>
          <cell r="C30">
            <v>85584</v>
          </cell>
          <cell r="D30" t="str">
            <v>Bldg Admin-Office Costs</v>
          </cell>
          <cell r="E30">
            <v>1817.34</v>
          </cell>
          <cell r="F30">
            <v>7810.5</v>
          </cell>
          <cell r="G30">
            <v>-5993.16</v>
          </cell>
          <cell r="H30" t="str">
            <v xml:space="preserve"> </v>
          </cell>
          <cell r="I30">
            <v>31242</v>
          </cell>
          <cell r="J30">
            <v>31242</v>
          </cell>
        </row>
        <row r="31">
          <cell r="A31" t="str">
            <v>6227085582</v>
          </cell>
          <cell r="B31">
            <v>62270</v>
          </cell>
          <cell r="C31">
            <v>85582</v>
          </cell>
          <cell r="D31" t="str">
            <v>Bldg Admin-Salaries</v>
          </cell>
          <cell r="E31">
            <v>38.129999999997402</v>
          </cell>
          <cell r="F31">
            <v>39331.26</v>
          </cell>
          <cell r="G31">
            <v>-39293.129999999997</v>
          </cell>
          <cell r="H31" t="str">
            <v xml:space="preserve"> </v>
          </cell>
          <cell r="I31">
            <v>167507.20000000001</v>
          </cell>
          <cell r="J31">
            <v>167507.20000000001</v>
          </cell>
        </row>
        <row r="32">
          <cell r="A32" t="str">
            <v>6227086564</v>
          </cell>
          <cell r="B32">
            <v>62270</v>
          </cell>
          <cell r="C32">
            <v>86564</v>
          </cell>
          <cell r="D32" t="str">
            <v>Insurance</v>
          </cell>
          <cell r="E32">
            <v>23228</v>
          </cell>
          <cell r="F32">
            <v>23227.26</v>
          </cell>
          <cell r="G32">
            <v>0.74000000000160104</v>
          </cell>
          <cell r="H32" t="str">
            <v xml:space="preserve"> </v>
          </cell>
          <cell r="I32">
            <v>92909</v>
          </cell>
          <cell r="J32">
            <v>92909</v>
          </cell>
        </row>
        <row r="33">
          <cell r="A33" t="str">
            <v>6227088846</v>
          </cell>
          <cell r="B33">
            <v>62270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 t="str">
            <v xml:space="preserve"> </v>
          </cell>
          <cell r="I33">
            <v>0</v>
          </cell>
          <cell r="J33">
            <v>0</v>
          </cell>
        </row>
        <row r="34">
          <cell r="A34" t="str">
            <v>6227088890</v>
          </cell>
          <cell r="B34">
            <v>62270</v>
          </cell>
          <cell r="C34">
            <v>88890</v>
          </cell>
          <cell r="D34" t="str">
            <v>Security/Safety</v>
          </cell>
          <cell r="E34">
            <v>11040.82</v>
          </cell>
          <cell r="F34">
            <v>9046.6</v>
          </cell>
          <cell r="G34">
            <v>1994.22</v>
          </cell>
          <cell r="H34" t="str">
            <v xml:space="preserve"> </v>
          </cell>
          <cell r="I34">
            <v>36486.82</v>
          </cell>
          <cell r="J34">
            <v>36486.82</v>
          </cell>
        </row>
        <row r="35">
          <cell r="A35" t="str">
            <v>6227089775</v>
          </cell>
          <cell r="B35">
            <v>62270</v>
          </cell>
          <cell r="C35">
            <v>89775</v>
          </cell>
          <cell r="D35" t="str">
            <v>Assmt Dist Taxes- Reimb</v>
          </cell>
          <cell r="E35">
            <v>41341.5</v>
          </cell>
          <cell r="F35">
            <v>41341.5</v>
          </cell>
          <cell r="G35">
            <v>0</v>
          </cell>
          <cell r="H35" t="str">
            <v xml:space="preserve"> </v>
          </cell>
          <cell r="I35">
            <v>165366</v>
          </cell>
          <cell r="J35">
            <v>165366</v>
          </cell>
        </row>
        <row r="36">
          <cell r="A36" t="str">
            <v>6227089729</v>
          </cell>
          <cell r="B36">
            <v>62270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 t="str">
            <v xml:space="preserve"> </v>
          </cell>
          <cell r="I36">
            <v>0</v>
          </cell>
          <cell r="J36">
            <v>0</v>
          </cell>
        </row>
        <row r="37">
          <cell r="A37" t="str">
            <v>6227089786</v>
          </cell>
          <cell r="B37">
            <v>62270</v>
          </cell>
          <cell r="C37">
            <v>89786</v>
          </cell>
          <cell r="D37" t="str">
            <v>Property Tax Exp</v>
          </cell>
          <cell r="E37">
            <v>88893.75</v>
          </cell>
          <cell r="F37">
            <v>88893.75</v>
          </cell>
          <cell r="G37">
            <v>0</v>
          </cell>
          <cell r="H37" t="str">
            <v xml:space="preserve"> </v>
          </cell>
          <cell r="I37">
            <v>355575</v>
          </cell>
          <cell r="J37">
            <v>355575</v>
          </cell>
        </row>
        <row r="38">
          <cell r="A38" t="str">
            <v>6227071040</v>
          </cell>
          <cell r="B38">
            <v>62270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 t="str">
            <v xml:space="preserve"> </v>
          </cell>
          <cell r="I38">
            <v>0</v>
          </cell>
          <cell r="J38">
            <v>0</v>
          </cell>
        </row>
        <row r="39">
          <cell r="A39" t="str">
            <v>6227072701</v>
          </cell>
          <cell r="B39">
            <v>62270</v>
          </cell>
          <cell r="C39">
            <v>72701</v>
          </cell>
          <cell r="D39" t="str">
            <v>Utilities</v>
          </cell>
          <cell r="E39">
            <v>66.69</v>
          </cell>
          <cell r="F39">
            <v>0</v>
          </cell>
          <cell r="G39">
            <v>66.69</v>
          </cell>
          <cell r="H39" t="str">
            <v xml:space="preserve"> </v>
          </cell>
          <cell r="I39">
            <v>206</v>
          </cell>
          <cell r="J39">
            <v>206</v>
          </cell>
        </row>
        <row r="40">
          <cell r="A40" t="str">
            <v>6227072855</v>
          </cell>
          <cell r="B40">
            <v>62270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 t="str">
            <v xml:space="preserve"> </v>
          </cell>
          <cell r="I40">
            <v>0</v>
          </cell>
          <cell r="J40">
            <v>0</v>
          </cell>
        </row>
        <row r="41">
          <cell r="A41" t="str">
            <v>6227072870</v>
          </cell>
          <cell r="B41">
            <v>62270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 t="str">
            <v xml:space="preserve"> </v>
          </cell>
          <cell r="I41">
            <v>0</v>
          </cell>
          <cell r="J41">
            <v>0</v>
          </cell>
        </row>
        <row r="42">
          <cell r="A42" t="str">
            <v>6227076010</v>
          </cell>
          <cell r="B42">
            <v>62270</v>
          </cell>
          <cell r="C42">
            <v>76010</v>
          </cell>
          <cell r="D42" t="str">
            <v>Tenant Alterations</v>
          </cell>
          <cell r="E42">
            <v>105.16</v>
          </cell>
          <cell r="F42">
            <v>0</v>
          </cell>
          <cell r="G42">
            <v>105.16</v>
          </cell>
          <cell r="H42" t="str">
            <v xml:space="preserve"> </v>
          </cell>
          <cell r="I42">
            <v>354.4</v>
          </cell>
          <cell r="J42">
            <v>354.4</v>
          </cell>
        </row>
        <row r="43">
          <cell r="A43" t="str">
            <v>6227076040</v>
          </cell>
          <cell r="B43">
            <v>62270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 t="str">
            <v xml:space="preserve"> </v>
          </cell>
          <cell r="I43">
            <v>0</v>
          </cell>
          <cell r="J43">
            <v>0</v>
          </cell>
        </row>
        <row r="44">
          <cell r="A44" t="str">
            <v>6227076051</v>
          </cell>
          <cell r="B44">
            <v>62270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 t="str">
            <v xml:space="preserve"> </v>
          </cell>
          <cell r="I44">
            <v>0</v>
          </cell>
          <cell r="J44">
            <v>0</v>
          </cell>
        </row>
        <row r="45">
          <cell r="A45" t="str">
            <v>6227076054</v>
          </cell>
          <cell r="B45">
            <v>62270</v>
          </cell>
          <cell r="C45">
            <v>76054</v>
          </cell>
          <cell r="D45" t="str">
            <v>Bldg Maintenance &amp; Repair</v>
          </cell>
          <cell r="E45">
            <v>25.24</v>
          </cell>
          <cell r="F45">
            <v>10000</v>
          </cell>
          <cell r="G45">
            <v>-9974.76</v>
          </cell>
          <cell r="H45" t="str">
            <v xml:space="preserve"> </v>
          </cell>
          <cell r="I45">
            <v>11372.73</v>
          </cell>
          <cell r="J45">
            <v>11372.73</v>
          </cell>
        </row>
        <row r="46">
          <cell r="A46" t="str">
            <v>6227076060</v>
          </cell>
          <cell r="B46">
            <v>62270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 t="str">
            <v xml:space="preserve"> </v>
          </cell>
          <cell r="I46">
            <v>0</v>
          </cell>
          <cell r="J46">
            <v>0</v>
          </cell>
        </row>
        <row r="47">
          <cell r="A47" t="str">
            <v>6227076071</v>
          </cell>
          <cell r="B47">
            <v>62270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 t="str">
            <v xml:space="preserve"> </v>
          </cell>
          <cell r="I47">
            <v>0</v>
          </cell>
          <cell r="J47">
            <v>0</v>
          </cell>
        </row>
        <row r="48">
          <cell r="A48" t="str">
            <v>6227076090</v>
          </cell>
          <cell r="B48">
            <v>62270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 t="str">
            <v xml:space="preserve"> </v>
          </cell>
          <cell r="I48">
            <v>0</v>
          </cell>
          <cell r="J48">
            <v>0</v>
          </cell>
        </row>
        <row r="49">
          <cell r="A49" t="str">
            <v>6227077001</v>
          </cell>
          <cell r="B49">
            <v>62270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 t="str">
            <v xml:space="preserve"> </v>
          </cell>
          <cell r="I49">
            <v>0</v>
          </cell>
          <cell r="J49">
            <v>0</v>
          </cell>
        </row>
        <row r="50">
          <cell r="A50" t="str">
            <v>6227077022</v>
          </cell>
          <cell r="B50">
            <v>62270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 t="str">
            <v xml:space="preserve"> </v>
          </cell>
          <cell r="I50">
            <v>0</v>
          </cell>
          <cell r="J50">
            <v>0</v>
          </cell>
        </row>
        <row r="51">
          <cell r="A51" t="str">
            <v>6227084200</v>
          </cell>
          <cell r="B51">
            <v>62270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 t="str">
            <v xml:space="preserve"> </v>
          </cell>
          <cell r="I51">
            <v>0</v>
          </cell>
          <cell r="J51">
            <v>0</v>
          </cell>
        </row>
        <row r="52">
          <cell r="A52" t="str">
            <v>6227084240</v>
          </cell>
          <cell r="B52">
            <v>62270</v>
          </cell>
          <cell r="C52">
            <v>84240</v>
          </cell>
          <cell r="D52" t="str">
            <v>Marketing Leasing</v>
          </cell>
          <cell r="E52">
            <v>50.66</v>
          </cell>
          <cell r="F52">
            <v>1863.24</v>
          </cell>
          <cell r="G52">
            <v>-1812.58</v>
          </cell>
          <cell r="H52" t="str">
            <v xml:space="preserve"> </v>
          </cell>
          <cell r="I52">
            <v>7453</v>
          </cell>
          <cell r="J52">
            <v>7453</v>
          </cell>
        </row>
        <row r="53">
          <cell r="A53" t="str">
            <v>6227084242</v>
          </cell>
          <cell r="B53">
            <v>62270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 t="str">
            <v xml:space="preserve"> </v>
          </cell>
          <cell r="I53">
            <v>0</v>
          </cell>
          <cell r="J53">
            <v>0</v>
          </cell>
        </row>
        <row r="54">
          <cell r="A54" t="str">
            <v>6227084243</v>
          </cell>
          <cell r="B54">
            <v>62270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 t="str">
            <v xml:space="preserve"> </v>
          </cell>
          <cell r="I54">
            <v>0</v>
          </cell>
          <cell r="J54">
            <v>0</v>
          </cell>
        </row>
        <row r="55">
          <cell r="A55" t="str">
            <v>6227084244</v>
          </cell>
          <cell r="B55">
            <v>62270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 t="str">
            <v xml:space="preserve"> </v>
          </cell>
          <cell r="I55">
            <v>0</v>
          </cell>
          <cell r="J55">
            <v>0</v>
          </cell>
        </row>
        <row r="56">
          <cell r="A56" t="str">
            <v>6227084265</v>
          </cell>
          <cell r="B56">
            <v>62270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 t="str">
            <v xml:space="preserve"> </v>
          </cell>
          <cell r="I56">
            <v>0</v>
          </cell>
          <cell r="J56">
            <v>0</v>
          </cell>
        </row>
        <row r="57">
          <cell r="A57" t="str">
            <v>6227088037</v>
          </cell>
          <cell r="B57">
            <v>62270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 t="str">
            <v xml:space="preserve"> </v>
          </cell>
          <cell r="I57">
            <v>0</v>
          </cell>
          <cell r="J57">
            <v>0</v>
          </cell>
        </row>
        <row r="58">
          <cell r="A58" t="str">
            <v>6227085016</v>
          </cell>
          <cell r="B58">
            <v>62270</v>
          </cell>
          <cell r="C58">
            <v>85016</v>
          </cell>
          <cell r="D58" t="str">
            <v>Prof Svc-Attorney Outside</v>
          </cell>
          <cell r="E58">
            <v>1056.74</v>
          </cell>
          <cell r="F58">
            <v>96.82</v>
          </cell>
          <cell r="G58">
            <v>959.92</v>
          </cell>
          <cell r="H58" t="str">
            <v xml:space="preserve"> </v>
          </cell>
          <cell r="I58">
            <v>4412</v>
          </cell>
          <cell r="J58">
            <v>4412</v>
          </cell>
        </row>
        <row r="59">
          <cell r="A59" t="str">
            <v>6227085022</v>
          </cell>
          <cell r="B59">
            <v>62270</v>
          </cell>
          <cell r="C59">
            <v>85022</v>
          </cell>
          <cell r="D59" t="str">
            <v>Prof Svc-Audit/Acctng</v>
          </cell>
          <cell r="E59">
            <v>1350</v>
          </cell>
          <cell r="F59">
            <v>695.25</v>
          </cell>
          <cell r="G59">
            <v>654.75</v>
          </cell>
          <cell r="H59" t="str">
            <v xml:space="preserve"> </v>
          </cell>
          <cell r="I59">
            <v>5760.12</v>
          </cell>
          <cell r="J59">
            <v>5760.12</v>
          </cell>
        </row>
        <row r="60">
          <cell r="A60" t="str">
            <v>6227085065</v>
          </cell>
          <cell r="B60">
            <v>62270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 t="str">
            <v xml:space="preserve"> </v>
          </cell>
          <cell r="I60">
            <v>0</v>
          </cell>
          <cell r="J60">
            <v>0</v>
          </cell>
        </row>
        <row r="61">
          <cell r="A61" t="str">
            <v>6227085500</v>
          </cell>
          <cell r="B61">
            <v>62270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594.54</v>
          </cell>
          <cell r="G61">
            <v>-594.54</v>
          </cell>
          <cell r="H61" t="str">
            <v xml:space="preserve"> </v>
          </cell>
          <cell r="I61">
            <v>6596.05</v>
          </cell>
          <cell r="J61">
            <v>6596.05</v>
          </cell>
        </row>
        <row r="62">
          <cell r="A62" t="str">
            <v>6227085566</v>
          </cell>
          <cell r="B62">
            <v>62270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 t="str">
            <v xml:space="preserve"> </v>
          </cell>
          <cell r="I62">
            <v>0</v>
          </cell>
          <cell r="J62">
            <v>0</v>
          </cell>
        </row>
        <row r="63">
          <cell r="A63" t="str">
            <v>6227085581</v>
          </cell>
          <cell r="B63">
            <v>62270</v>
          </cell>
          <cell r="C63">
            <v>85581</v>
          </cell>
          <cell r="D63" t="str">
            <v>Bldg Admin- Salaries</v>
          </cell>
          <cell r="E63">
            <v>9.5400000000008696</v>
          </cell>
          <cell r="F63">
            <v>31845.26</v>
          </cell>
          <cell r="G63">
            <v>-31835.72</v>
          </cell>
          <cell r="H63" t="str">
            <v xml:space="preserve"> </v>
          </cell>
          <cell r="I63">
            <v>134068.20000000001</v>
          </cell>
          <cell r="J63">
            <v>134068.20000000001</v>
          </cell>
        </row>
        <row r="64">
          <cell r="A64" t="str">
            <v>6227085583</v>
          </cell>
          <cell r="B64">
            <v>62270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 t="str">
            <v xml:space="preserve"> </v>
          </cell>
          <cell r="I64">
            <v>0</v>
          </cell>
          <cell r="J64">
            <v>0</v>
          </cell>
        </row>
        <row r="65">
          <cell r="A65" t="str">
            <v>6227085530</v>
          </cell>
          <cell r="B65">
            <v>62270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 t="str">
            <v xml:space="preserve"> </v>
          </cell>
          <cell r="I65">
            <v>0</v>
          </cell>
          <cell r="J65">
            <v>0</v>
          </cell>
        </row>
        <row r="66">
          <cell r="A66" t="str">
            <v>6227086012</v>
          </cell>
          <cell r="B66">
            <v>62270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 t="str">
            <v xml:space="preserve"> </v>
          </cell>
          <cell r="I66">
            <v>0</v>
          </cell>
          <cell r="J66">
            <v>0</v>
          </cell>
        </row>
        <row r="67">
          <cell r="A67" t="str">
            <v>6227086037</v>
          </cell>
          <cell r="B67">
            <v>62270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 t="str">
            <v xml:space="preserve"> </v>
          </cell>
          <cell r="I67">
            <v>0</v>
          </cell>
          <cell r="J67">
            <v>0</v>
          </cell>
        </row>
        <row r="68">
          <cell r="A68" t="str">
            <v>6227083050</v>
          </cell>
          <cell r="B68">
            <v>62270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 t="str">
            <v xml:space="preserve"> </v>
          </cell>
          <cell r="I68">
            <v>0</v>
          </cell>
          <cell r="J68">
            <v>0</v>
          </cell>
        </row>
        <row r="69">
          <cell r="A69" t="str">
            <v>6227086510</v>
          </cell>
          <cell r="B69">
            <v>62270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 t="str">
            <v xml:space="preserve"> </v>
          </cell>
          <cell r="I69">
            <v>0</v>
          </cell>
          <cell r="J69">
            <v>0</v>
          </cell>
        </row>
        <row r="70">
          <cell r="A70" t="str">
            <v>6227086537</v>
          </cell>
          <cell r="B70">
            <v>62270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 t="str">
            <v xml:space="preserve"> </v>
          </cell>
          <cell r="I70">
            <v>0</v>
          </cell>
          <cell r="J70">
            <v>0</v>
          </cell>
        </row>
        <row r="71">
          <cell r="A71" t="str">
            <v>6227086566</v>
          </cell>
          <cell r="B71">
            <v>62270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 t="str">
            <v xml:space="preserve"> </v>
          </cell>
          <cell r="I71">
            <v>0</v>
          </cell>
          <cell r="J71">
            <v>0</v>
          </cell>
        </row>
        <row r="72">
          <cell r="A72" t="str">
            <v>6227086955</v>
          </cell>
          <cell r="B72">
            <v>62270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 t="str">
            <v xml:space="preserve"> </v>
          </cell>
          <cell r="I72">
            <v>0</v>
          </cell>
          <cell r="J72">
            <v>0</v>
          </cell>
        </row>
        <row r="73">
          <cell r="A73" t="str">
            <v>6227086985</v>
          </cell>
          <cell r="B73">
            <v>62270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 t="str">
            <v xml:space="preserve"> </v>
          </cell>
          <cell r="I73">
            <v>0</v>
          </cell>
          <cell r="J73">
            <v>0</v>
          </cell>
        </row>
        <row r="74">
          <cell r="A74" t="str">
            <v>6227086880</v>
          </cell>
          <cell r="B74">
            <v>62270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 t="str">
            <v xml:space="preserve"> </v>
          </cell>
          <cell r="I74">
            <v>0</v>
          </cell>
          <cell r="J74">
            <v>0</v>
          </cell>
        </row>
        <row r="75">
          <cell r="A75" t="str">
            <v>6227088710</v>
          </cell>
          <cell r="B75">
            <v>62270</v>
          </cell>
          <cell r="C75">
            <v>88710</v>
          </cell>
          <cell r="D75" t="str">
            <v>Losses-Bad Debts</v>
          </cell>
          <cell r="E75">
            <v>-16361.65</v>
          </cell>
          <cell r="F75">
            <v>16432.16</v>
          </cell>
          <cell r="G75">
            <v>-32793.81</v>
          </cell>
          <cell r="H75" t="str">
            <v xml:space="preserve"> </v>
          </cell>
          <cell r="I75">
            <v>65728.639999999999</v>
          </cell>
          <cell r="J75">
            <v>65728.639999999999</v>
          </cell>
        </row>
        <row r="76">
          <cell r="A76" t="str">
            <v>6227088711</v>
          </cell>
          <cell r="B76">
            <v>62270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 t="str">
            <v xml:space="preserve"> </v>
          </cell>
          <cell r="I76">
            <v>0</v>
          </cell>
          <cell r="J76">
            <v>0</v>
          </cell>
        </row>
        <row r="77">
          <cell r="A77" t="str">
            <v>6227088785</v>
          </cell>
          <cell r="B77">
            <v>62270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 t="str">
            <v xml:space="preserve"> </v>
          </cell>
          <cell r="I77">
            <v>0</v>
          </cell>
          <cell r="J77">
            <v>0</v>
          </cell>
        </row>
        <row r="78">
          <cell r="A78" t="str">
            <v>6227088847</v>
          </cell>
          <cell r="B78">
            <v>62270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 t="str">
            <v xml:space="preserve"> </v>
          </cell>
          <cell r="I78">
            <v>0</v>
          </cell>
          <cell r="J78">
            <v>0</v>
          </cell>
        </row>
        <row r="79">
          <cell r="A79" t="str">
            <v>6227088866</v>
          </cell>
          <cell r="B79">
            <v>62270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 t="str">
            <v xml:space="preserve"> </v>
          </cell>
          <cell r="I79">
            <v>0</v>
          </cell>
          <cell r="J79">
            <v>0</v>
          </cell>
        </row>
        <row r="80">
          <cell r="A80" t="str">
            <v>6227088870</v>
          </cell>
          <cell r="B80">
            <v>62270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 t="str">
            <v xml:space="preserve"> </v>
          </cell>
          <cell r="I80">
            <v>0</v>
          </cell>
          <cell r="J80">
            <v>0</v>
          </cell>
        </row>
        <row r="81">
          <cell r="A81" t="str">
            <v>6227088889</v>
          </cell>
          <cell r="B81">
            <v>62270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 t="str">
            <v xml:space="preserve"> </v>
          </cell>
          <cell r="I81">
            <v>0</v>
          </cell>
          <cell r="J81">
            <v>0</v>
          </cell>
        </row>
        <row r="82">
          <cell r="A82" t="str">
            <v>6227089776</v>
          </cell>
          <cell r="B82">
            <v>62270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 t="str">
            <v xml:space="preserve"> </v>
          </cell>
          <cell r="I82">
            <v>0</v>
          </cell>
          <cell r="J82">
            <v>0</v>
          </cell>
        </row>
        <row r="83">
          <cell r="A83" t="str">
            <v>6227089787</v>
          </cell>
          <cell r="B83">
            <v>62270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 t="str">
            <v xml:space="preserve"> </v>
          </cell>
          <cell r="I83">
            <v>0</v>
          </cell>
          <cell r="J83">
            <v>0</v>
          </cell>
        </row>
        <row r="84">
          <cell r="A84" t="str">
            <v>6227089510</v>
          </cell>
          <cell r="B84">
            <v>62270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293543</v>
          </cell>
          <cell r="G84">
            <v>-293543</v>
          </cell>
          <cell r="H84" t="str">
            <v xml:space="preserve"> </v>
          </cell>
          <cell r="I84">
            <v>1146735</v>
          </cell>
          <cell r="J84">
            <v>1146735</v>
          </cell>
        </row>
        <row r="85">
          <cell r="A85" t="str">
            <v>6227089511</v>
          </cell>
          <cell r="B85">
            <v>62270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 t="str">
            <v xml:space="preserve"> </v>
          </cell>
          <cell r="I85">
            <v>0</v>
          </cell>
          <cell r="J85">
            <v>0</v>
          </cell>
        </row>
        <row r="86">
          <cell r="A86" t="str">
            <v>6227089512</v>
          </cell>
          <cell r="B86">
            <v>62270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 t="str">
            <v xml:space="preserve"> </v>
          </cell>
          <cell r="I86">
            <v>0</v>
          </cell>
          <cell r="J86">
            <v>0</v>
          </cell>
        </row>
        <row r="87">
          <cell r="A87" t="str">
            <v>6227089528</v>
          </cell>
          <cell r="B87">
            <v>62270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 t="str">
            <v xml:space="preserve"> </v>
          </cell>
          <cell r="I87">
            <v>0</v>
          </cell>
          <cell r="J87">
            <v>0</v>
          </cell>
        </row>
        <row r="88">
          <cell r="A88" t="str">
            <v>6227089529</v>
          </cell>
          <cell r="B88">
            <v>62270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6690</v>
          </cell>
          <cell r="G88">
            <v>-6690</v>
          </cell>
          <cell r="H88" t="str">
            <v xml:space="preserve"> </v>
          </cell>
          <cell r="I88">
            <v>26760</v>
          </cell>
          <cell r="J88">
            <v>26760</v>
          </cell>
        </row>
        <row r="89">
          <cell r="A89" t="str">
            <v>6227089567</v>
          </cell>
          <cell r="B89">
            <v>62270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 t="str">
            <v xml:space="preserve"> </v>
          </cell>
          <cell r="I89">
            <v>0</v>
          </cell>
          <cell r="J89">
            <v>0</v>
          </cell>
        </row>
        <row r="90">
          <cell r="A90" t="str">
            <v>6227085058</v>
          </cell>
          <cell r="B90">
            <v>62270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 t="str">
            <v xml:space="preserve"> </v>
          </cell>
          <cell r="I90">
            <v>0</v>
          </cell>
          <cell r="J90">
            <v>0</v>
          </cell>
        </row>
        <row r="91">
          <cell r="A91" t="str">
            <v>6227086513</v>
          </cell>
          <cell r="B91">
            <v>62270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226.79</v>
          </cell>
          <cell r="G91">
            <v>-226.79</v>
          </cell>
          <cell r="H91" t="str">
            <v xml:space="preserve"> </v>
          </cell>
          <cell r="I91">
            <v>674.36</v>
          </cell>
          <cell r="J91">
            <v>674.36</v>
          </cell>
        </row>
        <row r="92">
          <cell r="A92" t="str">
            <v>6227086519</v>
          </cell>
          <cell r="B92">
            <v>62270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 t="str">
            <v xml:space="preserve"> </v>
          </cell>
          <cell r="I92">
            <v>0</v>
          </cell>
          <cell r="J92">
            <v>0</v>
          </cell>
        </row>
        <row r="93">
          <cell r="A93" t="str">
            <v>6227088770</v>
          </cell>
          <cell r="B93">
            <v>62270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 t="str">
            <v xml:space="preserve"> </v>
          </cell>
          <cell r="I93">
            <v>0</v>
          </cell>
          <cell r="J93">
            <v>0</v>
          </cell>
        </row>
        <row r="94">
          <cell r="A94" t="str">
            <v>6227088862</v>
          </cell>
          <cell r="B94">
            <v>62270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 t="str">
            <v xml:space="preserve"> </v>
          </cell>
          <cell r="I94">
            <v>0</v>
          </cell>
          <cell r="J94">
            <v>0</v>
          </cell>
        </row>
        <row r="95">
          <cell r="A95" t="str">
            <v>6227088874</v>
          </cell>
          <cell r="B95">
            <v>62270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 t="str">
            <v xml:space="preserve"> </v>
          </cell>
          <cell r="I95">
            <v>0</v>
          </cell>
          <cell r="J95">
            <v>0</v>
          </cell>
        </row>
        <row r="96">
          <cell r="A96" t="str">
            <v>6227089910</v>
          </cell>
          <cell r="B96">
            <v>62270</v>
          </cell>
          <cell r="C96">
            <v>89910</v>
          </cell>
          <cell r="D96" t="str">
            <v>Depreciation</v>
          </cell>
          <cell r="E96">
            <v>0</v>
          </cell>
          <cell r="F96">
            <v>149963.53</v>
          </cell>
          <cell r="G96">
            <v>-149963.53</v>
          </cell>
          <cell r="H96" t="str">
            <v xml:space="preserve"> </v>
          </cell>
          <cell r="I96">
            <v>595854.16</v>
          </cell>
          <cell r="J96">
            <v>595854.16</v>
          </cell>
        </row>
        <row r="97">
          <cell r="A97" t="str">
            <v>6227089548</v>
          </cell>
          <cell r="B97">
            <v>62270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 t="str">
            <v xml:space="preserve"> </v>
          </cell>
          <cell r="I97">
            <v>0</v>
          </cell>
          <cell r="J97">
            <v>0</v>
          </cell>
        </row>
        <row r="98">
          <cell r="A98" t="str">
            <v/>
          </cell>
          <cell r="B98">
            <v>62245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/>
          </cell>
          <cell r="B99">
            <v>62245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/>
          </cell>
          <cell r="B100">
            <v>62245</v>
          </cell>
          <cell r="C100">
            <v>41050</v>
          </cell>
          <cell r="D100" t="str">
            <v>Rental Income - Fixed</v>
          </cell>
          <cell r="E100">
            <v>-636948.39</v>
          </cell>
          <cell r="F100">
            <v>-636948.01</v>
          </cell>
          <cell r="G100">
            <v>-0.380000000004657</v>
          </cell>
          <cell r="H100">
            <v>-7764769.8399999999</v>
          </cell>
          <cell r="I100">
            <v>-7764769.8399999999</v>
          </cell>
          <cell r="J100">
            <v>0</v>
          </cell>
        </row>
        <row r="101">
          <cell r="A101" t="str">
            <v/>
          </cell>
          <cell r="B101">
            <v>62245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-19958.330000000002</v>
          </cell>
          <cell r="G101">
            <v>19958.330000000002</v>
          </cell>
          <cell r="H101">
            <v>-239500</v>
          </cell>
          <cell r="I101">
            <v>-239500</v>
          </cell>
          <cell r="J101">
            <v>0</v>
          </cell>
        </row>
        <row r="102">
          <cell r="A102" t="str">
            <v/>
          </cell>
          <cell r="B102">
            <v>62245</v>
          </cell>
          <cell r="C102">
            <v>41082</v>
          </cell>
          <cell r="D102" t="str">
            <v>Rental Income - Operating Exp</v>
          </cell>
          <cell r="E102">
            <v>-116182.08</v>
          </cell>
          <cell r="F102">
            <v>-172079.29</v>
          </cell>
          <cell r="G102">
            <v>55897.21</v>
          </cell>
          <cell r="H102">
            <v>-1573662.97</v>
          </cell>
          <cell r="I102">
            <v>-1573662.97</v>
          </cell>
          <cell r="J102">
            <v>0</v>
          </cell>
        </row>
        <row r="103">
          <cell r="A103" t="str">
            <v/>
          </cell>
          <cell r="B103">
            <v>62245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/>
          </cell>
          <cell r="B104">
            <v>62245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/>
          </cell>
          <cell r="B105">
            <v>62245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/>
          </cell>
          <cell r="B106">
            <v>62245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/>
          </cell>
          <cell r="B107">
            <v>62245</v>
          </cell>
          <cell r="C107">
            <v>45070</v>
          </cell>
          <cell r="D107" t="str">
            <v>Other Income</v>
          </cell>
          <cell r="E107">
            <v>-0.66</v>
          </cell>
          <cell r="F107">
            <v>-100</v>
          </cell>
          <cell r="G107">
            <v>99.34</v>
          </cell>
          <cell r="H107">
            <v>-1200</v>
          </cell>
          <cell r="I107">
            <v>-1200</v>
          </cell>
          <cell r="J107">
            <v>0</v>
          </cell>
        </row>
        <row r="108">
          <cell r="A108" t="str">
            <v/>
          </cell>
          <cell r="B108">
            <v>62245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6470.58</v>
          </cell>
          <cell r="G108">
            <v>-6470.58</v>
          </cell>
          <cell r="H108">
            <v>77647</v>
          </cell>
          <cell r="I108">
            <v>77647</v>
          </cell>
          <cell r="J108">
            <v>0</v>
          </cell>
        </row>
        <row r="109">
          <cell r="A109" t="str">
            <v/>
          </cell>
          <cell r="B109">
            <v>62245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/>
          </cell>
          <cell r="B110">
            <v>62245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/>
          </cell>
          <cell r="B111">
            <v>62245</v>
          </cell>
          <cell r="C111">
            <v>72710</v>
          </cell>
          <cell r="D111" t="str">
            <v>Utilities - Electricity</v>
          </cell>
          <cell r="E111">
            <v>7821.81</v>
          </cell>
          <cell r="F111">
            <v>6053.19</v>
          </cell>
          <cell r="G111">
            <v>1768.62</v>
          </cell>
          <cell r="H111">
            <v>106381.11</v>
          </cell>
          <cell r="I111">
            <v>106381.11</v>
          </cell>
          <cell r="J111">
            <v>0</v>
          </cell>
        </row>
        <row r="112">
          <cell r="A112" t="str">
            <v/>
          </cell>
          <cell r="B112">
            <v>62245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/>
          </cell>
          <cell r="B113">
            <v>62245</v>
          </cell>
          <cell r="C113">
            <v>72770</v>
          </cell>
          <cell r="D113" t="str">
            <v>Utilities - Water</v>
          </cell>
          <cell r="E113">
            <v>2316.42</v>
          </cell>
          <cell r="F113">
            <v>2381.25</v>
          </cell>
          <cell r="G113">
            <v>-64.829999999999899</v>
          </cell>
          <cell r="H113">
            <v>28575</v>
          </cell>
          <cell r="I113">
            <v>28575</v>
          </cell>
          <cell r="J113">
            <v>0</v>
          </cell>
        </row>
        <row r="114">
          <cell r="A114" t="str">
            <v/>
          </cell>
          <cell r="B114">
            <v>62245</v>
          </cell>
          <cell r="C114">
            <v>76000</v>
          </cell>
          <cell r="D114" t="str">
            <v>Bldg Maintenance &amp; Repair</v>
          </cell>
          <cell r="E114">
            <v>1600.67</v>
          </cell>
          <cell r="F114">
            <v>1792.91</v>
          </cell>
          <cell r="G114">
            <v>-192.24</v>
          </cell>
          <cell r="H114">
            <v>26575</v>
          </cell>
          <cell r="I114">
            <v>26575</v>
          </cell>
          <cell r="J114">
            <v>0</v>
          </cell>
        </row>
        <row r="115">
          <cell r="A115" t="str">
            <v/>
          </cell>
          <cell r="B115">
            <v>62245</v>
          </cell>
          <cell r="C115">
            <v>76020</v>
          </cell>
          <cell r="D115" t="str">
            <v>Food Court Expense</v>
          </cell>
          <cell r="E115">
            <v>1003.7</v>
          </cell>
          <cell r="F115">
            <v>1004</v>
          </cell>
          <cell r="G115">
            <v>-0.29999999999995502</v>
          </cell>
          <cell r="H115">
            <v>12048</v>
          </cell>
          <cell r="I115">
            <v>12048</v>
          </cell>
          <cell r="J115">
            <v>0</v>
          </cell>
        </row>
        <row r="116">
          <cell r="A116" t="str">
            <v/>
          </cell>
          <cell r="B116">
            <v>62245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/>
          </cell>
          <cell r="B117">
            <v>62245</v>
          </cell>
          <cell r="C117">
            <v>76050</v>
          </cell>
          <cell r="D117" t="str">
            <v>Cleaning Expense</v>
          </cell>
          <cell r="E117">
            <v>9234.7800000000007</v>
          </cell>
          <cell r="F117">
            <v>9377.58</v>
          </cell>
          <cell r="G117">
            <v>-142.79999999999899</v>
          </cell>
          <cell r="H117">
            <v>112531</v>
          </cell>
          <cell r="I117">
            <v>112531</v>
          </cell>
          <cell r="J117">
            <v>0</v>
          </cell>
        </row>
        <row r="118">
          <cell r="A118" t="str">
            <v/>
          </cell>
          <cell r="B118">
            <v>62245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/>
          </cell>
          <cell r="B119">
            <v>62245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/>
          </cell>
          <cell r="B120">
            <v>62245</v>
          </cell>
          <cell r="C120">
            <v>76091</v>
          </cell>
          <cell r="D120" t="str">
            <v>Parking Maintenance</v>
          </cell>
          <cell r="E120">
            <v>3295</v>
          </cell>
          <cell r="F120">
            <v>3350</v>
          </cell>
          <cell r="G120">
            <v>-55</v>
          </cell>
          <cell r="H120">
            <v>42600</v>
          </cell>
          <cell r="I120">
            <v>42600</v>
          </cell>
          <cell r="J120">
            <v>0</v>
          </cell>
        </row>
        <row r="121">
          <cell r="A121" t="str">
            <v/>
          </cell>
          <cell r="B121">
            <v>62245</v>
          </cell>
          <cell r="C121">
            <v>77000</v>
          </cell>
          <cell r="D121" t="str">
            <v>Grounds Maintenance</v>
          </cell>
          <cell r="E121">
            <v>2894.21</v>
          </cell>
          <cell r="F121">
            <v>5876.74</v>
          </cell>
          <cell r="G121">
            <v>-2982.53</v>
          </cell>
          <cell r="H121">
            <v>89690.08</v>
          </cell>
          <cell r="I121">
            <v>89690.08</v>
          </cell>
          <cell r="J121">
            <v>0</v>
          </cell>
        </row>
        <row r="122">
          <cell r="A122" t="str">
            <v/>
          </cell>
          <cell r="B122">
            <v>62245</v>
          </cell>
          <cell r="C122">
            <v>77053</v>
          </cell>
          <cell r="D122" t="str">
            <v>Landscaping</v>
          </cell>
          <cell r="E122">
            <v>5500</v>
          </cell>
          <cell r="F122">
            <v>7260</v>
          </cell>
          <cell r="G122">
            <v>-1760</v>
          </cell>
          <cell r="H122">
            <v>123240</v>
          </cell>
          <cell r="I122">
            <v>123240</v>
          </cell>
          <cell r="J122">
            <v>0</v>
          </cell>
        </row>
        <row r="123">
          <cell r="A123" t="str">
            <v/>
          </cell>
          <cell r="B123">
            <v>62245</v>
          </cell>
          <cell r="C123">
            <v>78020</v>
          </cell>
          <cell r="D123" t="str">
            <v>Amortized CAM Exp</v>
          </cell>
          <cell r="E123">
            <v>4167</v>
          </cell>
          <cell r="F123">
            <v>4166.67</v>
          </cell>
          <cell r="G123">
            <v>0.32999999999992702</v>
          </cell>
          <cell r="H123">
            <v>50000</v>
          </cell>
          <cell r="I123">
            <v>50000</v>
          </cell>
          <cell r="J123">
            <v>0</v>
          </cell>
        </row>
        <row r="124">
          <cell r="A124" t="str">
            <v/>
          </cell>
          <cell r="B124">
            <v>62245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/>
          </cell>
          <cell r="B125">
            <v>62245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/>
          </cell>
          <cell r="B126">
            <v>62245</v>
          </cell>
          <cell r="C126">
            <v>85584</v>
          </cell>
          <cell r="D126" t="str">
            <v>Bldg Admin-Office Costs</v>
          </cell>
          <cell r="E126">
            <v>4946.45</v>
          </cell>
          <cell r="F126">
            <v>4867.76</v>
          </cell>
          <cell r="G126">
            <v>78.6899999999996</v>
          </cell>
          <cell r="H126">
            <v>66613</v>
          </cell>
          <cell r="I126">
            <v>66613</v>
          </cell>
          <cell r="J126">
            <v>0</v>
          </cell>
        </row>
        <row r="127">
          <cell r="A127" t="str">
            <v/>
          </cell>
          <cell r="B127">
            <v>62245</v>
          </cell>
          <cell r="C127">
            <v>85582</v>
          </cell>
          <cell r="D127" t="str">
            <v>Bldg Admin-Salaries</v>
          </cell>
          <cell r="E127">
            <v>4191.46</v>
          </cell>
          <cell r="F127">
            <v>4190.34</v>
          </cell>
          <cell r="G127">
            <v>1.11999999999989</v>
          </cell>
          <cell r="H127">
            <v>57384</v>
          </cell>
          <cell r="I127">
            <v>57384</v>
          </cell>
          <cell r="J127">
            <v>0</v>
          </cell>
        </row>
        <row r="128">
          <cell r="A128" t="str">
            <v/>
          </cell>
          <cell r="B128">
            <v>62245</v>
          </cell>
          <cell r="C128">
            <v>86564</v>
          </cell>
          <cell r="D128" t="str">
            <v>Insurance</v>
          </cell>
          <cell r="E128">
            <v>11253</v>
          </cell>
          <cell r="F128">
            <v>11253</v>
          </cell>
          <cell r="G128">
            <v>0</v>
          </cell>
          <cell r="H128">
            <v>135036</v>
          </cell>
          <cell r="I128">
            <v>135036</v>
          </cell>
          <cell r="J128">
            <v>0</v>
          </cell>
        </row>
        <row r="129">
          <cell r="A129" t="str">
            <v/>
          </cell>
          <cell r="B129">
            <v>62245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/>
          </cell>
          <cell r="B130">
            <v>62245</v>
          </cell>
          <cell r="C130">
            <v>88890</v>
          </cell>
          <cell r="D130" t="str">
            <v>Security/Safety</v>
          </cell>
          <cell r="E130">
            <v>10032.32</v>
          </cell>
          <cell r="F130">
            <v>11500</v>
          </cell>
          <cell r="G130">
            <v>-1467.68</v>
          </cell>
          <cell r="H130">
            <v>138000</v>
          </cell>
          <cell r="I130">
            <v>138000</v>
          </cell>
          <cell r="J130">
            <v>0</v>
          </cell>
        </row>
        <row r="131">
          <cell r="A131" t="str">
            <v/>
          </cell>
          <cell r="B131">
            <v>62245</v>
          </cell>
          <cell r="C131">
            <v>89775</v>
          </cell>
          <cell r="D131" t="str">
            <v>Assmt Dist Taxes- Reimb</v>
          </cell>
          <cell r="E131">
            <v>11703</v>
          </cell>
          <cell r="F131">
            <v>11703.42</v>
          </cell>
          <cell r="G131">
            <v>-0.42000000000007298</v>
          </cell>
          <cell r="H131">
            <v>140441</v>
          </cell>
          <cell r="I131">
            <v>140441</v>
          </cell>
          <cell r="J131">
            <v>0</v>
          </cell>
        </row>
        <row r="132">
          <cell r="A132" t="str">
            <v/>
          </cell>
          <cell r="B132">
            <v>62245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/>
          </cell>
          <cell r="B133">
            <v>62245</v>
          </cell>
          <cell r="C133">
            <v>89786</v>
          </cell>
          <cell r="D133" t="str">
            <v>Property Tax Exp</v>
          </cell>
          <cell r="E133">
            <v>32079</v>
          </cell>
          <cell r="F133">
            <v>32078.92</v>
          </cell>
          <cell r="G133">
            <v>8.0000000001746202E-2</v>
          </cell>
          <cell r="H133">
            <v>384947</v>
          </cell>
          <cell r="I133">
            <v>384947</v>
          </cell>
          <cell r="J133">
            <v>0</v>
          </cell>
        </row>
        <row r="134">
          <cell r="A134" t="str">
            <v/>
          </cell>
          <cell r="B134">
            <v>62245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/>
          </cell>
          <cell r="B135">
            <v>62245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/>
          </cell>
          <cell r="B136">
            <v>62245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/>
          </cell>
          <cell r="B137">
            <v>62245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/>
          </cell>
          <cell r="B138">
            <v>62245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/>
          </cell>
          <cell r="B139">
            <v>62245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/>
          </cell>
          <cell r="B140">
            <v>62245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/>
          </cell>
          <cell r="B141">
            <v>62245</v>
          </cell>
          <cell r="C141">
            <v>76054</v>
          </cell>
          <cell r="D141" t="str">
            <v>Bldg Maintenance &amp; Repair</v>
          </cell>
          <cell r="E141">
            <v>6.15</v>
          </cell>
          <cell r="F141">
            <v>140.33000000000001</v>
          </cell>
          <cell r="G141">
            <v>-134.18</v>
          </cell>
          <cell r="H141">
            <v>1684</v>
          </cell>
          <cell r="I141">
            <v>1684</v>
          </cell>
          <cell r="J141">
            <v>0</v>
          </cell>
        </row>
        <row r="142">
          <cell r="A142" t="str">
            <v/>
          </cell>
          <cell r="B142">
            <v>62245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/>
          </cell>
          <cell r="B143">
            <v>62245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/>
          </cell>
          <cell r="B144">
            <v>62245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/>
          </cell>
          <cell r="B145">
            <v>62245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/>
          </cell>
          <cell r="B146">
            <v>62245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/>
          </cell>
          <cell r="B147">
            <v>62245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/>
          </cell>
          <cell r="B148">
            <v>62245</v>
          </cell>
          <cell r="C148">
            <v>84240</v>
          </cell>
          <cell r="D148" t="str">
            <v>Marketing Leasing</v>
          </cell>
          <cell r="E148">
            <v>23.9</v>
          </cell>
          <cell r="F148">
            <v>0</v>
          </cell>
          <cell r="G148">
            <v>23.9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/>
          </cell>
          <cell r="B149">
            <v>62245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/>
          </cell>
          <cell r="B150">
            <v>62245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/>
          </cell>
          <cell r="B151">
            <v>62245</v>
          </cell>
          <cell r="C151">
            <v>84244</v>
          </cell>
          <cell r="D151" t="str">
            <v>Marketing-Net Required</v>
          </cell>
          <cell r="E151">
            <v>1901</v>
          </cell>
          <cell r="F151">
            <v>1901.33</v>
          </cell>
          <cell r="G151">
            <v>-0.32999999999992702</v>
          </cell>
          <cell r="H151">
            <v>22816</v>
          </cell>
          <cell r="I151">
            <v>22816</v>
          </cell>
          <cell r="J151">
            <v>0</v>
          </cell>
        </row>
        <row r="152">
          <cell r="A152" t="str">
            <v/>
          </cell>
          <cell r="B152">
            <v>62245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/>
          </cell>
          <cell r="B153">
            <v>62245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/>
          </cell>
          <cell r="B154">
            <v>62245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200</v>
          </cell>
          <cell r="G154">
            <v>-200</v>
          </cell>
          <cell r="H154">
            <v>2400</v>
          </cell>
          <cell r="I154">
            <v>2400</v>
          </cell>
          <cell r="J154">
            <v>0</v>
          </cell>
        </row>
        <row r="155">
          <cell r="A155" t="str">
            <v/>
          </cell>
          <cell r="B155">
            <v>62245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-0.08</v>
          </cell>
          <cell r="H155">
            <v>4121</v>
          </cell>
          <cell r="I155">
            <v>4121</v>
          </cell>
          <cell r="J155">
            <v>0</v>
          </cell>
        </row>
        <row r="156">
          <cell r="A156" t="str">
            <v/>
          </cell>
          <cell r="B156">
            <v>62245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/>
          </cell>
          <cell r="B157">
            <v>62245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/>
          </cell>
          <cell r="B158">
            <v>62245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/>
          </cell>
          <cell r="B159">
            <v>62245</v>
          </cell>
          <cell r="C159">
            <v>85581</v>
          </cell>
          <cell r="D159" t="str">
            <v>Bldg Admin- Salaries</v>
          </cell>
          <cell r="E159">
            <v>5649</v>
          </cell>
          <cell r="F159">
            <v>5649</v>
          </cell>
          <cell r="G159">
            <v>0</v>
          </cell>
          <cell r="H159">
            <v>67700</v>
          </cell>
          <cell r="I159">
            <v>67700</v>
          </cell>
          <cell r="J159">
            <v>0</v>
          </cell>
        </row>
        <row r="160">
          <cell r="A160" t="str">
            <v/>
          </cell>
          <cell r="B160">
            <v>62245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133.33000000000001</v>
          </cell>
          <cell r="G160">
            <v>-133.33000000000001</v>
          </cell>
          <cell r="H160">
            <v>3100</v>
          </cell>
          <cell r="I160">
            <v>3100</v>
          </cell>
          <cell r="J160">
            <v>0</v>
          </cell>
        </row>
        <row r="161">
          <cell r="A161" t="str">
            <v/>
          </cell>
          <cell r="B161">
            <v>62245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133.33000000000001</v>
          </cell>
          <cell r="G161">
            <v>-133.33000000000001</v>
          </cell>
          <cell r="H161">
            <v>3100</v>
          </cell>
          <cell r="I161">
            <v>3100</v>
          </cell>
          <cell r="J161">
            <v>0</v>
          </cell>
        </row>
        <row r="162">
          <cell r="A162" t="str">
            <v/>
          </cell>
          <cell r="B162">
            <v>62245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/>
          </cell>
          <cell r="B163">
            <v>62245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/>
          </cell>
          <cell r="B164">
            <v>62245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/>
          </cell>
          <cell r="B165">
            <v>62245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/>
          </cell>
          <cell r="B166">
            <v>62245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/>
          </cell>
          <cell r="B167">
            <v>62245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/>
          </cell>
          <cell r="B168">
            <v>62245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/>
          </cell>
          <cell r="B169">
            <v>62245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/>
          </cell>
          <cell r="B170">
            <v>62245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/>
          </cell>
          <cell r="B171">
            <v>62245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95015</v>
          </cell>
          <cell r="I171">
            <v>95015</v>
          </cell>
          <cell r="J171">
            <v>0</v>
          </cell>
        </row>
        <row r="172">
          <cell r="A172" t="str">
            <v/>
          </cell>
          <cell r="B172">
            <v>62245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/>
          </cell>
          <cell r="B173">
            <v>62245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/>
          </cell>
          <cell r="B174">
            <v>62245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/>
          </cell>
          <cell r="B175">
            <v>62245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/>
          </cell>
          <cell r="B176">
            <v>62245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/>
          </cell>
          <cell r="B177">
            <v>62245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/>
          </cell>
          <cell r="B178">
            <v>62245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/>
          </cell>
          <cell r="B179">
            <v>62245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/>
          </cell>
          <cell r="B180">
            <v>62245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180149</v>
          </cell>
          <cell r="G180">
            <v>-180149</v>
          </cell>
          <cell r="H180">
            <v>2135395</v>
          </cell>
          <cell r="I180">
            <v>2135395</v>
          </cell>
          <cell r="J180">
            <v>0</v>
          </cell>
        </row>
        <row r="181">
          <cell r="A181" t="str">
            <v/>
          </cell>
          <cell r="B181">
            <v>62245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/>
          </cell>
          <cell r="B182">
            <v>62245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/>
          </cell>
          <cell r="B183">
            <v>62245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/>
          </cell>
          <cell r="B184">
            <v>62245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1054</v>
          </cell>
          <cell r="G184">
            <v>-1054</v>
          </cell>
          <cell r="H184">
            <v>12648</v>
          </cell>
          <cell r="I184">
            <v>12648</v>
          </cell>
          <cell r="J184">
            <v>0</v>
          </cell>
        </row>
        <row r="185">
          <cell r="A185" t="str">
            <v/>
          </cell>
          <cell r="B185">
            <v>62245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/>
          </cell>
          <cell r="B186">
            <v>62245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/>
          </cell>
          <cell r="B187">
            <v>62245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/>
          </cell>
          <cell r="B188">
            <v>62245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/>
          </cell>
          <cell r="B189">
            <v>62245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/>
          </cell>
          <cell r="B190">
            <v>62245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/>
          </cell>
          <cell r="B191">
            <v>62245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/>
          </cell>
          <cell r="B192">
            <v>62245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109434.92</v>
          </cell>
          <cell r="G192">
            <v>-109434.92</v>
          </cell>
          <cell r="H192">
            <v>1291369.56</v>
          </cell>
          <cell r="I192">
            <v>1291369.56</v>
          </cell>
          <cell r="J192">
            <v>0</v>
          </cell>
        </row>
        <row r="193">
          <cell r="A193" t="str">
            <v/>
          </cell>
          <cell r="B193">
            <v>62245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/>
          </cell>
          <cell r="B194">
            <v>62246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/>
          </cell>
          <cell r="B195">
            <v>62246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/>
          </cell>
          <cell r="B196">
            <v>62246</v>
          </cell>
          <cell r="C196">
            <v>41050</v>
          </cell>
          <cell r="D196" t="str">
            <v>Rental Income - Fixed</v>
          </cell>
          <cell r="E196">
            <v>-456131.49</v>
          </cell>
          <cell r="F196">
            <v>-469500.75</v>
          </cell>
          <cell r="G196">
            <v>13369.26</v>
          </cell>
          <cell r="H196">
            <v>-5669692.2999999998</v>
          </cell>
          <cell r="I196">
            <v>-5669692.2999999998</v>
          </cell>
          <cell r="J196">
            <v>0</v>
          </cell>
        </row>
        <row r="197">
          <cell r="A197" t="str">
            <v/>
          </cell>
          <cell r="B197">
            <v>62246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-14166.67</v>
          </cell>
          <cell r="G197">
            <v>14166.67</v>
          </cell>
          <cell r="H197">
            <v>-170000</v>
          </cell>
          <cell r="I197">
            <v>-170000</v>
          </cell>
          <cell r="J197">
            <v>0</v>
          </cell>
        </row>
        <row r="198">
          <cell r="A198" t="str">
            <v/>
          </cell>
          <cell r="B198">
            <v>62246</v>
          </cell>
          <cell r="C198">
            <v>41082</v>
          </cell>
          <cell r="D198" t="str">
            <v>Rental Income - Operating Exp</v>
          </cell>
          <cell r="E198">
            <v>-95011.01</v>
          </cell>
          <cell r="F198">
            <v>-131652.68</v>
          </cell>
          <cell r="G198">
            <v>36641.67</v>
          </cell>
          <cell r="H198">
            <v>-1443760.81</v>
          </cell>
          <cell r="I198">
            <v>-1443760.81</v>
          </cell>
          <cell r="J198">
            <v>0</v>
          </cell>
        </row>
        <row r="199">
          <cell r="A199" t="str">
            <v/>
          </cell>
          <cell r="B199">
            <v>62246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/>
          </cell>
          <cell r="B200">
            <v>62246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/>
          </cell>
          <cell r="B201">
            <v>62246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/>
          </cell>
          <cell r="B202">
            <v>62246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/>
          </cell>
          <cell r="B203">
            <v>62246</v>
          </cell>
          <cell r="C203">
            <v>45070</v>
          </cell>
          <cell r="D203" t="str">
            <v>Other Income</v>
          </cell>
          <cell r="E203">
            <v>0</v>
          </cell>
          <cell r="F203">
            <v>-41.67</v>
          </cell>
          <cell r="G203">
            <v>41.67</v>
          </cell>
          <cell r="H203">
            <v>-500</v>
          </cell>
          <cell r="I203">
            <v>-500</v>
          </cell>
          <cell r="J203">
            <v>0</v>
          </cell>
        </row>
        <row r="204">
          <cell r="A204" t="str">
            <v/>
          </cell>
          <cell r="B204">
            <v>62246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4636.92</v>
          </cell>
          <cell r="G204">
            <v>-4636.92</v>
          </cell>
          <cell r="H204">
            <v>55643</v>
          </cell>
          <cell r="I204">
            <v>55643</v>
          </cell>
          <cell r="J204">
            <v>0</v>
          </cell>
        </row>
        <row r="205">
          <cell r="A205" t="str">
            <v/>
          </cell>
          <cell r="B205">
            <v>62246</v>
          </cell>
          <cell r="C205">
            <v>44870</v>
          </cell>
          <cell r="D205" t="str">
            <v>Late Fees</v>
          </cell>
          <cell r="E205">
            <v>0</v>
          </cell>
          <cell r="F205">
            <v>-100</v>
          </cell>
          <cell r="G205">
            <v>100</v>
          </cell>
          <cell r="H205">
            <v>-1200</v>
          </cell>
          <cell r="I205">
            <v>-1200</v>
          </cell>
          <cell r="J205">
            <v>0</v>
          </cell>
        </row>
        <row r="206">
          <cell r="A206" t="str">
            <v/>
          </cell>
          <cell r="B206">
            <v>62246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/>
          </cell>
          <cell r="B207">
            <v>62246</v>
          </cell>
          <cell r="C207">
            <v>72710</v>
          </cell>
          <cell r="D207" t="str">
            <v>Utilities - Electricity</v>
          </cell>
          <cell r="E207">
            <v>9369.2099999999991</v>
          </cell>
          <cell r="F207">
            <v>12656.58</v>
          </cell>
          <cell r="G207">
            <v>-3287.37</v>
          </cell>
          <cell r="H207">
            <v>151879</v>
          </cell>
          <cell r="I207">
            <v>151879</v>
          </cell>
          <cell r="J207">
            <v>0</v>
          </cell>
        </row>
        <row r="208">
          <cell r="A208" t="str">
            <v/>
          </cell>
          <cell r="B208">
            <v>62246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/>
          </cell>
          <cell r="B209">
            <v>62246</v>
          </cell>
          <cell r="C209">
            <v>72770</v>
          </cell>
          <cell r="D209" t="str">
            <v>Utilities - Water</v>
          </cell>
          <cell r="E209">
            <v>2105.11</v>
          </cell>
          <cell r="F209">
            <v>3319.29</v>
          </cell>
          <cell r="G209">
            <v>-1214.18</v>
          </cell>
          <cell r="H209">
            <v>44788.02</v>
          </cell>
          <cell r="I209">
            <v>44788.02</v>
          </cell>
          <cell r="J209">
            <v>0</v>
          </cell>
        </row>
        <row r="210">
          <cell r="A210" t="str">
            <v/>
          </cell>
          <cell r="B210">
            <v>62246</v>
          </cell>
          <cell r="C210">
            <v>76000</v>
          </cell>
          <cell r="D210" t="str">
            <v>Bldg Maintenance &amp; Repair</v>
          </cell>
          <cell r="E210">
            <v>945</v>
          </cell>
          <cell r="F210">
            <v>2375.0700000000002</v>
          </cell>
          <cell r="G210">
            <v>-1430.07</v>
          </cell>
          <cell r="H210">
            <v>33376.550000000003</v>
          </cell>
          <cell r="I210">
            <v>33376.550000000003</v>
          </cell>
          <cell r="J210">
            <v>0</v>
          </cell>
        </row>
        <row r="211">
          <cell r="A211" t="str">
            <v/>
          </cell>
          <cell r="B211">
            <v>62246</v>
          </cell>
          <cell r="C211">
            <v>76020</v>
          </cell>
          <cell r="D211" t="str">
            <v>Food Court Expense</v>
          </cell>
          <cell r="E211">
            <v>2341.8000000000002</v>
          </cell>
          <cell r="F211">
            <v>2341.83</v>
          </cell>
          <cell r="G211">
            <v>-2.99999999997453E-2</v>
          </cell>
          <cell r="H211">
            <v>28102</v>
          </cell>
          <cell r="I211">
            <v>28102</v>
          </cell>
          <cell r="J211">
            <v>0</v>
          </cell>
        </row>
        <row r="212">
          <cell r="A212" t="str">
            <v/>
          </cell>
          <cell r="B212">
            <v>62246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/>
          </cell>
          <cell r="B213">
            <v>62246</v>
          </cell>
          <cell r="C213">
            <v>76050</v>
          </cell>
          <cell r="D213" t="str">
            <v>Cleaning Expense</v>
          </cell>
          <cell r="E213">
            <v>13531.94</v>
          </cell>
          <cell r="F213">
            <v>13976.67</v>
          </cell>
          <cell r="G213">
            <v>-444.73</v>
          </cell>
          <cell r="H213">
            <v>167720</v>
          </cell>
          <cell r="I213">
            <v>167720</v>
          </cell>
          <cell r="J213">
            <v>0</v>
          </cell>
        </row>
        <row r="214">
          <cell r="A214" t="str">
            <v/>
          </cell>
          <cell r="B214">
            <v>62246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/>
          </cell>
          <cell r="B215">
            <v>62246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/>
          </cell>
          <cell r="B216">
            <v>62246</v>
          </cell>
          <cell r="C216">
            <v>76091</v>
          </cell>
          <cell r="D216" t="str">
            <v>Parking Maintenance</v>
          </cell>
          <cell r="E216">
            <v>4224</v>
          </cell>
          <cell r="F216">
            <v>3430.83</v>
          </cell>
          <cell r="G216">
            <v>793.17</v>
          </cell>
          <cell r="H216">
            <v>43170</v>
          </cell>
          <cell r="I216">
            <v>43170</v>
          </cell>
          <cell r="J216">
            <v>0</v>
          </cell>
        </row>
        <row r="217">
          <cell r="A217" t="str">
            <v/>
          </cell>
          <cell r="B217">
            <v>62246</v>
          </cell>
          <cell r="C217">
            <v>77000</v>
          </cell>
          <cell r="D217" t="str">
            <v>Grounds Maintenance</v>
          </cell>
          <cell r="E217">
            <v>3333.06</v>
          </cell>
          <cell r="F217">
            <v>5697.26</v>
          </cell>
          <cell r="G217">
            <v>-2364.1999999999998</v>
          </cell>
          <cell r="H217">
            <v>111103</v>
          </cell>
          <cell r="I217">
            <v>111103</v>
          </cell>
          <cell r="J217">
            <v>0</v>
          </cell>
        </row>
        <row r="218">
          <cell r="A218" t="str">
            <v/>
          </cell>
          <cell r="B218">
            <v>62246</v>
          </cell>
          <cell r="C218">
            <v>77053</v>
          </cell>
          <cell r="D218" t="str">
            <v>Landscaping</v>
          </cell>
          <cell r="E218">
            <v>5826</v>
          </cell>
          <cell r="F218">
            <v>7862.75</v>
          </cell>
          <cell r="G218">
            <v>-2036.75</v>
          </cell>
          <cell r="H218">
            <v>133633</v>
          </cell>
          <cell r="I218">
            <v>133633</v>
          </cell>
          <cell r="J218">
            <v>0</v>
          </cell>
        </row>
        <row r="219">
          <cell r="A219" t="str">
            <v/>
          </cell>
          <cell r="B219">
            <v>62246</v>
          </cell>
          <cell r="C219">
            <v>78020</v>
          </cell>
          <cell r="D219" t="str">
            <v>Amortized CAM Exp</v>
          </cell>
          <cell r="E219">
            <v>0</v>
          </cell>
          <cell r="F219">
            <v>0</v>
          </cell>
          <cell r="G219">
            <v>0</v>
          </cell>
          <cell r="H219">
            <v>30000</v>
          </cell>
          <cell r="I219">
            <v>30000</v>
          </cell>
          <cell r="J219">
            <v>0</v>
          </cell>
        </row>
        <row r="220">
          <cell r="A220" t="str">
            <v/>
          </cell>
          <cell r="B220">
            <v>62246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/>
          </cell>
          <cell r="B221">
            <v>62246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/>
          </cell>
          <cell r="B222">
            <v>62246</v>
          </cell>
          <cell r="C222">
            <v>85584</v>
          </cell>
          <cell r="D222" t="str">
            <v>Bldg Admin-Office Costs</v>
          </cell>
          <cell r="E222">
            <v>4946.5</v>
          </cell>
          <cell r="F222">
            <v>4903.66</v>
          </cell>
          <cell r="G222">
            <v>42.840000000000103</v>
          </cell>
          <cell r="H222">
            <v>66344</v>
          </cell>
          <cell r="I222">
            <v>66344</v>
          </cell>
          <cell r="J222">
            <v>0</v>
          </cell>
        </row>
        <row r="223">
          <cell r="A223" t="str">
            <v/>
          </cell>
          <cell r="B223">
            <v>62246</v>
          </cell>
          <cell r="C223">
            <v>85582</v>
          </cell>
          <cell r="D223" t="str">
            <v>Bldg Admin-Salaries</v>
          </cell>
          <cell r="E223">
            <v>4186.46</v>
          </cell>
          <cell r="F223">
            <v>4185.51</v>
          </cell>
          <cell r="G223">
            <v>0.94999999999981799</v>
          </cell>
          <cell r="H223">
            <v>57326</v>
          </cell>
          <cell r="I223">
            <v>57326</v>
          </cell>
          <cell r="J223">
            <v>0</v>
          </cell>
        </row>
        <row r="224">
          <cell r="A224" t="str">
            <v/>
          </cell>
          <cell r="B224">
            <v>62246</v>
          </cell>
          <cell r="C224">
            <v>86564</v>
          </cell>
          <cell r="D224" t="str">
            <v>Insurance</v>
          </cell>
          <cell r="E224">
            <v>6883</v>
          </cell>
          <cell r="F224">
            <v>6883.58</v>
          </cell>
          <cell r="G224">
            <v>-0.57999999999992702</v>
          </cell>
          <cell r="H224">
            <v>82603</v>
          </cell>
          <cell r="I224">
            <v>82603</v>
          </cell>
          <cell r="J224">
            <v>0</v>
          </cell>
        </row>
        <row r="225">
          <cell r="A225" t="str">
            <v/>
          </cell>
          <cell r="B225">
            <v>62246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/>
          </cell>
          <cell r="B226">
            <v>62246</v>
          </cell>
          <cell r="C226">
            <v>88890</v>
          </cell>
          <cell r="D226" t="str">
            <v>Security/Safety</v>
          </cell>
          <cell r="E226">
            <v>10032.32</v>
          </cell>
          <cell r="F226">
            <v>11500</v>
          </cell>
          <cell r="G226">
            <v>-1467.68</v>
          </cell>
          <cell r="H226">
            <v>138000</v>
          </cell>
          <cell r="I226">
            <v>138000</v>
          </cell>
          <cell r="J226">
            <v>0</v>
          </cell>
        </row>
        <row r="227">
          <cell r="A227" t="str">
            <v/>
          </cell>
          <cell r="B227">
            <v>62246</v>
          </cell>
          <cell r="C227">
            <v>89775</v>
          </cell>
          <cell r="D227" t="str">
            <v>Assmt Dist Taxes- Reimb</v>
          </cell>
          <cell r="E227">
            <v>8166</v>
          </cell>
          <cell r="F227">
            <v>8165.58</v>
          </cell>
          <cell r="G227">
            <v>0.42000000000007298</v>
          </cell>
          <cell r="H227">
            <v>97987</v>
          </cell>
          <cell r="I227">
            <v>97987</v>
          </cell>
          <cell r="J227">
            <v>0</v>
          </cell>
        </row>
        <row r="228">
          <cell r="A228" t="str">
            <v/>
          </cell>
          <cell r="B228">
            <v>62246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/>
          </cell>
          <cell r="B229">
            <v>62246</v>
          </cell>
          <cell r="C229">
            <v>89786</v>
          </cell>
          <cell r="D229" t="str">
            <v>Property Tax Exp</v>
          </cell>
          <cell r="E229">
            <v>12482</v>
          </cell>
          <cell r="F229">
            <v>12482.16</v>
          </cell>
          <cell r="G229">
            <v>-0.15999999999985401</v>
          </cell>
          <cell r="H229">
            <v>149786</v>
          </cell>
          <cell r="I229">
            <v>149786</v>
          </cell>
          <cell r="J229">
            <v>0</v>
          </cell>
        </row>
        <row r="230">
          <cell r="A230" t="str">
            <v/>
          </cell>
          <cell r="B230">
            <v>62246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/>
          </cell>
          <cell r="B231">
            <v>62246</v>
          </cell>
          <cell r="C231">
            <v>72701</v>
          </cell>
          <cell r="D231" t="str">
            <v>Utilities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/>
          </cell>
          <cell r="B232">
            <v>62246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/>
          </cell>
          <cell r="B233">
            <v>62246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/>
          </cell>
          <cell r="B234">
            <v>62246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/>
          </cell>
          <cell r="B235">
            <v>62246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/>
          </cell>
          <cell r="B236">
            <v>62246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/>
          </cell>
          <cell r="B237">
            <v>62246</v>
          </cell>
          <cell r="C237">
            <v>76054</v>
          </cell>
          <cell r="D237" t="str">
            <v>Bldg Maintenance &amp; Repair</v>
          </cell>
          <cell r="E237">
            <v>6.15</v>
          </cell>
          <cell r="F237">
            <v>241.75</v>
          </cell>
          <cell r="G237">
            <v>-235.6</v>
          </cell>
          <cell r="H237">
            <v>2901</v>
          </cell>
          <cell r="I237">
            <v>2901</v>
          </cell>
          <cell r="J237">
            <v>0</v>
          </cell>
        </row>
        <row r="238">
          <cell r="A238" t="str">
            <v/>
          </cell>
          <cell r="B238">
            <v>62246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/>
          </cell>
          <cell r="B239">
            <v>62246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/>
          </cell>
          <cell r="B240">
            <v>62246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/>
          </cell>
          <cell r="B241">
            <v>62246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/>
          </cell>
          <cell r="B242">
            <v>62246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/>
          </cell>
          <cell r="B243">
            <v>62246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/>
          </cell>
          <cell r="B244">
            <v>62246</v>
          </cell>
          <cell r="C244">
            <v>84240</v>
          </cell>
          <cell r="D244" t="str">
            <v>Marketing Leasing</v>
          </cell>
          <cell r="E244">
            <v>23.91</v>
          </cell>
          <cell r="F244">
            <v>0</v>
          </cell>
          <cell r="G244">
            <v>23.91</v>
          </cell>
          <cell r="H244">
            <v>0</v>
          </cell>
          <cell r="I244">
            <v>0</v>
          </cell>
          <cell r="J244">
            <v>0</v>
          </cell>
        </row>
        <row r="245">
          <cell r="A245" t="str">
            <v/>
          </cell>
          <cell r="B245">
            <v>62246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/>
          </cell>
          <cell r="B246">
            <v>62246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/>
          </cell>
          <cell r="B247">
            <v>62246</v>
          </cell>
          <cell r="C247">
            <v>84244</v>
          </cell>
          <cell r="D247" t="str">
            <v>Marketing-Net Required</v>
          </cell>
          <cell r="E247">
            <v>3475</v>
          </cell>
          <cell r="F247">
            <v>3474.67</v>
          </cell>
          <cell r="G247">
            <v>0.32999999999992702</v>
          </cell>
          <cell r="H247">
            <v>41696</v>
          </cell>
          <cell r="I247">
            <v>41696</v>
          </cell>
          <cell r="J247">
            <v>0</v>
          </cell>
        </row>
        <row r="248">
          <cell r="A248" t="str">
            <v/>
          </cell>
          <cell r="B248">
            <v>62246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/>
          </cell>
          <cell r="B249">
            <v>62246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/>
          </cell>
          <cell r="B250">
            <v>62246</v>
          </cell>
          <cell r="C250">
            <v>85016</v>
          </cell>
          <cell r="D250" t="str">
            <v>Prof Svc-Attorney Outside</v>
          </cell>
          <cell r="E250">
            <v>-701.75</v>
          </cell>
          <cell r="F250">
            <v>200</v>
          </cell>
          <cell r="G250">
            <v>-901.75</v>
          </cell>
          <cell r="H250">
            <v>2400</v>
          </cell>
          <cell r="I250">
            <v>2400</v>
          </cell>
          <cell r="J250">
            <v>0</v>
          </cell>
        </row>
        <row r="251">
          <cell r="A251" t="str">
            <v/>
          </cell>
          <cell r="B251">
            <v>62246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2400</v>
          </cell>
          <cell r="I251">
            <v>2400</v>
          </cell>
          <cell r="J251">
            <v>0</v>
          </cell>
        </row>
        <row r="252">
          <cell r="A252" t="str">
            <v/>
          </cell>
          <cell r="B252">
            <v>62246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/>
          </cell>
          <cell r="B253">
            <v>62246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 t="str">
            <v/>
          </cell>
          <cell r="B254">
            <v>62246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/>
          </cell>
          <cell r="B255">
            <v>62246</v>
          </cell>
          <cell r="C255">
            <v>85581</v>
          </cell>
          <cell r="D255" t="str">
            <v>Bldg Admin- Salaries</v>
          </cell>
          <cell r="E255">
            <v>4370</v>
          </cell>
          <cell r="F255">
            <v>4370</v>
          </cell>
          <cell r="G255">
            <v>0</v>
          </cell>
          <cell r="H255">
            <v>52374</v>
          </cell>
          <cell r="I255">
            <v>52374</v>
          </cell>
          <cell r="J255">
            <v>0</v>
          </cell>
        </row>
        <row r="256">
          <cell r="A256" t="str">
            <v/>
          </cell>
          <cell r="B256">
            <v>62246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133.33000000000001</v>
          </cell>
          <cell r="G256">
            <v>-133.33000000000001</v>
          </cell>
          <cell r="H256">
            <v>3600</v>
          </cell>
          <cell r="I256">
            <v>3600</v>
          </cell>
          <cell r="J256">
            <v>0</v>
          </cell>
        </row>
        <row r="257">
          <cell r="A257" t="str">
            <v/>
          </cell>
          <cell r="B257">
            <v>62246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133.33000000000001</v>
          </cell>
          <cell r="G257">
            <v>-133.33000000000001</v>
          </cell>
          <cell r="H257">
            <v>3600</v>
          </cell>
          <cell r="I257">
            <v>3600</v>
          </cell>
          <cell r="J257">
            <v>0</v>
          </cell>
        </row>
        <row r="258">
          <cell r="A258" t="str">
            <v/>
          </cell>
          <cell r="B258">
            <v>62246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/>
          </cell>
          <cell r="B259">
            <v>62246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/>
          </cell>
          <cell r="B260">
            <v>62246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/>
          </cell>
          <cell r="B261">
            <v>62246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/>
          </cell>
          <cell r="B262">
            <v>62246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/>
          </cell>
          <cell r="B263">
            <v>62246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/>
          </cell>
          <cell r="B264">
            <v>62246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/>
          </cell>
          <cell r="B265">
            <v>62246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/>
          </cell>
          <cell r="B266">
            <v>62246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/>
          </cell>
          <cell r="B267">
            <v>62246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</v>
          </cell>
          <cell r="G267">
            <v>0</v>
          </cell>
          <cell r="H267">
            <v>72373</v>
          </cell>
          <cell r="I267">
            <v>72373</v>
          </cell>
          <cell r="J267">
            <v>0</v>
          </cell>
        </row>
        <row r="268">
          <cell r="A268" t="str">
            <v/>
          </cell>
          <cell r="B268">
            <v>62246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/>
          </cell>
          <cell r="B269">
            <v>62246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/>
          </cell>
          <cell r="B270">
            <v>62246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/>
          </cell>
          <cell r="B271">
            <v>62246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/>
          </cell>
          <cell r="B272">
            <v>62246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/>
          </cell>
          <cell r="B273">
            <v>62246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/>
          </cell>
          <cell r="B274">
            <v>62246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/>
          </cell>
          <cell r="B275">
            <v>62246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/>
          </cell>
          <cell r="B276">
            <v>62246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/>
          </cell>
          <cell r="B277">
            <v>62246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/>
          </cell>
          <cell r="B278">
            <v>62246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/>
          </cell>
          <cell r="B279">
            <v>62246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/>
          </cell>
          <cell r="B280">
            <v>62246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/>
          </cell>
          <cell r="B281">
            <v>62246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/>
          </cell>
          <cell r="B282">
            <v>62246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/>
          </cell>
          <cell r="B283">
            <v>62246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0</v>
          </cell>
          <cell r="G283">
            <v>0</v>
          </cell>
          <cell r="H283">
            <v>5678.98</v>
          </cell>
          <cell r="I283">
            <v>5678.98</v>
          </cell>
          <cell r="J283">
            <v>0</v>
          </cell>
        </row>
        <row r="284">
          <cell r="A284" t="str">
            <v/>
          </cell>
          <cell r="B284">
            <v>62246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/>
          </cell>
          <cell r="B285">
            <v>62246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/>
          </cell>
          <cell r="B286">
            <v>62246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/>
          </cell>
          <cell r="B287">
            <v>62246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/>
          </cell>
          <cell r="B288">
            <v>62246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61697.62</v>
          </cell>
          <cell r="G288">
            <v>-61697.62</v>
          </cell>
          <cell r="H288">
            <v>739135.99</v>
          </cell>
          <cell r="I288">
            <v>739135.99</v>
          </cell>
          <cell r="J288">
            <v>0</v>
          </cell>
        </row>
        <row r="289">
          <cell r="A289" t="str">
            <v/>
          </cell>
          <cell r="B289">
            <v>62246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vard Pl"/>
      <sheetName val="Harvard PL Auto"/>
      <sheetName val="Westpark"/>
      <sheetName val="Crossroads"/>
      <sheetName val="variance"/>
      <sheetName val="Trabuco"/>
      <sheetName val="Northpark"/>
      <sheetName val="Alton"/>
      <sheetName val="Irvine HC"/>
    </sheetNames>
    <sheetDataSet>
      <sheetData sheetId="0"/>
      <sheetData sheetId="1"/>
      <sheetData sheetId="2"/>
      <sheetData sheetId="3"/>
      <sheetData sheetId="4" refreshError="1">
        <row r="2">
          <cell r="A2" t="str">
            <v>ENTITYIDACCTNUM</v>
          </cell>
          <cell r="B2" t="str">
            <v>ENTITYID</v>
          </cell>
          <cell r="C2" t="str">
            <v>ACCTNUM</v>
          </cell>
          <cell r="D2" t="str">
            <v>ACCTNAME</v>
          </cell>
          <cell r="E2" t="str">
            <v>ACTUAL</v>
          </cell>
          <cell r="F2" t="str">
            <v>FORECAST</v>
          </cell>
          <cell r="G2" t="str">
            <v>VARIANCE</v>
          </cell>
          <cell r="H2" t="str">
            <v>BUDGET</v>
          </cell>
          <cell r="I2" t="str">
            <v>FORECAST</v>
          </cell>
          <cell r="J2" t="str">
            <v>VARIANCE</v>
          </cell>
        </row>
        <row r="3">
          <cell r="A3" t="str">
            <v>6219741010</v>
          </cell>
          <cell r="B3">
            <v>62197</v>
          </cell>
          <cell r="C3">
            <v>41010</v>
          </cell>
          <cell r="D3" t="str">
            <v>Parking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6219741040</v>
          </cell>
          <cell r="B4">
            <v>62197</v>
          </cell>
          <cell r="C4">
            <v>41040</v>
          </cell>
          <cell r="D4" t="str">
            <v>Rental Income FAS 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6219741050</v>
          </cell>
          <cell r="B5">
            <v>62197</v>
          </cell>
          <cell r="C5">
            <v>41050</v>
          </cell>
          <cell r="D5" t="str">
            <v>Rental Income - Fixed</v>
          </cell>
          <cell r="E5">
            <v>-726012.67</v>
          </cell>
          <cell r="F5">
            <v>-709084.25</v>
          </cell>
          <cell r="G5">
            <v>-16928.419999999998</v>
          </cell>
          <cell r="H5">
            <v>-4536471.82</v>
          </cell>
          <cell r="I5">
            <v>-4536471.82</v>
          </cell>
          <cell r="J5">
            <v>0</v>
          </cell>
        </row>
        <row r="6">
          <cell r="A6" t="str">
            <v>6219741074</v>
          </cell>
          <cell r="B6">
            <v>62197</v>
          </cell>
          <cell r="C6">
            <v>41074</v>
          </cell>
          <cell r="D6" t="str">
            <v>Rental Income - Percentage</v>
          </cell>
          <cell r="E6">
            <v>-4431.6899999999996</v>
          </cell>
          <cell r="F6">
            <v>-8862</v>
          </cell>
          <cell r="G6">
            <v>4430.3100000000004</v>
          </cell>
          <cell r="H6">
            <v>-53172</v>
          </cell>
          <cell r="I6">
            <v>-53172</v>
          </cell>
          <cell r="J6">
            <v>0</v>
          </cell>
        </row>
        <row r="7">
          <cell r="A7" t="str">
            <v>6219741082</v>
          </cell>
          <cell r="B7">
            <v>62197</v>
          </cell>
          <cell r="C7">
            <v>41082</v>
          </cell>
          <cell r="D7" t="str">
            <v>Rental Income - Operating Exp</v>
          </cell>
          <cell r="E7">
            <v>-211328.77</v>
          </cell>
          <cell r="F7">
            <v>-253715.48</v>
          </cell>
          <cell r="G7">
            <v>42386.71</v>
          </cell>
          <cell r="H7">
            <v>-1522292.88</v>
          </cell>
          <cell r="I7">
            <v>-1522292.88</v>
          </cell>
          <cell r="J7">
            <v>0</v>
          </cell>
        </row>
        <row r="8">
          <cell r="A8" t="str">
            <v>6219744610</v>
          </cell>
          <cell r="B8">
            <v>62197</v>
          </cell>
          <cell r="C8">
            <v>44610</v>
          </cell>
          <cell r="D8" t="str">
            <v>Marketing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6219745071</v>
          </cell>
          <cell r="B9">
            <v>62197</v>
          </cell>
          <cell r="C9">
            <v>45071</v>
          </cell>
          <cell r="D9" t="str">
            <v>Termination Fee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6219745010</v>
          </cell>
          <cell r="B10">
            <v>62197</v>
          </cell>
          <cell r="C10">
            <v>45010</v>
          </cell>
          <cell r="D10" t="str">
            <v>Bad Debt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6219745046</v>
          </cell>
          <cell r="B11">
            <v>62197</v>
          </cell>
          <cell r="C11">
            <v>45046</v>
          </cell>
          <cell r="D11" t="str">
            <v>Mgmt/Consult Fee Income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6219745070</v>
          </cell>
          <cell r="B12">
            <v>62197</v>
          </cell>
          <cell r="C12">
            <v>45070</v>
          </cell>
          <cell r="D12" t="str">
            <v>Other Income</v>
          </cell>
          <cell r="E12">
            <v>-8443.61</v>
          </cell>
          <cell r="F12">
            <v>-12666.08</v>
          </cell>
          <cell r="G12">
            <v>4222.47</v>
          </cell>
          <cell r="H12">
            <v>-22072.07</v>
          </cell>
          <cell r="I12">
            <v>-22072.07</v>
          </cell>
          <cell r="J12">
            <v>0</v>
          </cell>
        </row>
        <row r="13">
          <cell r="A13" t="str">
            <v>6219741060</v>
          </cell>
          <cell r="B13">
            <v>62197</v>
          </cell>
          <cell r="C13">
            <v>41060</v>
          </cell>
          <cell r="D13" t="str">
            <v>Rental Income - Vacancy</v>
          </cell>
          <cell r="E13">
            <v>0</v>
          </cell>
          <cell r="F13">
            <v>65280</v>
          </cell>
          <cell r="G13">
            <v>-65280</v>
          </cell>
          <cell r="H13">
            <v>391680</v>
          </cell>
          <cell r="I13">
            <v>391680</v>
          </cell>
          <cell r="J13">
            <v>0</v>
          </cell>
        </row>
        <row r="14">
          <cell r="A14" t="str">
            <v>6219744870</v>
          </cell>
          <cell r="B14">
            <v>62197</v>
          </cell>
          <cell r="C14">
            <v>44870</v>
          </cell>
          <cell r="D14" t="str">
            <v>Late Fees</v>
          </cell>
          <cell r="E14">
            <v>0</v>
          </cell>
          <cell r="F14">
            <v>0</v>
          </cell>
          <cell r="G14">
            <v>0</v>
          </cell>
          <cell r="H14">
            <v>-750</v>
          </cell>
          <cell r="I14">
            <v>-750</v>
          </cell>
          <cell r="J14">
            <v>0</v>
          </cell>
        </row>
        <row r="15">
          <cell r="A15" t="str">
            <v>6219752542</v>
          </cell>
          <cell r="B15">
            <v>62197</v>
          </cell>
          <cell r="C15">
            <v>52542</v>
          </cell>
          <cell r="D15" t="str">
            <v>Cost of Tenant Services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6219772710</v>
          </cell>
          <cell r="B16">
            <v>62197</v>
          </cell>
          <cell r="C16">
            <v>72710</v>
          </cell>
          <cell r="D16" t="str">
            <v>Utilities - Electricity</v>
          </cell>
          <cell r="E16">
            <v>4325.5200000000004</v>
          </cell>
          <cell r="F16">
            <v>8234.85</v>
          </cell>
          <cell r="G16">
            <v>-3909.33</v>
          </cell>
          <cell r="H16">
            <v>61652.97</v>
          </cell>
          <cell r="I16">
            <v>61652.97</v>
          </cell>
          <cell r="J16">
            <v>0</v>
          </cell>
        </row>
        <row r="17">
          <cell r="A17" t="str">
            <v>6219772740</v>
          </cell>
          <cell r="B17">
            <v>62197</v>
          </cell>
          <cell r="C17">
            <v>72740</v>
          </cell>
          <cell r="D17" t="str">
            <v>Utilities - Gas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6219772770</v>
          </cell>
          <cell r="B18">
            <v>62197</v>
          </cell>
          <cell r="C18">
            <v>72770</v>
          </cell>
          <cell r="D18" t="str">
            <v>Utilities - Water</v>
          </cell>
          <cell r="E18">
            <v>3895.58</v>
          </cell>
          <cell r="F18">
            <v>3964.72</v>
          </cell>
          <cell r="G18">
            <v>-69.139999999999901</v>
          </cell>
          <cell r="H18">
            <v>23078.89</v>
          </cell>
          <cell r="I18">
            <v>23078.89</v>
          </cell>
          <cell r="J18">
            <v>0</v>
          </cell>
        </row>
        <row r="19">
          <cell r="A19" t="str">
            <v>6219776000</v>
          </cell>
          <cell r="B19">
            <v>62197</v>
          </cell>
          <cell r="C19">
            <v>76000</v>
          </cell>
          <cell r="D19" t="str">
            <v>Bldg Maintenance &amp; Repair</v>
          </cell>
          <cell r="E19">
            <v>7503.49</v>
          </cell>
          <cell r="F19">
            <v>1462.48</v>
          </cell>
          <cell r="G19">
            <v>6041.01</v>
          </cell>
          <cell r="H19">
            <v>93635.76</v>
          </cell>
          <cell r="I19">
            <v>93635.76</v>
          </cell>
          <cell r="J19">
            <v>0</v>
          </cell>
        </row>
        <row r="20">
          <cell r="A20" t="str">
            <v>6219776020</v>
          </cell>
          <cell r="B20">
            <v>62197</v>
          </cell>
          <cell r="C20">
            <v>76020</v>
          </cell>
          <cell r="D20" t="str">
            <v>Food Court Expense</v>
          </cell>
          <cell r="E20">
            <v>4752</v>
          </cell>
          <cell r="F20">
            <v>3201.24</v>
          </cell>
          <cell r="G20">
            <v>1550.76</v>
          </cell>
          <cell r="H20">
            <v>20340.439999999999</v>
          </cell>
          <cell r="I20">
            <v>20340.439999999999</v>
          </cell>
          <cell r="J20">
            <v>0</v>
          </cell>
        </row>
        <row r="21">
          <cell r="A21" t="str">
            <v>6219776034</v>
          </cell>
          <cell r="B21">
            <v>62197</v>
          </cell>
          <cell r="C21">
            <v>76034</v>
          </cell>
          <cell r="D21" t="str">
            <v>Bldg. - General Repair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6219776050</v>
          </cell>
          <cell r="B22">
            <v>62197</v>
          </cell>
          <cell r="C22">
            <v>76050</v>
          </cell>
          <cell r="D22" t="str">
            <v>Cleaning Expense</v>
          </cell>
          <cell r="E22">
            <v>18613.66</v>
          </cell>
          <cell r="F22">
            <v>17275.7</v>
          </cell>
          <cell r="G22">
            <v>1337.96</v>
          </cell>
          <cell r="H22">
            <v>109484.91</v>
          </cell>
          <cell r="I22">
            <v>109484.91</v>
          </cell>
          <cell r="J22">
            <v>0</v>
          </cell>
        </row>
        <row r="23">
          <cell r="A23" t="str">
            <v>6219776056</v>
          </cell>
          <cell r="B23">
            <v>62197</v>
          </cell>
          <cell r="C23">
            <v>76056</v>
          </cell>
          <cell r="D23" t="str">
            <v>Maintenance - Reimb 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6219776071</v>
          </cell>
          <cell r="B24">
            <v>62197</v>
          </cell>
          <cell r="C24">
            <v>76071</v>
          </cell>
          <cell r="D24" t="str">
            <v>Reimaging</v>
          </cell>
          <cell r="E24">
            <v>0</v>
          </cell>
          <cell r="F24">
            <v>0</v>
          </cell>
          <cell r="G24">
            <v>0</v>
          </cell>
          <cell r="H24">
            <v>40250</v>
          </cell>
          <cell r="I24">
            <v>40250</v>
          </cell>
          <cell r="J24">
            <v>0</v>
          </cell>
        </row>
        <row r="25">
          <cell r="A25" t="str">
            <v>6219776091</v>
          </cell>
          <cell r="B25">
            <v>62197</v>
          </cell>
          <cell r="C25">
            <v>76091</v>
          </cell>
          <cell r="D25" t="str">
            <v>Parking Maintenance</v>
          </cell>
          <cell r="E25">
            <v>9905</v>
          </cell>
          <cell r="F25">
            <v>7536.38</v>
          </cell>
          <cell r="G25">
            <v>2368.62</v>
          </cell>
          <cell r="H25">
            <v>57426.7</v>
          </cell>
          <cell r="I25">
            <v>57426.7</v>
          </cell>
          <cell r="J25">
            <v>0</v>
          </cell>
        </row>
        <row r="26">
          <cell r="A26" t="str">
            <v>6219777000</v>
          </cell>
          <cell r="B26">
            <v>62197</v>
          </cell>
          <cell r="C26">
            <v>77000</v>
          </cell>
          <cell r="D26" t="str">
            <v>Grounds Maintenance</v>
          </cell>
          <cell r="E26">
            <v>4776.2700000000004</v>
          </cell>
          <cell r="F26">
            <v>3441.89</v>
          </cell>
          <cell r="G26">
            <v>1334.38</v>
          </cell>
          <cell r="H26">
            <v>60496.83</v>
          </cell>
          <cell r="I26">
            <v>60496.83</v>
          </cell>
          <cell r="J26">
            <v>0</v>
          </cell>
        </row>
        <row r="27">
          <cell r="A27" t="str">
            <v>6219777053</v>
          </cell>
          <cell r="B27">
            <v>62197</v>
          </cell>
          <cell r="C27">
            <v>77053</v>
          </cell>
          <cell r="D27" t="str">
            <v>Landscaping</v>
          </cell>
          <cell r="E27">
            <v>10118</v>
          </cell>
          <cell r="F27">
            <v>10411.280000000001</v>
          </cell>
          <cell r="G27">
            <v>-293.280000000001</v>
          </cell>
          <cell r="H27">
            <v>122670.74</v>
          </cell>
          <cell r="I27">
            <v>122670.74</v>
          </cell>
          <cell r="J27">
            <v>0</v>
          </cell>
        </row>
        <row r="28">
          <cell r="A28" t="str">
            <v>6219778020</v>
          </cell>
          <cell r="B28">
            <v>62197</v>
          </cell>
          <cell r="C28">
            <v>78020</v>
          </cell>
          <cell r="D28" t="str">
            <v>Amortized CAM Exp</v>
          </cell>
          <cell r="E28">
            <v>10834</v>
          </cell>
          <cell r="F28">
            <v>10833.34</v>
          </cell>
          <cell r="G28">
            <v>0.65999999999985404</v>
          </cell>
          <cell r="H28">
            <v>65000</v>
          </cell>
          <cell r="I28">
            <v>65000</v>
          </cell>
          <cell r="J28">
            <v>0</v>
          </cell>
        </row>
        <row r="29">
          <cell r="A29" t="str">
            <v>6219784264</v>
          </cell>
          <cell r="B29">
            <v>62197</v>
          </cell>
          <cell r="C29">
            <v>84264</v>
          </cell>
          <cell r="D29" t="str">
            <v>Mktg-Tenant Relations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6219785555</v>
          </cell>
          <cell r="B30">
            <v>62197</v>
          </cell>
          <cell r="C30">
            <v>85555</v>
          </cell>
          <cell r="D30" t="str">
            <v>Management Fee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6219785584</v>
          </cell>
          <cell r="B31">
            <v>62197</v>
          </cell>
          <cell r="C31">
            <v>85584</v>
          </cell>
          <cell r="D31" t="str">
            <v>Bldg Admin-Office Costs</v>
          </cell>
          <cell r="E31">
            <v>6148.42</v>
          </cell>
          <cell r="F31">
            <v>6148.5</v>
          </cell>
          <cell r="G31">
            <v>-7.9999999999927199E-2</v>
          </cell>
          <cell r="H31">
            <v>36891</v>
          </cell>
          <cell r="I31">
            <v>36891</v>
          </cell>
          <cell r="J31">
            <v>0</v>
          </cell>
        </row>
        <row r="32">
          <cell r="A32" t="str">
            <v>6219785582</v>
          </cell>
          <cell r="B32">
            <v>62197</v>
          </cell>
          <cell r="C32">
            <v>85582</v>
          </cell>
          <cell r="D32" t="str">
            <v>Bldg Admin-Salaries</v>
          </cell>
          <cell r="E32">
            <v>29447.65</v>
          </cell>
          <cell r="F32">
            <v>29447.84</v>
          </cell>
          <cell r="G32">
            <v>-0.18999999999868999</v>
          </cell>
          <cell r="H32">
            <v>187665.2</v>
          </cell>
          <cell r="I32">
            <v>187665.2</v>
          </cell>
          <cell r="J32">
            <v>0</v>
          </cell>
        </row>
        <row r="33">
          <cell r="A33" t="str">
            <v>6219786564</v>
          </cell>
          <cell r="B33">
            <v>62197</v>
          </cell>
          <cell r="C33">
            <v>86564</v>
          </cell>
          <cell r="D33" t="str">
            <v>Insurance</v>
          </cell>
          <cell r="E33">
            <v>12316</v>
          </cell>
          <cell r="F33">
            <v>12315.66</v>
          </cell>
          <cell r="G33">
            <v>0.34000000000014602</v>
          </cell>
          <cell r="H33">
            <v>73894</v>
          </cell>
          <cell r="I33">
            <v>73894</v>
          </cell>
          <cell r="J33">
            <v>0</v>
          </cell>
        </row>
        <row r="34">
          <cell r="A34" t="str">
            <v>6219788846</v>
          </cell>
          <cell r="B34">
            <v>62197</v>
          </cell>
          <cell r="C34">
            <v>88846</v>
          </cell>
          <cell r="D34" t="str">
            <v>Expenses -Other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6219788890</v>
          </cell>
          <cell r="B35">
            <v>62197</v>
          </cell>
          <cell r="C35">
            <v>88890</v>
          </cell>
          <cell r="D35" t="str">
            <v>Security/Safety</v>
          </cell>
          <cell r="E35">
            <v>8779.36</v>
          </cell>
          <cell r="F35">
            <v>7226.04</v>
          </cell>
          <cell r="G35">
            <v>1553.32</v>
          </cell>
          <cell r="H35">
            <v>53626.86</v>
          </cell>
          <cell r="I35">
            <v>53626.86</v>
          </cell>
          <cell r="J35">
            <v>0</v>
          </cell>
        </row>
        <row r="36">
          <cell r="A36" t="str">
            <v>6219789775</v>
          </cell>
          <cell r="B36">
            <v>62197</v>
          </cell>
          <cell r="C36">
            <v>89775</v>
          </cell>
          <cell r="D36" t="str">
            <v>Assmt Dist Taxes- Reimb</v>
          </cell>
          <cell r="E36">
            <v>20689.84</v>
          </cell>
          <cell r="F36">
            <v>20689.84</v>
          </cell>
          <cell r="G36">
            <v>0</v>
          </cell>
          <cell r="H36">
            <v>124139</v>
          </cell>
          <cell r="I36">
            <v>124139</v>
          </cell>
          <cell r="J36">
            <v>0</v>
          </cell>
        </row>
        <row r="37">
          <cell r="A37" t="str">
            <v>6219789729</v>
          </cell>
          <cell r="B37">
            <v>62197</v>
          </cell>
          <cell r="C37">
            <v>89729</v>
          </cell>
          <cell r="D37" t="str">
            <v>Taxes - Miscellaneous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6219789786</v>
          </cell>
          <cell r="B38">
            <v>62197</v>
          </cell>
          <cell r="C38">
            <v>89786</v>
          </cell>
          <cell r="D38" t="str">
            <v>Property Tax Exp</v>
          </cell>
          <cell r="E38">
            <v>31181.34</v>
          </cell>
          <cell r="F38">
            <v>31181.34</v>
          </cell>
          <cell r="G38">
            <v>0</v>
          </cell>
          <cell r="H38">
            <v>187088</v>
          </cell>
          <cell r="I38">
            <v>187088</v>
          </cell>
          <cell r="J38">
            <v>0</v>
          </cell>
        </row>
        <row r="39">
          <cell r="A39" t="str">
            <v>6219771040</v>
          </cell>
          <cell r="B39">
            <v>62197</v>
          </cell>
          <cell r="C39">
            <v>71040</v>
          </cell>
          <cell r="D39" t="str">
            <v>Office Supplies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6219772701</v>
          </cell>
          <cell r="B40">
            <v>62197</v>
          </cell>
          <cell r="C40">
            <v>72701</v>
          </cell>
          <cell r="D40" t="str">
            <v>Utilities</v>
          </cell>
          <cell r="E40">
            <v>525.87</v>
          </cell>
          <cell r="F40">
            <v>621.41999999999996</v>
          </cell>
          <cell r="G40">
            <v>-95.55</v>
          </cell>
          <cell r="H40">
            <v>2224</v>
          </cell>
          <cell r="I40">
            <v>2224</v>
          </cell>
          <cell r="J40">
            <v>0</v>
          </cell>
        </row>
        <row r="41">
          <cell r="A41" t="str">
            <v>6219772855</v>
          </cell>
          <cell r="B41">
            <v>62197</v>
          </cell>
          <cell r="C41">
            <v>72855</v>
          </cell>
          <cell r="D41" t="str">
            <v>Rent Expense-Ground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6219772870</v>
          </cell>
          <cell r="B42">
            <v>62197</v>
          </cell>
          <cell r="C42">
            <v>72870</v>
          </cell>
          <cell r="D42" t="str">
            <v>Office Rent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6219776010</v>
          </cell>
          <cell r="B43">
            <v>62197</v>
          </cell>
          <cell r="C43">
            <v>76010</v>
          </cell>
          <cell r="D43" t="str">
            <v>Tenant Alterations</v>
          </cell>
          <cell r="E43">
            <v>0</v>
          </cell>
          <cell r="F43">
            <v>-103</v>
          </cell>
          <cell r="G43">
            <v>103</v>
          </cell>
          <cell r="H43">
            <v>2305.14</v>
          </cell>
          <cell r="I43">
            <v>2305.14</v>
          </cell>
          <cell r="J43">
            <v>0</v>
          </cell>
        </row>
        <row r="44">
          <cell r="A44" t="str">
            <v>6219776040</v>
          </cell>
          <cell r="B44">
            <v>62197</v>
          </cell>
          <cell r="C44">
            <v>76040</v>
          </cell>
          <cell r="D44" t="str">
            <v>HVAC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6219776051</v>
          </cell>
          <cell r="B45">
            <v>62197</v>
          </cell>
          <cell r="C45">
            <v>76051</v>
          </cell>
          <cell r="D45" t="str">
            <v>Cleaning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A46" t="str">
            <v>6219776054</v>
          </cell>
          <cell r="B46">
            <v>62197</v>
          </cell>
          <cell r="C46">
            <v>76054</v>
          </cell>
          <cell r="D46" t="str">
            <v>Bldg Maintenance &amp; Repair</v>
          </cell>
          <cell r="E46">
            <v>9342.64</v>
          </cell>
          <cell r="F46">
            <v>10000</v>
          </cell>
          <cell r="G46">
            <v>-657.36000000000104</v>
          </cell>
          <cell r="H46">
            <v>55152.24</v>
          </cell>
          <cell r="I46">
            <v>55152.24</v>
          </cell>
          <cell r="J46">
            <v>0</v>
          </cell>
        </row>
        <row r="47">
          <cell r="A47" t="str">
            <v>6219776060</v>
          </cell>
          <cell r="B47">
            <v>62197</v>
          </cell>
          <cell r="C47">
            <v>76060</v>
          </cell>
          <cell r="D47" t="str">
            <v>Asbestos Abatement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6219776071</v>
          </cell>
          <cell r="B48">
            <v>62197</v>
          </cell>
          <cell r="C48">
            <v>76071</v>
          </cell>
          <cell r="D48" t="str">
            <v>Reimaging Maintenance</v>
          </cell>
          <cell r="E48">
            <v>0</v>
          </cell>
          <cell r="F48">
            <v>0</v>
          </cell>
          <cell r="G48">
            <v>0</v>
          </cell>
          <cell r="H48">
            <v>40250</v>
          </cell>
          <cell r="I48">
            <v>40250</v>
          </cell>
          <cell r="J48">
            <v>0</v>
          </cell>
        </row>
        <row r="49">
          <cell r="A49" t="str">
            <v>6219776090</v>
          </cell>
          <cell r="B49">
            <v>62197</v>
          </cell>
          <cell r="C49">
            <v>76090</v>
          </cell>
          <cell r="D49" t="str">
            <v>Parking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6219777001</v>
          </cell>
          <cell r="B50">
            <v>62197</v>
          </cell>
          <cell r="C50">
            <v>77001</v>
          </cell>
          <cell r="D50" t="str">
            <v>Grounds Maintenance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6219777022</v>
          </cell>
          <cell r="B51">
            <v>62197</v>
          </cell>
          <cell r="C51">
            <v>77022</v>
          </cell>
          <cell r="D51" t="str">
            <v>Landscaping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6219784200</v>
          </cell>
          <cell r="B52">
            <v>62197</v>
          </cell>
          <cell r="C52">
            <v>84200</v>
          </cell>
          <cell r="D52" t="str">
            <v>Marketing-Other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 t="str">
            <v>6219784240</v>
          </cell>
          <cell r="B53">
            <v>62197</v>
          </cell>
          <cell r="C53">
            <v>84240</v>
          </cell>
          <cell r="D53" t="str">
            <v>Marketing Leasing</v>
          </cell>
          <cell r="E53">
            <v>5382.34</v>
          </cell>
          <cell r="F53">
            <v>5382.82</v>
          </cell>
          <cell r="G53">
            <v>-0.479999999999563</v>
          </cell>
          <cell r="H53">
            <v>33706.800000000003</v>
          </cell>
          <cell r="I53">
            <v>33706.800000000003</v>
          </cell>
          <cell r="J53">
            <v>0</v>
          </cell>
        </row>
        <row r="54">
          <cell r="A54" t="str">
            <v>6219784242</v>
          </cell>
          <cell r="B54">
            <v>62197</v>
          </cell>
          <cell r="C54">
            <v>84242</v>
          </cell>
          <cell r="D54" t="str">
            <v>Marketing-Subsidy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6219784243</v>
          </cell>
          <cell r="B55">
            <v>62197</v>
          </cell>
          <cell r="C55">
            <v>84243</v>
          </cell>
          <cell r="D55" t="str">
            <v>Marketing Coordination</v>
          </cell>
          <cell r="E55">
            <v>0</v>
          </cell>
          <cell r="F55">
            <v>0</v>
          </cell>
          <cell r="G55">
            <v>0</v>
          </cell>
          <cell r="H55">
            <v>-24587.84</v>
          </cell>
          <cell r="I55">
            <v>-24587.84</v>
          </cell>
          <cell r="J55">
            <v>0</v>
          </cell>
        </row>
        <row r="56">
          <cell r="A56" t="str">
            <v>6219784244</v>
          </cell>
          <cell r="B56">
            <v>62197</v>
          </cell>
          <cell r="C56">
            <v>84244</v>
          </cell>
          <cell r="D56" t="str">
            <v>Marketing-Net Required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6219784265</v>
          </cell>
          <cell r="B57">
            <v>62197</v>
          </cell>
          <cell r="C57">
            <v>84265</v>
          </cell>
          <cell r="D57" t="str">
            <v>Marketing -TR-Non-Reimb.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6219788037</v>
          </cell>
          <cell r="B58">
            <v>62197</v>
          </cell>
          <cell r="C58">
            <v>88037</v>
          </cell>
          <cell r="D58" t="str">
            <v>Marketing - Leasing Office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A59" t="str">
            <v>6219785016</v>
          </cell>
          <cell r="B59">
            <v>62197</v>
          </cell>
          <cell r="C59">
            <v>85016</v>
          </cell>
          <cell r="D59" t="str">
            <v>Prof Svc-Attorney Outside</v>
          </cell>
          <cell r="E59">
            <v>2579.0500000000002</v>
          </cell>
          <cell r="F59">
            <v>0</v>
          </cell>
          <cell r="G59">
            <v>2579.0500000000002</v>
          </cell>
          <cell r="H59">
            <v>9508.3799999999992</v>
          </cell>
          <cell r="I59">
            <v>9508.3799999999992</v>
          </cell>
          <cell r="J59">
            <v>0</v>
          </cell>
        </row>
        <row r="60">
          <cell r="A60" t="str">
            <v>6219785022</v>
          </cell>
          <cell r="B60">
            <v>62197</v>
          </cell>
          <cell r="C60">
            <v>85022</v>
          </cell>
          <cell r="D60" t="str">
            <v>Prof Svc-Audit/Acctng</v>
          </cell>
          <cell r="E60">
            <v>0</v>
          </cell>
          <cell r="F60">
            <v>0</v>
          </cell>
          <cell r="G60">
            <v>0</v>
          </cell>
          <cell r="H60">
            <v>6563.01</v>
          </cell>
          <cell r="I60">
            <v>6563.01</v>
          </cell>
          <cell r="J60">
            <v>0</v>
          </cell>
        </row>
        <row r="61">
          <cell r="A61" t="str">
            <v>6219785065</v>
          </cell>
          <cell r="B61">
            <v>62197</v>
          </cell>
          <cell r="C61">
            <v>85065</v>
          </cell>
          <cell r="D61" t="str">
            <v>Professional Services Other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6219785500</v>
          </cell>
          <cell r="B62">
            <v>62197</v>
          </cell>
          <cell r="C62">
            <v>85500</v>
          </cell>
          <cell r="D62" t="str">
            <v>Consulting Services</v>
          </cell>
          <cell r="E62">
            <v>-500</v>
          </cell>
          <cell r="F62">
            <v>0</v>
          </cell>
          <cell r="G62">
            <v>-500</v>
          </cell>
          <cell r="H62">
            <v>2270.2399999999998</v>
          </cell>
          <cell r="I62">
            <v>2270.2399999999998</v>
          </cell>
          <cell r="J62">
            <v>0</v>
          </cell>
        </row>
        <row r="63">
          <cell r="A63" t="str">
            <v>6219785566</v>
          </cell>
          <cell r="B63">
            <v>62197</v>
          </cell>
          <cell r="C63">
            <v>85566</v>
          </cell>
          <cell r="D63" t="str">
            <v>Management Fee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</row>
        <row r="64">
          <cell r="A64" t="str">
            <v>6219785581</v>
          </cell>
          <cell r="B64">
            <v>62197</v>
          </cell>
          <cell r="C64">
            <v>85581</v>
          </cell>
          <cell r="D64" t="str">
            <v>Bldg Admin- Salaries</v>
          </cell>
          <cell r="E64">
            <v>21894.17</v>
          </cell>
          <cell r="F64">
            <v>21894.34</v>
          </cell>
          <cell r="G64">
            <v>-0.170000000001892</v>
          </cell>
          <cell r="H64">
            <v>138985.70000000001</v>
          </cell>
          <cell r="I64">
            <v>138985.70000000001</v>
          </cell>
          <cell r="J64">
            <v>0</v>
          </cell>
        </row>
        <row r="65">
          <cell r="A65" t="str">
            <v>6219785583</v>
          </cell>
          <cell r="B65">
            <v>62197</v>
          </cell>
          <cell r="C65">
            <v>85583</v>
          </cell>
          <cell r="D65" t="str">
            <v>Bldg Admin-Office Exp.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6219785530</v>
          </cell>
          <cell r="B66">
            <v>62197</v>
          </cell>
          <cell r="C66">
            <v>85530</v>
          </cell>
          <cell r="D66" t="str">
            <v>Bldg Admin - Office Exp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6219786012</v>
          </cell>
          <cell r="B67">
            <v>62197</v>
          </cell>
          <cell r="C67">
            <v>86012</v>
          </cell>
          <cell r="D67" t="str">
            <v>Regional Employee Parking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6219786037</v>
          </cell>
          <cell r="B68">
            <v>62197</v>
          </cell>
          <cell r="C68">
            <v>86037</v>
          </cell>
          <cell r="D68" t="str">
            <v>Travel &amp; Entertainment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6219783050</v>
          </cell>
          <cell r="B69">
            <v>62197</v>
          </cell>
          <cell r="C69">
            <v>83050</v>
          </cell>
          <cell r="D69" t="str">
            <v>Regional Employee Travel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6219786510</v>
          </cell>
          <cell r="B70">
            <v>62197</v>
          </cell>
          <cell r="C70">
            <v>86510</v>
          </cell>
          <cell r="D70" t="str">
            <v>Leasing Admin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6219786537</v>
          </cell>
          <cell r="B71">
            <v>62197</v>
          </cell>
          <cell r="C71">
            <v>86537</v>
          </cell>
          <cell r="D71" t="str">
            <v>Fees-Credit Reports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6219786566</v>
          </cell>
          <cell r="B72">
            <v>62197</v>
          </cell>
          <cell r="C72">
            <v>86566</v>
          </cell>
          <cell r="D72" t="str">
            <v>Insurance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6219786955</v>
          </cell>
          <cell r="B73">
            <v>62197</v>
          </cell>
          <cell r="C73">
            <v>86955</v>
          </cell>
          <cell r="D73" t="str">
            <v>Regional Temporary Labor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6219786985</v>
          </cell>
          <cell r="B74">
            <v>62197</v>
          </cell>
          <cell r="C74">
            <v>86985</v>
          </cell>
          <cell r="D74" t="str">
            <v>Purchased Svcs _ Other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6219786880</v>
          </cell>
          <cell r="B75">
            <v>62197</v>
          </cell>
          <cell r="C75">
            <v>86880</v>
          </cell>
          <cell r="D75" t="str">
            <v>Telephone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A76" t="str">
            <v>6219788710</v>
          </cell>
          <cell r="B76">
            <v>62197</v>
          </cell>
          <cell r="C76">
            <v>88710</v>
          </cell>
          <cell r="D76" t="str">
            <v>Losses-Bad Debts</v>
          </cell>
          <cell r="E76">
            <v>0</v>
          </cell>
          <cell r="F76">
            <v>0</v>
          </cell>
          <cell r="G76">
            <v>0</v>
          </cell>
          <cell r="H76">
            <v>61348</v>
          </cell>
          <cell r="I76">
            <v>61348</v>
          </cell>
          <cell r="J76">
            <v>0</v>
          </cell>
        </row>
        <row r="77">
          <cell r="A77" t="str">
            <v>6219788711</v>
          </cell>
          <cell r="B77">
            <v>62197</v>
          </cell>
          <cell r="C77">
            <v>88711</v>
          </cell>
          <cell r="D77" t="str">
            <v>Losses-Bad Debts- FASB 13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6219788785</v>
          </cell>
          <cell r="B78">
            <v>62197</v>
          </cell>
          <cell r="C78">
            <v>88785</v>
          </cell>
          <cell r="D78" t="str">
            <v>Losses-Uninsured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6219788847</v>
          </cell>
          <cell r="B79">
            <v>62197</v>
          </cell>
          <cell r="C79">
            <v>88847</v>
          </cell>
          <cell r="D79" t="str">
            <v>Expenses - Other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6219788866</v>
          </cell>
          <cell r="B80">
            <v>62197</v>
          </cell>
          <cell r="C80">
            <v>88866</v>
          </cell>
          <cell r="D80" t="str">
            <v>Legal Settlements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6219788870</v>
          </cell>
          <cell r="B81">
            <v>62197</v>
          </cell>
          <cell r="C81">
            <v>88870</v>
          </cell>
          <cell r="D81" t="str">
            <v>Backside Dist-O/S Partner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6219788889</v>
          </cell>
          <cell r="B82">
            <v>62197</v>
          </cell>
          <cell r="C82">
            <v>88889</v>
          </cell>
          <cell r="D82" t="str">
            <v>Security/Safety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6219789776</v>
          </cell>
          <cell r="B83">
            <v>62197</v>
          </cell>
          <cell r="C83">
            <v>89776</v>
          </cell>
          <cell r="D83" t="str">
            <v>Assmt Dist Taxes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6219789787</v>
          </cell>
          <cell r="B84">
            <v>62197</v>
          </cell>
          <cell r="C84">
            <v>89787</v>
          </cell>
          <cell r="D84" t="str">
            <v>Property Tax Exp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6219789510</v>
          </cell>
          <cell r="B85">
            <v>62197</v>
          </cell>
          <cell r="C85">
            <v>89510</v>
          </cell>
          <cell r="D85" t="str">
            <v>Interest Expense - General</v>
          </cell>
          <cell r="E85">
            <v>0</v>
          </cell>
          <cell r="F85">
            <v>207381</v>
          </cell>
          <cell r="G85">
            <v>-207381</v>
          </cell>
          <cell r="H85">
            <v>1200071</v>
          </cell>
          <cell r="I85">
            <v>1200071</v>
          </cell>
          <cell r="J85">
            <v>0</v>
          </cell>
        </row>
        <row r="86">
          <cell r="A86" t="str">
            <v>6219789511</v>
          </cell>
          <cell r="B86">
            <v>62197</v>
          </cell>
          <cell r="C86">
            <v>89511</v>
          </cell>
          <cell r="D86" t="str">
            <v>Interest Expense - Swap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6219789512</v>
          </cell>
          <cell r="B87">
            <v>62197</v>
          </cell>
          <cell r="C87">
            <v>89512</v>
          </cell>
          <cell r="D87" t="str">
            <v>Interest Expense - Accrual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6219789528</v>
          </cell>
          <cell r="B88">
            <v>62197</v>
          </cell>
          <cell r="C88">
            <v>89528</v>
          </cell>
          <cell r="D88" t="str">
            <v>Interest Expense - Loan Fees-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6219789529</v>
          </cell>
          <cell r="B89">
            <v>62197</v>
          </cell>
          <cell r="C89">
            <v>89529</v>
          </cell>
          <cell r="D89" t="str">
            <v>Interest Expense - Loan Fee A</v>
          </cell>
          <cell r="E89">
            <v>0</v>
          </cell>
          <cell r="F89">
            <v>4668</v>
          </cell>
          <cell r="G89">
            <v>-4668</v>
          </cell>
          <cell r="H89">
            <v>28008</v>
          </cell>
          <cell r="I89">
            <v>28008</v>
          </cell>
          <cell r="J89">
            <v>0</v>
          </cell>
        </row>
        <row r="90">
          <cell r="A90" t="str">
            <v>6219789567</v>
          </cell>
          <cell r="B90">
            <v>62197</v>
          </cell>
          <cell r="C90">
            <v>89567</v>
          </cell>
          <cell r="D90" t="str">
            <v>Interest Expense - TIC/Partne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6219785058</v>
          </cell>
          <cell r="B91">
            <v>62197</v>
          </cell>
          <cell r="C91">
            <v>85058</v>
          </cell>
          <cell r="D91" t="str">
            <v>Legal Fee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6219786513</v>
          </cell>
          <cell r="B92">
            <v>62197</v>
          </cell>
          <cell r="C92">
            <v>86513</v>
          </cell>
          <cell r="D92" t="str">
            <v>Leasing Commission Amort</v>
          </cell>
          <cell r="E92">
            <v>0</v>
          </cell>
          <cell r="F92">
            <v>0</v>
          </cell>
          <cell r="G92">
            <v>0</v>
          </cell>
          <cell r="H92">
            <v>6344.69</v>
          </cell>
          <cell r="I92">
            <v>6344.69</v>
          </cell>
          <cell r="J92">
            <v>0</v>
          </cell>
        </row>
        <row r="93">
          <cell r="A93" t="str">
            <v>6219786519</v>
          </cell>
          <cell r="B93">
            <v>62197</v>
          </cell>
          <cell r="C93">
            <v>86519</v>
          </cell>
          <cell r="D93" t="str">
            <v>Fees-Appraisal Amort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6219788770</v>
          </cell>
          <cell r="B94">
            <v>62197</v>
          </cell>
          <cell r="C94">
            <v>88770</v>
          </cell>
          <cell r="D94" t="str">
            <v>Losses-Prop Abandon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6219788862</v>
          </cell>
          <cell r="B95">
            <v>62197</v>
          </cell>
          <cell r="C95">
            <v>88862</v>
          </cell>
          <cell r="D95" t="str">
            <v>Lease Buy-Out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6219788874</v>
          </cell>
          <cell r="B96">
            <v>62197</v>
          </cell>
          <cell r="C96">
            <v>88874</v>
          </cell>
          <cell r="D96" t="str">
            <v>Organization Cost Amort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</row>
        <row r="97">
          <cell r="A97" t="str">
            <v>6219789910</v>
          </cell>
          <cell r="B97">
            <v>62197</v>
          </cell>
          <cell r="C97">
            <v>89910</v>
          </cell>
          <cell r="D97" t="str">
            <v>Depreciation</v>
          </cell>
          <cell r="E97">
            <v>0</v>
          </cell>
          <cell r="F97">
            <v>64757.85</v>
          </cell>
          <cell r="G97">
            <v>-64757.85</v>
          </cell>
          <cell r="H97">
            <v>418959.38</v>
          </cell>
          <cell r="I97">
            <v>418959.38</v>
          </cell>
          <cell r="J97">
            <v>0</v>
          </cell>
        </row>
        <row r="98">
          <cell r="A98" t="str">
            <v>6219789548</v>
          </cell>
          <cell r="B98">
            <v>62197</v>
          </cell>
          <cell r="C98">
            <v>89548</v>
          </cell>
          <cell r="D98" t="str">
            <v>Other Amortized Cost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6226041010</v>
          </cell>
          <cell r="B99">
            <v>62260</v>
          </cell>
          <cell r="C99">
            <v>41010</v>
          </cell>
          <cell r="D99" t="str">
            <v>Parking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6226041040</v>
          </cell>
          <cell r="B100">
            <v>62260</v>
          </cell>
          <cell r="C100">
            <v>41040</v>
          </cell>
          <cell r="D100" t="str">
            <v>Rental Income FAS 13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A101" t="str">
            <v>6226041050</v>
          </cell>
          <cell r="B101">
            <v>62260</v>
          </cell>
          <cell r="C101">
            <v>41050</v>
          </cell>
          <cell r="D101" t="str">
            <v>Rental Income - Fixed</v>
          </cell>
          <cell r="E101">
            <v>-450953.12</v>
          </cell>
          <cell r="F101">
            <v>-450921.44</v>
          </cell>
          <cell r="G101">
            <v>-31.679999999993001</v>
          </cell>
          <cell r="H101">
            <v>-2732224.88</v>
          </cell>
          <cell r="I101">
            <v>-2732224.88</v>
          </cell>
          <cell r="J101">
            <v>0</v>
          </cell>
        </row>
        <row r="102">
          <cell r="A102" t="str">
            <v>6226041074</v>
          </cell>
          <cell r="B102">
            <v>62260</v>
          </cell>
          <cell r="C102">
            <v>41074</v>
          </cell>
          <cell r="D102" t="str">
            <v>Rental Income - Percentage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 t="str">
            <v>6226041082</v>
          </cell>
          <cell r="B103">
            <v>62260</v>
          </cell>
          <cell r="C103">
            <v>41082</v>
          </cell>
          <cell r="D103" t="str">
            <v>Rental Income - Operating Exp</v>
          </cell>
          <cell r="E103">
            <v>-99737.46</v>
          </cell>
          <cell r="F103">
            <v>-124779.8</v>
          </cell>
          <cell r="G103">
            <v>25042.34</v>
          </cell>
          <cell r="H103">
            <v>-748678.8</v>
          </cell>
          <cell r="I103">
            <v>-748678.8</v>
          </cell>
          <cell r="J103">
            <v>0</v>
          </cell>
        </row>
        <row r="104">
          <cell r="A104" t="str">
            <v>6226044610</v>
          </cell>
          <cell r="B104">
            <v>62260</v>
          </cell>
          <cell r="C104">
            <v>44610</v>
          </cell>
          <cell r="D104" t="str">
            <v>Marketing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6226045071</v>
          </cell>
          <cell r="B105">
            <v>62260</v>
          </cell>
          <cell r="C105">
            <v>45071</v>
          </cell>
          <cell r="D105" t="str">
            <v>Termination Fee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6226045010</v>
          </cell>
          <cell r="B106">
            <v>62260</v>
          </cell>
          <cell r="C106">
            <v>45010</v>
          </cell>
          <cell r="D106" t="str">
            <v>Bad Debt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6226045046</v>
          </cell>
          <cell r="B107">
            <v>62260</v>
          </cell>
          <cell r="C107">
            <v>45046</v>
          </cell>
          <cell r="D107" t="str">
            <v>Mgmt/Consult Fee Income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A108" t="str">
            <v>6226045070</v>
          </cell>
          <cell r="B108">
            <v>62260</v>
          </cell>
          <cell r="C108">
            <v>45070</v>
          </cell>
          <cell r="D108" t="str">
            <v>Other Income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A109" t="str">
            <v>6226041060</v>
          </cell>
          <cell r="B109">
            <v>62260</v>
          </cell>
          <cell r="C109">
            <v>41060</v>
          </cell>
          <cell r="D109" t="str">
            <v>Rental Income - Vacancy</v>
          </cell>
          <cell r="E109">
            <v>0</v>
          </cell>
          <cell r="F109">
            <v>5801.16</v>
          </cell>
          <cell r="G109">
            <v>-5801.16</v>
          </cell>
          <cell r="H109">
            <v>34807</v>
          </cell>
          <cell r="I109">
            <v>34807</v>
          </cell>
          <cell r="J109">
            <v>0</v>
          </cell>
        </row>
        <row r="110">
          <cell r="A110" t="str">
            <v>6226044870</v>
          </cell>
          <cell r="B110">
            <v>62260</v>
          </cell>
          <cell r="C110">
            <v>44870</v>
          </cell>
          <cell r="D110" t="str">
            <v>Late Fees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6226052542</v>
          </cell>
          <cell r="B111">
            <v>62260</v>
          </cell>
          <cell r="C111">
            <v>52542</v>
          </cell>
          <cell r="D111" t="str">
            <v>Cost of Tenant Services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A112" t="str">
            <v>6226072710</v>
          </cell>
          <cell r="B112">
            <v>62260</v>
          </cell>
          <cell r="C112">
            <v>72710</v>
          </cell>
          <cell r="D112" t="str">
            <v>Utilities - Electricity</v>
          </cell>
          <cell r="E112">
            <v>2996.79</v>
          </cell>
          <cell r="F112">
            <v>4010.15</v>
          </cell>
          <cell r="G112">
            <v>-1013.36</v>
          </cell>
          <cell r="H112">
            <v>24494.6</v>
          </cell>
          <cell r="I112">
            <v>24494.6</v>
          </cell>
          <cell r="J112">
            <v>0</v>
          </cell>
        </row>
        <row r="113">
          <cell r="A113" t="str">
            <v>6226072740</v>
          </cell>
          <cell r="B113">
            <v>62260</v>
          </cell>
          <cell r="C113">
            <v>72740</v>
          </cell>
          <cell r="D113" t="str">
            <v>Utilities - Gas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A114" t="str">
            <v>6226072770</v>
          </cell>
          <cell r="B114">
            <v>62260</v>
          </cell>
          <cell r="C114">
            <v>72770</v>
          </cell>
          <cell r="D114" t="str">
            <v>Utilities - Water</v>
          </cell>
          <cell r="E114">
            <v>1683.91</v>
          </cell>
          <cell r="F114">
            <v>1895.61</v>
          </cell>
          <cell r="G114">
            <v>-211.7</v>
          </cell>
          <cell r="H114">
            <v>14244.5</v>
          </cell>
          <cell r="I114">
            <v>14244.5</v>
          </cell>
          <cell r="J114">
            <v>0</v>
          </cell>
        </row>
        <row r="115">
          <cell r="A115" t="str">
            <v>6226076000</v>
          </cell>
          <cell r="B115">
            <v>62260</v>
          </cell>
          <cell r="C115">
            <v>76000</v>
          </cell>
          <cell r="D115" t="str">
            <v>Bldg Maintenance &amp; Repair</v>
          </cell>
          <cell r="E115">
            <v>2822.84</v>
          </cell>
          <cell r="F115">
            <v>8119.54</v>
          </cell>
          <cell r="G115">
            <v>-5296.7</v>
          </cell>
          <cell r="H115">
            <v>51753.04</v>
          </cell>
          <cell r="I115">
            <v>51753.04</v>
          </cell>
          <cell r="J115">
            <v>0</v>
          </cell>
        </row>
        <row r="116">
          <cell r="A116" t="str">
            <v>6226076020</v>
          </cell>
          <cell r="B116">
            <v>62260</v>
          </cell>
          <cell r="C116">
            <v>76020</v>
          </cell>
          <cell r="D116" t="str">
            <v>Food Court Expense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6226076034</v>
          </cell>
          <cell r="B117">
            <v>62260</v>
          </cell>
          <cell r="C117">
            <v>76034</v>
          </cell>
          <cell r="D117" t="str">
            <v>Bldg. - General Repair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6226076050</v>
          </cell>
          <cell r="B118">
            <v>62260</v>
          </cell>
          <cell r="C118">
            <v>76050</v>
          </cell>
          <cell r="D118" t="str">
            <v>Cleaning Expense</v>
          </cell>
          <cell r="E118">
            <v>16160.96</v>
          </cell>
          <cell r="F118">
            <v>16250.14</v>
          </cell>
          <cell r="G118">
            <v>-89.180000000000305</v>
          </cell>
          <cell r="H118">
            <v>98091.58</v>
          </cell>
          <cell r="I118">
            <v>98091.58</v>
          </cell>
          <cell r="J118">
            <v>0</v>
          </cell>
        </row>
        <row r="119">
          <cell r="A119" t="str">
            <v>6226076056</v>
          </cell>
          <cell r="B119">
            <v>62260</v>
          </cell>
          <cell r="C119">
            <v>76056</v>
          </cell>
          <cell r="D119" t="str">
            <v>Maintenance - Reimb 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6226076070</v>
          </cell>
          <cell r="B120">
            <v>62260</v>
          </cell>
          <cell r="C120">
            <v>76070</v>
          </cell>
          <cell r="D120" t="str">
            <v>Reimaging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</row>
        <row r="121">
          <cell r="A121" t="str">
            <v>6226076091</v>
          </cell>
          <cell r="B121">
            <v>62260</v>
          </cell>
          <cell r="C121">
            <v>76091</v>
          </cell>
          <cell r="D121" t="str">
            <v>Parking Maintenance</v>
          </cell>
          <cell r="E121">
            <v>8885</v>
          </cell>
          <cell r="F121">
            <v>8008.25</v>
          </cell>
          <cell r="G121">
            <v>876.75</v>
          </cell>
          <cell r="H121">
            <v>56086.86</v>
          </cell>
          <cell r="I121">
            <v>56086.86</v>
          </cell>
          <cell r="J121">
            <v>0</v>
          </cell>
        </row>
        <row r="122">
          <cell r="A122" t="str">
            <v>6226077000</v>
          </cell>
          <cell r="B122">
            <v>62260</v>
          </cell>
          <cell r="C122">
            <v>77000</v>
          </cell>
          <cell r="D122" t="str">
            <v>Grounds Maintenance</v>
          </cell>
          <cell r="E122">
            <v>2718.69</v>
          </cell>
          <cell r="F122">
            <v>18371.68</v>
          </cell>
          <cell r="G122">
            <v>-15652.99</v>
          </cell>
          <cell r="H122">
            <v>56614.26</v>
          </cell>
          <cell r="I122">
            <v>56614.26</v>
          </cell>
          <cell r="J122">
            <v>0</v>
          </cell>
        </row>
        <row r="123">
          <cell r="A123" t="str">
            <v>6226077053</v>
          </cell>
          <cell r="B123">
            <v>62260</v>
          </cell>
          <cell r="C123">
            <v>77053</v>
          </cell>
          <cell r="D123" t="str">
            <v>Landscaping</v>
          </cell>
          <cell r="E123">
            <v>5257</v>
          </cell>
          <cell r="F123">
            <v>6218.63</v>
          </cell>
          <cell r="G123">
            <v>-961.63</v>
          </cell>
          <cell r="H123">
            <v>59158.53</v>
          </cell>
          <cell r="I123">
            <v>59158.53</v>
          </cell>
          <cell r="J123">
            <v>0</v>
          </cell>
        </row>
        <row r="124">
          <cell r="A124" t="str">
            <v>6226078020</v>
          </cell>
          <cell r="B124">
            <v>62260</v>
          </cell>
          <cell r="C124">
            <v>78020</v>
          </cell>
          <cell r="D124" t="str">
            <v>Amortized CAM Exp</v>
          </cell>
          <cell r="E124">
            <v>5277.84</v>
          </cell>
          <cell r="F124">
            <v>8402.84</v>
          </cell>
          <cell r="G124">
            <v>-3125</v>
          </cell>
          <cell r="H124">
            <v>50417</v>
          </cell>
          <cell r="I124">
            <v>50417</v>
          </cell>
          <cell r="J124">
            <v>0</v>
          </cell>
        </row>
        <row r="125">
          <cell r="A125" t="str">
            <v>6226084264</v>
          </cell>
          <cell r="B125">
            <v>62260</v>
          </cell>
          <cell r="C125">
            <v>84264</v>
          </cell>
          <cell r="D125" t="str">
            <v>Mktg-Tenant Relations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6226085555</v>
          </cell>
          <cell r="B126">
            <v>62260</v>
          </cell>
          <cell r="C126">
            <v>85555</v>
          </cell>
          <cell r="D126" t="str">
            <v>Management Fee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</row>
        <row r="127">
          <cell r="A127" t="str">
            <v>6226085584</v>
          </cell>
          <cell r="B127">
            <v>62260</v>
          </cell>
          <cell r="C127">
            <v>85584</v>
          </cell>
          <cell r="D127" t="str">
            <v>Bldg Admin-Office Costs</v>
          </cell>
          <cell r="E127">
            <v>1866.28</v>
          </cell>
          <cell r="F127">
            <v>1866.34</v>
          </cell>
          <cell r="G127">
            <v>-5.9999999999945403E-2</v>
          </cell>
          <cell r="H127">
            <v>11198</v>
          </cell>
          <cell r="I127">
            <v>11198</v>
          </cell>
          <cell r="J127">
            <v>0</v>
          </cell>
        </row>
        <row r="128">
          <cell r="A128" t="str">
            <v>6226085582</v>
          </cell>
          <cell r="B128">
            <v>62260</v>
          </cell>
          <cell r="C128">
            <v>85582</v>
          </cell>
          <cell r="D128" t="str">
            <v>Bldg Admin-Salaries</v>
          </cell>
          <cell r="E128">
            <v>9398.93</v>
          </cell>
          <cell r="F128">
            <v>9398.5</v>
          </cell>
          <cell r="G128">
            <v>0.43000000000029098</v>
          </cell>
          <cell r="H128">
            <v>60039.5</v>
          </cell>
          <cell r="I128">
            <v>60039.5</v>
          </cell>
          <cell r="J128">
            <v>0</v>
          </cell>
        </row>
        <row r="129">
          <cell r="A129" t="str">
            <v>6226086564</v>
          </cell>
          <cell r="B129">
            <v>62260</v>
          </cell>
          <cell r="C129">
            <v>86564</v>
          </cell>
          <cell r="D129" t="str">
            <v>Insurance</v>
          </cell>
          <cell r="E129">
            <v>6564</v>
          </cell>
          <cell r="F129">
            <v>6563.66</v>
          </cell>
          <cell r="G129">
            <v>0.34000000000014602</v>
          </cell>
          <cell r="H129">
            <v>39382</v>
          </cell>
          <cell r="I129">
            <v>39382</v>
          </cell>
          <cell r="J129">
            <v>0</v>
          </cell>
        </row>
        <row r="130">
          <cell r="A130" t="str">
            <v>6226088846</v>
          </cell>
          <cell r="B130">
            <v>62260</v>
          </cell>
          <cell r="C130">
            <v>88846</v>
          </cell>
          <cell r="D130" t="str">
            <v>Expenses -Other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A131" t="str">
            <v>6226088890</v>
          </cell>
          <cell r="B131">
            <v>62260</v>
          </cell>
          <cell r="C131">
            <v>88890</v>
          </cell>
          <cell r="D131" t="str">
            <v>Security/Safety</v>
          </cell>
          <cell r="E131">
            <v>2457</v>
          </cell>
          <cell r="F131">
            <v>2304</v>
          </cell>
          <cell r="G131">
            <v>153</v>
          </cell>
          <cell r="H131">
            <v>16543.77</v>
          </cell>
          <cell r="I131">
            <v>16543.77</v>
          </cell>
          <cell r="J131">
            <v>0</v>
          </cell>
        </row>
        <row r="132">
          <cell r="A132" t="str">
            <v>6226089775</v>
          </cell>
          <cell r="B132">
            <v>62260</v>
          </cell>
          <cell r="C132">
            <v>89775</v>
          </cell>
          <cell r="D132" t="str">
            <v>Assmt Dist Taxes- Reimb</v>
          </cell>
          <cell r="E132">
            <v>8221.84</v>
          </cell>
          <cell r="F132">
            <v>8221.84</v>
          </cell>
          <cell r="G132">
            <v>0</v>
          </cell>
          <cell r="H132">
            <v>49331</v>
          </cell>
          <cell r="I132">
            <v>49331</v>
          </cell>
          <cell r="J132">
            <v>0</v>
          </cell>
        </row>
        <row r="133">
          <cell r="A133" t="str">
            <v>6226089729</v>
          </cell>
          <cell r="B133">
            <v>62260</v>
          </cell>
          <cell r="C133">
            <v>89729</v>
          </cell>
          <cell r="D133" t="str">
            <v>Taxes - Miscellaneous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A134" t="str">
            <v>6226089786</v>
          </cell>
          <cell r="B134">
            <v>62260</v>
          </cell>
          <cell r="C134">
            <v>89786</v>
          </cell>
          <cell r="D134" t="str">
            <v>Property Tax Exp</v>
          </cell>
          <cell r="E134">
            <v>19602.68</v>
          </cell>
          <cell r="F134">
            <v>19602.68</v>
          </cell>
          <cell r="G134">
            <v>0</v>
          </cell>
          <cell r="H134">
            <v>117616</v>
          </cell>
          <cell r="I134">
            <v>117616</v>
          </cell>
          <cell r="J134">
            <v>0</v>
          </cell>
        </row>
        <row r="135">
          <cell r="A135" t="str">
            <v>6226071040</v>
          </cell>
          <cell r="B135">
            <v>62260</v>
          </cell>
          <cell r="C135">
            <v>71040</v>
          </cell>
          <cell r="D135" t="str">
            <v>Office Supplies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>6226072701</v>
          </cell>
          <cell r="B136">
            <v>62260</v>
          </cell>
          <cell r="C136">
            <v>72701</v>
          </cell>
          <cell r="D136" t="str">
            <v>Utilities</v>
          </cell>
          <cell r="E136">
            <v>0</v>
          </cell>
          <cell r="F136">
            <v>0</v>
          </cell>
          <cell r="G136">
            <v>0</v>
          </cell>
          <cell r="H136">
            <v>123.6</v>
          </cell>
          <cell r="I136">
            <v>123.6</v>
          </cell>
          <cell r="J136">
            <v>0</v>
          </cell>
        </row>
        <row r="137">
          <cell r="A137" t="str">
            <v>6226072855</v>
          </cell>
          <cell r="B137">
            <v>62260</v>
          </cell>
          <cell r="C137">
            <v>72855</v>
          </cell>
          <cell r="D137" t="str">
            <v>Rent Expense-Ground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6226072870</v>
          </cell>
          <cell r="B138">
            <v>62260</v>
          </cell>
          <cell r="C138">
            <v>72870</v>
          </cell>
          <cell r="D138" t="str">
            <v>Office Rent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6226076010</v>
          </cell>
          <cell r="B139">
            <v>62260</v>
          </cell>
          <cell r="C139">
            <v>76010</v>
          </cell>
          <cell r="D139" t="str">
            <v>Tenant Alterations</v>
          </cell>
          <cell r="E139">
            <v>101.29</v>
          </cell>
          <cell r="F139">
            <v>0</v>
          </cell>
          <cell r="G139">
            <v>101.29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6226076040</v>
          </cell>
          <cell r="B140">
            <v>62260</v>
          </cell>
          <cell r="C140">
            <v>76040</v>
          </cell>
          <cell r="D140" t="str">
            <v>HVAC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6226076051</v>
          </cell>
          <cell r="B141">
            <v>62260</v>
          </cell>
          <cell r="C141">
            <v>76051</v>
          </cell>
          <cell r="D141" t="str">
            <v>Cleaning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6226076054</v>
          </cell>
          <cell r="B142">
            <v>62260</v>
          </cell>
          <cell r="C142">
            <v>76054</v>
          </cell>
          <cell r="D142" t="str">
            <v>Bldg Maintenance &amp; Repair</v>
          </cell>
          <cell r="E142">
            <v>1510.81</v>
          </cell>
          <cell r="F142">
            <v>2600.4299999999998</v>
          </cell>
          <cell r="G142">
            <v>-1089.6199999999999</v>
          </cell>
          <cell r="H142">
            <v>10497.31</v>
          </cell>
          <cell r="I142">
            <v>10497.31</v>
          </cell>
          <cell r="J142">
            <v>0</v>
          </cell>
        </row>
        <row r="143">
          <cell r="A143" t="str">
            <v>6226076060</v>
          </cell>
          <cell r="B143">
            <v>62260</v>
          </cell>
          <cell r="C143">
            <v>76060</v>
          </cell>
          <cell r="D143" t="str">
            <v>Asbestos Abatement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6226076071</v>
          </cell>
          <cell r="B144">
            <v>62260</v>
          </cell>
          <cell r="C144">
            <v>76071</v>
          </cell>
          <cell r="D144" t="str">
            <v>Reimaging Maintenance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6226076090</v>
          </cell>
          <cell r="B145">
            <v>62260</v>
          </cell>
          <cell r="C145">
            <v>76090</v>
          </cell>
          <cell r="D145" t="str">
            <v>Parking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6226077001</v>
          </cell>
          <cell r="B146">
            <v>62260</v>
          </cell>
          <cell r="C146">
            <v>77001</v>
          </cell>
          <cell r="D146" t="str">
            <v>Grounds Maintenance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6226077022</v>
          </cell>
          <cell r="B147">
            <v>62260</v>
          </cell>
          <cell r="C147">
            <v>77022</v>
          </cell>
          <cell r="D147" t="str">
            <v>Landscaping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6226084200</v>
          </cell>
          <cell r="B148">
            <v>62260</v>
          </cell>
          <cell r="C148">
            <v>84200</v>
          </cell>
          <cell r="D148" t="str">
            <v>Marketing-Other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6226084240</v>
          </cell>
          <cell r="B149">
            <v>62260</v>
          </cell>
          <cell r="C149">
            <v>84240</v>
          </cell>
          <cell r="D149" t="str">
            <v>Marketing Leasing</v>
          </cell>
          <cell r="E149">
            <v>18.100000000000001</v>
          </cell>
          <cell r="F149">
            <v>445.16</v>
          </cell>
          <cell r="G149">
            <v>-427.06</v>
          </cell>
          <cell r="H149">
            <v>2671</v>
          </cell>
          <cell r="I149">
            <v>2671</v>
          </cell>
          <cell r="J149">
            <v>0</v>
          </cell>
        </row>
        <row r="150">
          <cell r="A150" t="str">
            <v>6226084242</v>
          </cell>
          <cell r="B150">
            <v>62260</v>
          </cell>
          <cell r="C150">
            <v>84242</v>
          </cell>
          <cell r="D150" t="str">
            <v>Marketing-Subsidy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6226084243</v>
          </cell>
          <cell r="B151">
            <v>62260</v>
          </cell>
          <cell r="C151">
            <v>84243</v>
          </cell>
          <cell r="D151" t="str">
            <v>Marketing Coordination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6226084244</v>
          </cell>
          <cell r="B152">
            <v>62260</v>
          </cell>
          <cell r="C152">
            <v>84244</v>
          </cell>
          <cell r="D152" t="str">
            <v>Marketing-Net Required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6226084265</v>
          </cell>
          <cell r="B153">
            <v>62260</v>
          </cell>
          <cell r="C153">
            <v>84265</v>
          </cell>
          <cell r="D153" t="str">
            <v>Marketing -TR-Non-Reimb.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6226088037</v>
          </cell>
          <cell r="B154">
            <v>62260</v>
          </cell>
          <cell r="C154">
            <v>88037</v>
          </cell>
          <cell r="D154" t="str">
            <v>Marketing - Leasing Office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 t="str">
            <v>6226085016</v>
          </cell>
          <cell r="B155">
            <v>62260</v>
          </cell>
          <cell r="C155">
            <v>85016</v>
          </cell>
          <cell r="D155" t="str">
            <v>Prof Svc-Attorney Outside</v>
          </cell>
          <cell r="E155">
            <v>0</v>
          </cell>
          <cell r="F155">
            <v>0</v>
          </cell>
          <cell r="G155">
            <v>0</v>
          </cell>
          <cell r="H155">
            <v>2121.8000000000002</v>
          </cell>
          <cell r="I155">
            <v>2121.8000000000002</v>
          </cell>
          <cell r="J155">
            <v>0</v>
          </cell>
        </row>
        <row r="156">
          <cell r="A156" t="str">
            <v>6226085022</v>
          </cell>
          <cell r="B156">
            <v>62260</v>
          </cell>
          <cell r="C156">
            <v>85022</v>
          </cell>
          <cell r="D156" t="str">
            <v>Prof Svc-Audit/Acctng</v>
          </cell>
          <cell r="E156">
            <v>0</v>
          </cell>
          <cell r="F156">
            <v>0</v>
          </cell>
          <cell r="G156">
            <v>0</v>
          </cell>
          <cell r="H156">
            <v>1675.14</v>
          </cell>
          <cell r="I156">
            <v>1675.14</v>
          </cell>
          <cell r="J156">
            <v>0</v>
          </cell>
        </row>
        <row r="157">
          <cell r="A157" t="str">
            <v>6226085065</v>
          </cell>
          <cell r="B157">
            <v>62260</v>
          </cell>
          <cell r="C157">
            <v>85065</v>
          </cell>
          <cell r="D157" t="str">
            <v>Professional Services Other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6226085500</v>
          </cell>
          <cell r="B158">
            <v>62260</v>
          </cell>
          <cell r="C158">
            <v>85500</v>
          </cell>
          <cell r="D158" t="str">
            <v>Consulting Services</v>
          </cell>
          <cell r="E158">
            <v>0</v>
          </cell>
          <cell r="F158">
            <v>1691.26</v>
          </cell>
          <cell r="G158">
            <v>-1691.26</v>
          </cell>
          <cell r="H158">
            <v>3802.76</v>
          </cell>
          <cell r="I158">
            <v>3802.76</v>
          </cell>
          <cell r="J158">
            <v>0</v>
          </cell>
        </row>
        <row r="159">
          <cell r="A159" t="str">
            <v>6226085566</v>
          </cell>
          <cell r="B159">
            <v>62260</v>
          </cell>
          <cell r="C159">
            <v>85566</v>
          </cell>
          <cell r="D159" t="str">
            <v>Management Fee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A160" t="str">
            <v>6226085581</v>
          </cell>
          <cell r="B160">
            <v>62260</v>
          </cell>
          <cell r="C160">
            <v>85581</v>
          </cell>
          <cell r="D160" t="str">
            <v>Bldg Admin- Salaries</v>
          </cell>
          <cell r="E160">
            <v>9267.39</v>
          </cell>
          <cell r="F160">
            <v>9267.5</v>
          </cell>
          <cell r="G160">
            <v>-0.11000000000058199</v>
          </cell>
          <cell r="H160">
            <v>58005.5</v>
          </cell>
          <cell r="I160">
            <v>58005.5</v>
          </cell>
          <cell r="J160">
            <v>0</v>
          </cell>
        </row>
        <row r="161">
          <cell r="A161" t="str">
            <v>6226085583</v>
          </cell>
          <cell r="B161">
            <v>62260</v>
          </cell>
          <cell r="C161">
            <v>85583</v>
          </cell>
          <cell r="D161" t="str">
            <v>Bldg Admin-Office Exp.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6226085530</v>
          </cell>
          <cell r="B162">
            <v>62260</v>
          </cell>
          <cell r="C162">
            <v>85530</v>
          </cell>
          <cell r="D162" t="str">
            <v>Bldg Admin - Office Exp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6226086012</v>
          </cell>
          <cell r="B163">
            <v>62260</v>
          </cell>
          <cell r="C163">
            <v>86012</v>
          </cell>
          <cell r="D163" t="str">
            <v>Regional Employee Parking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6226086037</v>
          </cell>
          <cell r="B164">
            <v>62260</v>
          </cell>
          <cell r="C164">
            <v>86037</v>
          </cell>
          <cell r="D164" t="str">
            <v>Travel &amp; Entertainment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6226083050</v>
          </cell>
          <cell r="B165">
            <v>62260</v>
          </cell>
          <cell r="C165">
            <v>83050</v>
          </cell>
          <cell r="D165" t="str">
            <v>Regional Employee Travel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6226086510</v>
          </cell>
          <cell r="B166">
            <v>62260</v>
          </cell>
          <cell r="C166">
            <v>86510</v>
          </cell>
          <cell r="D166" t="str">
            <v>Leasing Admin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6226086537</v>
          </cell>
          <cell r="B167">
            <v>62260</v>
          </cell>
          <cell r="C167">
            <v>86537</v>
          </cell>
          <cell r="D167" t="str">
            <v>Fees-Credit Reports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6226086566</v>
          </cell>
          <cell r="B168">
            <v>62260</v>
          </cell>
          <cell r="C168">
            <v>86566</v>
          </cell>
          <cell r="D168" t="str">
            <v>Insurance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6226086955</v>
          </cell>
          <cell r="B169">
            <v>62260</v>
          </cell>
          <cell r="C169">
            <v>86955</v>
          </cell>
          <cell r="D169" t="str">
            <v>Regional Temporary Labor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6226086985</v>
          </cell>
          <cell r="B170">
            <v>62260</v>
          </cell>
          <cell r="C170">
            <v>86985</v>
          </cell>
          <cell r="D170" t="str">
            <v>Purchased Svcs _ Other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6226086880</v>
          </cell>
          <cell r="B171">
            <v>62260</v>
          </cell>
          <cell r="C171">
            <v>86880</v>
          </cell>
          <cell r="D171" t="str">
            <v>Telephone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6226088710</v>
          </cell>
          <cell r="B172">
            <v>62260</v>
          </cell>
          <cell r="C172">
            <v>88710</v>
          </cell>
          <cell r="D172" t="str">
            <v>Losses-Bad Debts</v>
          </cell>
          <cell r="E172">
            <v>0</v>
          </cell>
          <cell r="F172">
            <v>0.16</v>
          </cell>
          <cell r="G172">
            <v>-0.16</v>
          </cell>
          <cell r="H172">
            <v>34808.639999999999</v>
          </cell>
          <cell r="I172">
            <v>34808.639999999999</v>
          </cell>
          <cell r="J172">
            <v>0</v>
          </cell>
        </row>
        <row r="173">
          <cell r="A173" t="str">
            <v>6226088711</v>
          </cell>
          <cell r="B173">
            <v>62260</v>
          </cell>
          <cell r="C173">
            <v>88711</v>
          </cell>
          <cell r="D173" t="str">
            <v>Losses-Bad Debts- FASB 13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6226088785</v>
          </cell>
          <cell r="B174">
            <v>62260</v>
          </cell>
          <cell r="C174">
            <v>88785</v>
          </cell>
          <cell r="D174" t="str">
            <v>Losses-Uninsured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6226088847</v>
          </cell>
          <cell r="B175">
            <v>62260</v>
          </cell>
          <cell r="C175">
            <v>88847</v>
          </cell>
          <cell r="D175" t="str">
            <v>Expenses - Other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6226088866</v>
          </cell>
          <cell r="B176">
            <v>62260</v>
          </cell>
          <cell r="C176">
            <v>88866</v>
          </cell>
          <cell r="D176" t="str">
            <v>Legal Settlements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6226088870</v>
          </cell>
          <cell r="B177">
            <v>62260</v>
          </cell>
          <cell r="C177">
            <v>88870</v>
          </cell>
          <cell r="D177" t="str">
            <v>Backside Dist-O/S Partner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6226088889</v>
          </cell>
          <cell r="B178">
            <v>62260</v>
          </cell>
          <cell r="C178">
            <v>88889</v>
          </cell>
          <cell r="D178" t="str">
            <v>Security/Safety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6226089776</v>
          </cell>
          <cell r="B179">
            <v>62260</v>
          </cell>
          <cell r="C179">
            <v>89776</v>
          </cell>
          <cell r="D179" t="str">
            <v>Assmt Dist Taxes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6226089787</v>
          </cell>
          <cell r="B180">
            <v>62260</v>
          </cell>
          <cell r="C180">
            <v>89787</v>
          </cell>
          <cell r="D180" t="str">
            <v>Property Tax Exp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6226089510</v>
          </cell>
          <cell r="B181">
            <v>62260</v>
          </cell>
          <cell r="C181">
            <v>89510</v>
          </cell>
          <cell r="D181" t="str">
            <v>Interest Expense - General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6226089511</v>
          </cell>
          <cell r="B182">
            <v>62260</v>
          </cell>
          <cell r="C182">
            <v>89511</v>
          </cell>
          <cell r="D182" t="str">
            <v>Interest Expense - Swap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6226089512</v>
          </cell>
          <cell r="B183">
            <v>62260</v>
          </cell>
          <cell r="C183">
            <v>89512</v>
          </cell>
          <cell r="D183" t="str">
            <v>Interest Expense - Accrual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6226089528</v>
          </cell>
          <cell r="B184">
            <v>62260</v>
          </cell>
          <cell r="C184">
            <v>89528</v>
          </cell>
          <cell r="D184" t="str">
            <v>Interest Expense - Loan Fees-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6226089529</v>
          </cell>
          <cell r="B185">
            <v>62260</v>
          </cell>
          <cell r="C185">
            <v>89529</v>
          </cell>
          <cell r="D185" t="str">
            <v>Interest Expense - Loan Fee A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6226089567</v>
          </cell>
          <cell r="B186">
            <v>62260</v>
          </cell>
          <cell r="C186">
            <v>89567</v>
          </cell>
          <cell r="D186" t="str">
            <v>Interest Expense - TIC/Partne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6226085058</v>
          </cell>
          <cell r="B187">
            <v>62260</v>
          </cell>
          <cell r="C187">
            <v>85058</v>
          </cell>
          <cell r="D187" t="str">
            <v>Legal Fee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6226086513</v>
          </cell>
          <cell r="B188">
            <v>62260</v>
          </cell>
          <cell r="C188">
            <v>86513</v>
          </cell>
          <cell r="D188" t="str">
            <v>Leasing Commission Amort</v>
          </cell>
          <cell r="E188">
            <v>0</v>
          </cell>
          <cell r="F188">
            <v>46.38</v>
          </cell>
          <cell r="G188">
            <v>-46.38</v>
          </cell>
          <cell r="H188">
            <v>292.10000000000002</v>
          </cell>
          <cell r="I188">
            <v>292.10000000000002</v>
          </cell>
          <cell r="J188">
            <v>0</v>
          </cell>
        </row>
        <row r="189">
          <cell r="A189" t="str">
            <v>6226086519</v>
          </cell>
          <cell r="B189">
            <v>62260</v>
          </cell>
          <cell r="C189">
            <v>86519</v>
          </cell>
          <cell r="D189" t="str">
            <v>Fees-Appraisal Amort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6226088770</v>
          </cell>
          <cell r="B190">
            <v>62260</v>
          </cell>
          <cell r="C190">
            <v>88770</v>
          </cell>
          <cell r="D190" t="str">
            <v>Losses-Prop Abandon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6226088862</v>
          </cell>
          <cell r="B191">
            <v>62260</v>
          </cell>
          <cell r="C191">
            <v>88862</v>
          </cell>
          <cell r="D191" t="str">
            <v>Lease Buy-Out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6226088874</v>
          </cell>
          <cell r="B192">
            <v>62260</v>
          </cell>
          <cell r="C192">
            <v>88874</v>
          </cell>
          <cell r="D192" t="str">
            <v>Organization Cost Amort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</row>
        <row r="193">
          <cell r="A193" t="str">
            <v>6226089910</v>
          </cell>
          <cell r="B193">
            <v>62260</v>
          </cell>
          <cell r="C193">
            <v>89910</v>
          </cell>
          <cell r="D193" t="str">
            <v>Depreciation</v>
          </cell>
          <cell r="E193">
            <v>0</v>
          </cell>
          <cell r="F193">
            <v>47200.49</v>
          </cell>
          <cell r="G193">
            <v>-47200.49</v>
          </cell>
          <cell r="H193">
            <v>283546.27</v>
          </cell>
          <cell r="I193">
            <v>283546.27</v>
          </cell>
          <cell r="J193">
            <v>0</v>
          </cell>
        </row>
        <row r="194">
          <cell r="A194" t="str">
            <v>6226089548</v>
          </cell>
          <cell r="B194">
            <v>62260</v>
          </cell>
          <cell r="C194">
            <v>89548</v>
          </cell>
          <cell r="D194" t="str">
            <v>Other Amortized Cost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6226141010</v>
          </cell>
          <cell r="B195">
            <v>62261</v>
          </cell>
          <cell r="C195">
            <v>41010</v>
          </cell>
          <cell r="D195" t="str">
            <v>Parking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6226141040</v>
          </cell>
          <cell r="B196">
            <v>62261</v>
          </cell>
          <cell r="C196">
            <v>41040</v>
          </cell>
          <cell r="D196" t="str">
            <v>Rental Income FAS 13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</row>
        <row r="197">
          <cell r="A197" t="str">
            <v>6226141050</v>
          </cell>
          <cell r="B197">
            <v>62261</v>
          </cell>
          <cell r="C197">
            <v>41050</v>
          </cell>
          <cell r="D197" t="str">
            <v>Rental Income - Fixed</v>
          </cell>
          <cell r="E197">
            <v>-87094.38</v>
          </cell>
          <cell r="F197">
            <v>-87094.38</v>
          </cell>
          <cell r="G197">
            <v>0</v>
          </cell>
          <cell r="H197">
            <v>-522566.28</v>
          </cell>
          <cell r="I197">
            <v>-522566.28</v>
          </cell>
          <cell r="J197">
            <v>0</v>
          </cell>
        </row>
        <row r="198">
          <cell r="A198" t="str">
            <v>6226141074</v>
          </cell>
          <cell r="B198">
            <v>62261</v>
          </cell>
          <cell r="C198">
            <v>41074</v>
          </cell>
          <cell r="D198" t="str">
            <v>Rental Income - Percentage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A199" t="str">
            <v>6226141082</v>
          </cell>
          <cell r="B199">
            <v>62261</v>
          </cell>
          <cell r="C199">
            <v>41082</v>
          </cell>
          <cell r="D199" t="str">
            <v>Rental Income - Operating Exp</v>
          </cell>
          <cell r="E199">
            <v>-19832.12</v>
          </cell>
          <cell r="F199">
            <v>-26435.34</v>
          </cell>
          <cell r="G199">
            <v>6603.22</v>
          </cell>
          <cell r="H199">
            <v>-158612.04</v>
          </cell>
          <cell r="I199">
            <v>-158612.04</v>
          </cell>
          <cell r="J199">
            <v>0</v>
          </cell>
        </row>
        <row r="200">
          <cell r="A200" t="str">
            <v>6226144610</v>
          </cell>
          <cell r="B200">
            <v>62261</v>
          </cell>
          <cell r="C200">
            <v>44610</v>
          </cell>
          <cell r="D200" t="str">
            <v>Marketing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6226145071</v>
          </cell>
          <cell r="B201">
            <v>62261</v>
          </cell>
          <cell r="C201">
            <v>45071</v>
          </cell>
          <cell r="D201" t="str">
            <v>Termination Fee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6226145010</v>
          </cell>
          <cell r="B202">
            <v>62261</v>
          </cell>
          <cell r="C202">
            <v>45010</v>
          </cell>
          <cell r="D202" t="str">
            <v>Bad Debt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6226145046</v>
          </cell>
          <cell r="B203">
            <v>62261</v>
          </cell>
          <cell r="C203">
            <v>45046</v>
          </cell>
          <cell r="D203" t="str">
            <v>Mgmt/Consult Fee Income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</row>
        <row r="204">
          <cell r="A204" t="str">
            <v>6226145070</v>
          </cell>
          <cell r="B204">
            <v>62261</v>
          </cell>
          <cell r="C204">
            <v>45070</v>
          </cell>
          <cell r="D204" t="str">
            <v>Other Income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A205" t="str">
            <v>6226141060</v>
          </cell>
          <cell r="B205">
            <v>62261</v>
          </cell>
          <cell r="C205">
            <v>41060</v>
          </cell>
          <cell r="D205" t="str">
            <v>Rental Income - Vacancy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6226144870</v>
          </cell>
          <cell r="B206">
            <v>62261</v>
          </cell>
          <cell r="C206">
            <v>44870</v>
          </cell>
          <cell r="D206" t="str">
            <v>Late Fees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6226152542</v>
          </cell>
          <cell r="B207">
            <v>62261</v>
          </cell>
          <cell r="C207">
            <v>52542</v>
          </cell>
          <cell r="D207" t="str">
            <v>Cost of Tenant Services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</row>
        <row r="208">
          <cell r="A208" t="str">
            <v>6226172710</v>
          </cell>
          <cell r="B208">
            <v>62261</v>
          </cell>
          <cell r="C208">
            <v>72710</v>
          </cell>
          <cell r="D208" t="str">
            <v>Utilities - Electricity</v>
          </cell>
          <cell r="E208">
            <v>291.77</v>
          </cell>
          <cell r="F208">
            <v>464.72</v>
          </cell>
          <cell r="G208">
            <v>-172.95</v>
          </cell>
          <cell r="H208">
            <v>2592</v>
          </cell>
          <cell r="I208">
            <v>2592</v>
          </cell>
          <cell r="J208">
            <v>0</v>
          </cell>
        </row>
        <row r="209">
          <cell r="A209" t="str">
            <v>6226172740</v>
          </cell>
          <cell r="B209">
            <v>62261</v>
          </cell>
          <cell r="C209">
            <v>72740</v>
          </cell>
          <cell r="D209" t="str">
            <v>Utilities - Gas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</row>
        <row r="210">
          <cell r="A210" t="str">
            <v>6226172770</v>
          </cell>
          <cell r="B210">
            <v>62261</v>
          </cell>
          <cell r="C210">
            <v>72770</v>
          </cell>
          <cell r="D210" t="str">
            <v>Utilities - Water</v>
          </cell>
          <cell r="E210">
            <v>380.08</v>
          </cell>
          <cell r="F210">
            <v>0</v>
          </cell>
          <cell r="G210">
            <v>380.08</v>
          </cell>
          <cell r="H210">
            <v>1865.29</v>
          </cell>
          <cell r="I210">
            <v>1865.29</v>
          </cell>
          <cell r="J210">
            <v>0</v>
          </cell>
        </row>
        <row r="211">
          <cell r="A211" t="str">
            <v>6226176000</v>
          </cell>
          <cell r="B211">
            <v>62261</v>
          </cell>
          <cell r="C211">
            <v>76000</v>
          </cell>
          <cell r="D211" t="str">
            <v>Bldg Maintenance &amp; Repair</v>
          </cell>
          <cell r="E211">
            <v>1.21</v>
          </cell>
          <cell r="F211">
            <v>0</v>
          </cell>
          <cell r="G211">
            <v>1.21</v>
          </cell>
          <cell r="H211">
            <v>2413.15</v>
          </cell>
          <cell r="I211">
            <v>2413.15</v>
          </cell>
          <cell r="J211">
            <v>0</v>
          </cell>
        </row>
        <row r="212">
          <cell r="A212" t="str">
            <v>6226176020</v>
          </cell>
          <cell r="B212">
            <v>62261</v>
          </cell>
          <cell r="C212">
            <v>76020</v>
          </cell>
          <cell r="D212" t="str">
            <v>Food Court Expense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6226176034</v>
          </cell>
          <cell r="B213">
            <v>62261</v>
          </cell>
          <cell r="C213">
            <v>76034</v>
          </cell>
          <cell r="D213" t="str">
            <v>Bldg. - General Repair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</row>
        <row r="214">
          <cell r="A214" t="str">
            <v>6226176050</v>
          </cell>
          <cell r="B214">
            <v>62261</v>
          </cell>
          <cell r="C214">
            <v>76050</v>
          </cell>
          <cell r="D214" t="str">
            <v>Cleaning Expense</v>
          </cell>
          <cell r="E214">
            <v>0</v>
          </cell>
          <cell r="F214">
            <v>0</v>
          </cell>
          <cell r="G214">
            <v>0</v>
          </cell>
          <cell r="H214">
            <v>655.20000000000005</v>
          </cell>
          <cell r="I214">
            <v>655.20000000000005</v>
          </cell>
          <cell r="J214">
            <v>0</v>
          </cell>
        </row>
        <row r="215">
          <cell r="A215" t="str">
            <v>6226176056</v>
          </cell>
          <cell r="B215">
            <v>62261</v>
          </cell>
          <cell r="C215">
            <v>76056</v>
          </cell>
          <cell r="D215" t="str">
            <v>Maintenance - Reimb 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6226176070</v>
          </cell>
          <cell r="B216">
            <v>62261</v>
          </cell>
          <cell r="C216">
            <v>76070</v>
          </cell>
          <cell r="D216" t="str">
            <v>Reimaging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</row>
        <row r="217">
          <cell r="A217" t="str">
            <v>6226176091</v>
          </cell>
          <cell r="B217">
            <v>62261</v>
          </cell>
          <cell r="C217">
            <v>76091</v>
          </cell>
          <cell r="D217" t="str">
            <v>Parking Maintenance</v>
          </cell>
          <cell r="E217">
            <v>1450</v>
          </cell>
          <cell r="F217">
            <v>2987</v>
          </cell>
          <cell r="G217">
            <v>-1537</v>
          </cell>
          <cell r="H217">
            <v>19139.62</v>
          </cell>
          <cell r="I217">
            <v>19139.62</v>
          </cell>
          <cell r="J217">
            <v>0</v>
          </cell>
        </row>
        <row r="218">
          <cell r="A218" t="str">
            <v>6226177000</v>
          </cell>
          <cell r="B218">
            <v>62261</v>
          </cell>
          <cell r="C218">
            <v>77000</v>
          </cell>
          <cell r="D218" t="str">
            <v>Grounds Maintenance</v>
          </cell>
          <cell r="E218">
            <v>561.23</v>
          </cell>
          <cell r="F218">
            <v>8399.82</v>
          </cell>
          <cell r="G218">
            <v>-7838.59</v>
          </cell>
          <cell r="H218">
            <v>14304.24</v>
          </cell>
          <cell r="I218">
            <v>14304.24</v>
          </cell>
          <cell r="J218">
            <v>0</v>
          </cell>
        </row>
        <row r="219">
          <cell r="A219" t="str">
            <v>6226177053</v>
          </cell>
          <cell r="B219">
            <v>62261</v>
          </cell>
          <cell r="C219">
            <v>77053</v>
          </cell>
          <cell r="D219" t="str">
            <v>Landscaping</v>
          </cell>
          <cell r="E219">
            <v>2848.28</v>
          </cell>
          <cell r="F219">
            <v>3466.63</v>
          </cell>
          <cell r="G219">
            <v>-618.35</v>
          </cell>
          <cell r="H219">
            <v>26119.47</v>
          </cell>
          <cell r="I219">
            <v>26119.47</v>
          </cell>
          <cell r="J219">
            <v>0</v>
          </cell>
        </row>
        <row r="220">
          <cell r="A220" t="str">
            <v>6226178020</v>
          </cell>
          <cell r="B220">
            <v>62261</v>
          </cell>
          <cell r="C220">
            <v>78020</v>
          </cell>
          <cell r="D220" t="str">
            <v>Amortized CAM Exp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6226184264</v>
          </cell>
          <cell r="B221">
            <v>62261</v>
          </cell>
          <cell r="C221">
            <v>84264</v>
          </cell>
          <cell r="D221" t="str">
            <v>Mktg-Tenant Relations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6226185555</v>
          </cell>
          <cell r="B222">
            <v>62261</v>
          </cell>
          <cell r="C222">
            <v>85555</v>
          </cell>
          <cell r="D222" t="str">
            <v>Management Fee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</row>
        <row r="223">
          <cell r="A223" t="str">
            <v>6226185584</v>
          </cell>
          <cell r="B223">
            <v>62261</v>
          </cell>
          <cell r="C223">
            <v>85584</v>
          </cell>
          <cell r="D223" t="str">
            <v>Bldg Admin-Office Costs</v>
          </cell>
          <cell r="E223">
            <v>414.39</v>
          </cell>
          <cell r="F223">
            <v>414.16</v>
          </cell>
          <cell r="G223">
            <v>0.22999999999996101</v>
          </cell>
          <cell r="H223">
            <v>2485</v>
          </cell>
          <cell r="I223">
            <v>2485</v>
          </cell>
          <cell r="J223">
            <v>0</v>
          </cell>
        </row>
        <row r="224">
          <cell r="A224" t="str">
            <v>6226185582</v>
          </cell>
          <cell r="B224">
            <v>62261</v>
          </cell>
          <cell r="C224">
            <v>85582</v>
          </cell>
          <cell r="D224" t="str">
            <v>Bldg Admin-Salaries</v>
          </cell>
          <cell r="E224">
            <v>2085.58</v>
          </cell>
          <cell r="F224">
            <v>2085.16</v>
          </cell>
          <cell r="G224">
            <v>0.42000000000007298</v>
          </cell>
          <cell r="H224">
            <v>13320.8</v>
          </cell>
          <cell r="I224">
            <v>13320.8</v>
          </cell>
          <cell r="J224">
            <v>0</v>
          </cell>
        </row>
        <row r="225">
          <cell r="A225" t="str">
            <v>6226186564</v>
          </cell>
          <cell r="B225">
            <v>62261</v>
          </cell>
          <cell r="C225">
            <v>86564</v>
          </cell>
          <cell r="D225" t="str">
            <v>Insurance</v>
          </cell>
          <cell r="E225">
            <v>406</v>
          </cell>
          <cell r="F225">
            <v>406.5</v>
          </cell>
          <cell r="G225">
            <v>-0.5</v>
          </cell>
          <cell r="H225">
            <v>2439</v>
          </cell>
          <cell r="I225">
            <v>2439</v>
          </cell>
          <cell r="J225">
            <v>0</v>
          </cell>
        </row>
        <row r="226">
          <cell r="A226" t="str">
            <v>6226188846</v>
          </cell>
          <cell r="B226">
            <v>62261</v>
          </cell>
          <cell r="C226">
            <v>88846</v>
          </cell>
          <cell r="D226" t="str">
            <v>Expenses -Other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</row>
        <row r="227">
          <cell r="A227" t="str">
            <v>6226188890</v>
          </cell>
          <cell r="B227">
            <v>62261</v>
          </cell>
          <cell r="C227">
            <v>88890</v>
          </cell>
          <cell r="D227" t="str">
            <v>Security/Safety</v>
          </cell>
          <cell r="E227">
            <v>400.04</v>
          </cell>
          <cell r="F227">
            <v>420.04</v>
          </cell>
          <cell r="G227">
            <v>-20</v>
          </cell>
          <cell r="H227">
            <v>2945.1</v>
          </cell>
          <cell r="I227">
            <v>2945.1</v>
          </cell>
          <cell r="J227">
            <v>0</v>
          </cell>
        </row>
        <row r="228">
          <cell r="A228" t="str">
            <v>6226189775</v>
          </cell>
          <cell r="B228">
            <v>62261</v>
          </cell>
          <cell r="C228">
            <v>89775</v>
          </cell>
          <cell r="D228" t="str">
            <v>Assmt Dist Taxes- Reimb</v>
          </cell>
          <cell r="E228">
            <v>3428.84</v>
          </cell>
          <cell r="F228">
            <v>3428.84</v>
          </cell>
          <cell r="G228">
            <v>0</v>
          </cell>
          <cell r="H228">
            <v>20573</v>
          </cell>
          <cell r="I228">
            <v>20573</v>
          </cell>
          <cell r="J228">
            <v>0</v>
          </cell>
        </row>
        <row r="229">
          <cell r="A229" t="str">
            <v>6226189729</v>
          </cell>
          <cell r="B229">
            <v>62261</v>
          </cell>
          <cell r="C229">
            <v>89729</v>
          </cell>
          <cell r="D229" t="str">
            <v>Taxes - Miscellaneous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</row>
        <row r="230">
          <cell r="A230" t="str">
            <v>6226189786</v>
          </cell>
          <cell r="B230">
            <v>62261</v>
          </cell>
          <cell r="C230">
            <v>89786</v>
          </cell>
          <cell r="D230" t="str">
            <v>Property Tax Exp</v>
          </cell>
          <cell r="E230">
            <v>5377</v>
          </cell>
          <cell r="F230">
            <v>5377</v>
          </cell>
          <cell r="G230">
            <v>0</v>
          </cell>
          <cell r="H230">
            <v>32262</v>
          </cell>
          <cell r="I230">
            <v>32262</v>
          </cell>
          <cell r="J230">
            <v>0</v>
          </cell>
        </row>
        <row r="231">
          <cell r="A231" t="str">
            <v>6226171040</v>
          </cell>
          <cell r="B231">
            <v>62261</v>
          </cell>
          <cell r="C231">
            <v>71040</v>
          </cell>
          <cell r="D231" t="str">
            <v>Office Supplies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>6226172701</v>
          </cell>
          <cell r="B232">
            <v>62261</v>
          </cell>
          <cell r="C232">
            <v>72701</v>
          </cell>
          <cell r="D232" t="str">
            <v>Utilities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6226172855</v>
          </cell>
          <cell r="B233">
            <v>62261</v>
          </cell>
          <cell r="C233">
            <v>72855</v>
          </cell>
          <cell r="D233" t="str">
            <v>Rent Expense-Ground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6226172870</v>
          </cell>
          <cell r="B234">
            <v>62261</v>
          </cell>
          <cell r="C234">
            <v>72870</v>
          </cell>
          <cell r="D234" t="str">
            <v>Office Rent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6226176010</v>
          </cell>
          <cell r="B235">
            <v>62261</v>
          </cell>
          <cell r="C235">
            <v>76010</v>
          </cell>
          <cell r="D235" t="str">
            <v>Tenant Alterations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6226176040</v>
          </cell>
          <cell r="B236">
            <v>62261</v>
          </cell>
          <cell r="C236">
            <v>76040</v>
          </cell>
          <cell r="D236" t="str">
            <v>HVAC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6226176051</v>
          </cell>
          <cell r="B237">
            <v>62261</v>
          </cell>
          <cell r="C237">
            <v>76051</v>
          </cell>
          <cell r="D237" t="str">
            <v>Cleaning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</row>
        <row r="238">
          <cell r="A238" t="str">
            <v>6226176054</v>
          </cell>
          <cell r="B238">
            <v>62261</v>
          </cell>
          <cell r="C238">
            <v>76054</v>
          </cell>
          <cell r="D238" t="str">
            <v>Bldg Maintenance &amp; Repair</v>
          </cell>
          <cell r="E238">
            <v>0</v>
          </cell>
          <cell r="F238">
            <v>0</v>
          </cell>
          <cell r="G238">
            <v>0</v>
          </cell>
          <cell r="H238">
            <v>2.36</v>
          </cell>
          <cell r="I238">
            <v>2.36</v>
          </cell>
          <cell r="J238">
            <v>0</v>
          </cell>
        </row>
        <row r="239">
          <cell r="A239" t="str">
            <v>6226176060</v>
          </cell>
          <cell r="B239">
            <v>62261</v>
          </cell>
          <cell r="C239">
            <v>76060</v>
          </cell>
          <cell r="D239" t="str">
            <v>Asbestos Abatement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6226176071</v>
          </cell>
          <cell r="B240">
            <v>62261</v>
          </cell>
          <cell r="C240">
            <v>76071</v>
          </cell>
          <cell r="D240" t="str">
            <v>Reimaging Maintenance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6226176090</v>
          </cell>
          <cell r="B241">
            <v>62261</v>
          </cell>
          <cell r="C241">
            <v>76090</v>
          </cell>
          <cell r="D241" t="str">
            <v>Parking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6226177001</v>
          </cell>
          <cell r="B242">
            <v>62261</v>
          </cell>
          <cell r="C242">
            <v>77001</v>
          </cell>
          <cell r="D242" t="str">
            <v>Grounds Maintenance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6226177022</v>
          </cell>
          <cell r="B243">
            <v>62261</v>
          </cell>
          <cell r="C243">
            <v>77022</v>
          </cell>
          <cell r="D243" t="str">
            <v>Landscaping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6226184200</v>
          </cell>
          <cell r="B244">
            <v>62261</v>
          </cell>
          <cell r="C244">
            <v>84200</v>
          </cell>
          <cell r="D244" t="str">
            <v>Marketing-Other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</row>
        <row r="245">
          <cell r="A245" t="str">
            <v>6226184240</v>
          </cell>
          <cell r="B245">
            <v>62261</v>
          </cell>
          <cell r="C245">
            <v>84240</v>
          </cell>
          <cell r="D245" t="str">
            <v>Marketing Leasing</v>
          </cell>
          <cell r="E245">
            <v>4.05</v>
          </cell>
          <cell r="F245">
            <v>98.84</v>
          </cell>
          <cell r="G245">
            <v>-94.79</v>
          </cell>
          <cell r="H245">
            <v>593</v>
          </cell>
          <cell r="I245">
            <v>593</v>
          </cell>
          <cell r="J245">
            <v>0</v>
          </cell>
        </row>
        <row r="246">
          <cell r="A246" t="str">
            <v>6226184242</v>
          </cell>
          <cell r="B246">
            <v>62261</v>
          </cell>
          <cell r="C246">
            <v>84242</v>
          </cell>
          <cell r="D246" t="str">
            <v>Marketing-Subsidy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6226184243</v>
          </cell>
          <cell r="B247">
            <v>62261</v>
          </cell>
          <cell r="C247">
            <v>84243</v>
          </cell>
          <cell r="D247" t="str">
            <v>Marketing Coordination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6226184244</v>
          </cell>
          <cell r="B248">
            <v>62261</v>
          </cell>
          <cell r="C248">
            <v>84244</v>
          </cell>
          <cell r="D248" t="str">
            <v>Marketing-Net Required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6226184265</v>
          </cell>
          <cell r="B249">
            <v>62261</v>
          </cell>
          <cell r="C249">
            <v>84265</v>
          </cell>
          <cell r="D249" t="str">
            <v>Marketing -TR-Non-Reimb.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6226188037</v>
          </cell>
          <cell r="B250">
            <v>62261</v>
          </cell>
          <cell r="C250">
            <v>88037</v>
          </cell>
          <cell r="D250" t="str">
            <v>Marketing - Leasing Office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</row>
        <row r="251">
          <cell r="A251" t="str">
            <v>6226185016</v>
          </cell>
          <cell r="B251">
            <v>62261</v>
          </cell>
          <cell r="C251">
            <v>85016</v>
          </cell>
          <cell r="D251" t="str">
            <v>Prof Svc-Attorney Outside</v>
          </cell>
          <cell r="E251">
            <v>870.55</v>
          </cell>
          <cell r="F251">
            <v>0</v>
          </cell>
          <cell r="G251">
            <v>870.55</v>
          </cell>
          <cell r="H251">
            <v>7032.84</v>
          </cell>
          <cell r="I251">
            <v>7032.84</v>
          </cell>
          <cell r="J251">
            <v>0</v>
          </cell>
        </row>
        <row r="252">
          <cell r="A252" t="str">
            <v>6226185022</v>
          </cell>
          <cell r="B252">
            <v>62261</v>
          </cell>
          <cell r="C252">
            <v>85022</v>
          </cell>
          <cell r="D252" t="str">
            <v>Prof Svc-Audit/Acctng</v>
          </cell>
          <cell r="E252">
            <v>0</v>
          </cell>
          <cell r="F252">
            <v>0</v>
          </cell>
          <cell r="G252">
            <v>0</v>
          </cell>
          <cell r="H252">
            <v>1051.99</v>
          </cell>
          <cell r="I252">
            <v>1051.99</v>
          </cell>
          <cell r="J252">
            <v>0</v>
          </cell>
        </row>
        <row r="253">
          <cell r="A253" t="str">
            <v>6226185065</v>
          </cell>
          <cell r="B253">
            <v>62261</v>
          </cell>
          <cell r="C253">
            <v>85065</v>
          </cell>
          <cell r="D253" t="str">
            <v>Professional Services Other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 t="str">
            <v>6226185500</v>
          </cell>
          <cell r="B254">
            <v>62261</v>
          </cell>
          <cell r="C254">
            <v>85500</v>
          </cell>
          <cell r="D254" t="str">
            <v>Consulting Services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6226185566</v>
          </cell>
          <cell r="B255">
            <v>62261</v>
          </cell>
          <cell r="C255">
            <v>85566</v>
          </cell>
          <cell r="D255" t="str">
            <v>Management Fee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</row>
        <row r="256">
          <cell r="A256" t="str">
            <v>6226185581</v>
          </cell>
          <cell r="B256">
            <v>62261</v>
          </cell>
          <cell r="C256">
            <v>85581</v>
          </cell>
          <cell r="D256" t="str">
            <v>Bldg Admin- Salaries</v>
          </cell>
          <cell r="E256">
            <v>1915.74</v>
          </cell>
          <cell r="F256">
            <v>1915.66</v>
          </cell>
          <cell r="G256">
            <v>7.9999999999927199E-2</v>
          </cell>
          <cell r="H256">
            <v>12022.3</v>
          </cell>
          <cell r="I256">
            <v>12022.3</v>
          </cell>
          <cell r="J256">
            <v>0</v>
          </cell>
        </row>
        <row r="257">
          <cell r="A257" t="str">
            <v>6226185583</v>
          </cell>
          <cell r="B257">
            <v>62261</v>
          </cell>
          <cell r="C257">
            <v>85583</v>
          </cell>
          <cell r="D257" t="str">
            <v>Bldg Admin-Office Exp.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6226185530</v>
          </cell>
          <cell r="B258">
            <v>62261</v>
          </cell>
          <cell r="C258">
            <v>85530</v>
          </cell>
          <cell r="D258" t="str">
            <v>Bldg Admin - Office Exp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6226186012</v>
          </cell>
          <cell r="B259">
            <v>62261</v>
          </cell>
          <cell r="C259">
            <v>86012</v>
          </cell>
          <cell r="D259" t="str">
            <v>Regional Employee Parking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6226186037</v>
          </cell>
          <cell r="B260">
            <v>62261</v>
          </cell>
          <cell r="C260">
            <v>86037</v>
          </cell>
          <cell r="D260" t="str">
            <v>Travel &amp; Entertainment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6226183050</v>
          </cell>
          <cell r="B261">
            <v>62261</v>
          </cell>
          <cell r="C261">
            <v>83050</v>
          </cell>
          <cell r="D261" t="str">
            <v>Regional Employee Travel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6226186510</v>
          </cell>
          <cell r="B262">
            <v>62261</v>
          </cell>
          <cell r="C262">
            <v>86510</v>
          </cell>
          <cell r="D262" t="str">
            <v>Leasing Admin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6226186537</v>
          </cell>
          <cell r="B263">
            <v>62261</v>
          </cell>
          <cell r="C263">
            <v>86537</v>
          </cell>
          <cell r="D263" t="str">
            <v>Fees-Credit Reports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6226186566</v>
          </cell>
          <cell r="B264">
            <v>62261</v>
          </cell>
          <cell r="C264">
            <v>86566</v>
          </cell>
          <cell r="D264" t="str">
            <v>Insurance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6226186955</v>
          </cell>
          <cell r="B265">
            <v>62261</v>
          </cell>
          <cell r="C265">
            <v>86955</v>
          </cell>
          <cell r="D265" t="str">
            <v>Regional Temporary Labor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6226186985</v>
          </cell>
          <cell r="B266">
            <v>62261</v>
          </cell>
          <cell r="C266">
            <v>86985</v>
          </cell>
          <cell r="D266" t="str">
            <v>Purchased Svcs _ Other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6226186880</v>
          </cell>
          <cell r="B267">
            <v>62261</v>
          </cell>
          <cell r="C267">
            <v>86880</v>
          </cell>
          <cell r="D267" t="str">
            <v>Telephone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6226188710</v>
          </cell>
          <cell r="B268">
            <v>62261</v>
          </cell>
          <cell r="C268">
            <v>88710</v>
          </cell>
          <cell r="D268" t="str">
            <v>Losses-Bad Debts</v>
          </cell>
          <cell r="E268">
            <v>0</v>
          </cell>
          <cell r="F268">
            <v>0.16</v>
          </cell>
          <cell r="G268">
            <v>-0.16</v>
          </cell>
          <cell r="H268">
            <v>6812.56</v>
          </cell>
          <cell r="I268">
            <v>6812.56</v>
          </cell>
          <cell r="J268">
            <v>0</v>
          </cell>
        </row>
        <row r="269">
          <cell r="A269" t="str">
            <v>6226188711</v>
          </cell>
          <cell r="B269">
            <v>62261</v>
          </cell>
          <cell r="C269">
            <v>88711</v>
          </cell>
          <cell r="D269" t="str">
            <v>Losses-Bad Debts- FASB 13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6226188785</v>
          </cell>
          <cell r="B270">
            <v>62261</v>
          </cell>
          <cell r="C270">
            <v>88785</v>
          </cell>
          <cell r="D270" t="str">
            <v>Losses-Uninsured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6226188847</v>
          </cell>
          <cell r="B271">
            <v>62261</v>
          </cell>
          <cell r="C271">
            <v>88847</v>
          </cell>
          <cell r="D271" t="str">
            <v>Expenses - Other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6226188866</v>
          </cell>
          <cell r="B272">
            <v>62261</v>
          </cell>
          <cell r="C272">
            <v>88866</v>
          </cell>
          <cell r="D272" t="str">
            <v>Legal Settlements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6226188870</v>
          </cell>
          <cell r="B273">
            <v>62261</v>
          </cell>
          <cell r="C273">
            <v>88870</v>
          </cell>
          <cell r="D273" t="str">
            <v>Backside Dist-O/S Partner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6226188889</v>
          </cell>
          <cell r="B274">
            <v>62261</v>
          </cell>
          <cell r="C274">
            <v>88889</v>
          </cell>
          <cell r="D274" t="str">
            <v>Security/Safety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6226189776</v>
          </cell>
          <cell r="B275">
            <v>62261</v>
          </cell>
          <cell r="C275">
            <v>89776</v>
          </cell>
          <cell r="D275" t="str">
            <v>Assmt Dist Taxes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6226189787</v>
          </cell>
          <cell r="B276">
            <v>62261</v>
          </cell>
          <cell r="C276">
            <v>89787</v>
          </cell>
          <cell r="D276" t="str">
            <v>Property Tax Exp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6226189510</v>
          </cell>
          <cell r="B277">
            <v>62261</v>
          </cell>
          <cell r="C277">
            <v>89510</v>
          </cell>
          <cell r="D277" t="str">
            <v>Interest Expense - General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6226189511</v>
          </cell>
          <cell r="B278">
            <v>62261</v>
          </cell>
          <cell r="C278">
            <v>89511</v>
          </cell>
          <cell r="D278" t="str">
            <v>Interest Expense - Swap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6226189512</v>
          </cell>
          <cell r="B279">
            <v>62261</v>
          </cell>
          <cell r="C279">
            <v>89512</v>
          </cell>
          <cell r="D279" t="str">
            <v>Interest Expense - Accrual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6226189528</v>
          </cell>
          <cell r="B280">
            <v>62261</v>
          </cell>
          <cell r="C280">
            <v>89528</v>
          </cell>
          <cell r="D280" t="str">
            <v>Interest Expense - Loan Fees-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>6226189529</v>
          </cell>
          <cell r="B281">
            <v>62261</v>
          </cell>
          <cell r="C281">
            <v>89529</v>
          </cell>
          <cell r="D281" t="str">
            <v>Interest Expense - Loan Fee A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6226189567</v>
          </cell>
          <cell r="B282">
            <v>62261</v>
          </cell>
          <cell r="C282">
            <v>89567</v>
          </cell>
          <cell r="D282" t="str">
            <v>Interest Expense - TIC/Partne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6226185058</v>
          </cell>
          <cell r="B283">
            <v>62261</v>
          </cell>
          <cell r="C283">
            <v>85058</v>
          </cell>
          <cell r="D283" t="str">
            <v>Legal Fee Amort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</row>
        <row r="284">
          <cell r="A284" t="str">
            <v>6226186513</v>
          </cell>
          <cell r="B284">
            <v>62261</v>
          </cell>
          <cell r="C284">
            <v>86513</v>
          </cell>
          <cell r="D284" t="str">
            <v>Leasing Commission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6226186519</v>
          </cell>
          <cell r="B285">
            <v>62261</v>
          </cell>
          <cell r="C285">
            <v>86519</v>
          </cell>
          <cell r="D285" t="str">
            <v>Fees-Appraisal Amort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6226188770</v>
          </cell>
          <cell r="B286">
            <v>62261</v>
          </cell>
          <cell r="C286">
            <v>88770</v>
          </cell>
          <cell r="D286" t="str">
            <v>Losses-Prop Abandon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6226188862</v>
          </cell>
          <cell r="B287">
            <v>62261</v>
          </cell>
          <cell r="C287">
            <v>88862</v>
          </cell>
          <cell r="D287" t="str">
            <v>Lease Buy-Out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6226188874</v>
          </cell>
          <cell r="B288">
            <v>62261</v>
          </cell>
          <cell r="C288">
            <v>88874</v>
          </cell>
          <cell r="D288" t="str">
            <v>Organization Cost Amort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</row>
        <row r="289">
          <cell r="A289" t="str">
            <v>6226189910</v>
          </cell>
          <cell r="B289">
            <v>62261</v>
          </cell>
          <cell r="C289">
            <v>89910</v>
          </cell>
          <cell r="D289" t="str">
            <v>Depreciation</v>
          </cell>
          <cell r="E289">
            <v>0</v>
          </cell>
          <cell r="F289">
            <v>3013.61</v>
          </cell>
          <cell r="G289">
            <v>-3013.61</v>
          </cell>
          <cell r="H289">
            <v>18081.68</v>
          </cell>
          <cell r="I289">
            <v>18081.68</v>
          </cell>
          <cell r="J289">
            <v>0</v>
          </cell>
        </row>
        <row r="290">
          <cell r="A290" t="str">
            <v>6226189548</v>
          </cell>
          <cell r="B290">
            <v>62261</v>
          </cell>
          <cell r="C290">
            <v>89548</v>
          </cell>
          <cell r="D290" t="str">
            <v>Other Amortized Cost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6227041010</v>
          </cell>
          <cell r="B291">
            <v>62270</v>
          </cell>
          <cell r="C291">
            <v>41010</v>
          </cell>
          <cell r="D291" t="str">
            <v>Parking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6227041040</v>
          </cell>
          <cell r="B292">
            <v>62270</v>
          </cell>
          <cell r="C292">
            <v>41040</v>
          </cell>
          <cell r="D292" t="str">
            <v>Rental Income FAS 13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</row>
        <row r="293">
          <cell r="A293" t="str">
            <v>6227041050</v>
          </cell>
          <cell r="B293">
            <v>62270</v>
          </cell>
          <cell r="C293">
            <v>41050</v>
          </cell>
          <cell r="D293" t="str">
            <v>Rental Income - Fixed</v>
          </cell>
          <cell r="E293">
            <v>-833458.51</v>
          </cell>
          <cell r="F293">
            <v>-831898.51</v>
          </cell>
          <cell r="G293">
            <v>-1560</v>
          </cell>
          <cell r="H293">
            <v>-5103929.24</v>
          </cell>
          <cell r="I293">
            <v>-5103929.24</v>
          </cell>
          <cell r="J293">
            <v>0</v>
          </cell>
        </row>
        <row r="294">
          <cell r="A294" t="str">
            <v>6227041074</v>
          </cell>
          <cell r="B294">
            <v>62270</v>
          </cell>
          <cell r="C294">
            <v>41074</v>
          </cell>
          <cell r="D294" t="str">
            <v>Rental Income - Percentage</v>
          </cell>
          <cell r="E294">
            <v>-4128.25</v>
          </cell>
          <cell r="F294">
            <v>0</v>
          </cell>
          <cell r="G294">
            <v>-4128.25</v>
          </cell>
          <cell r="H294">
            <v>-13990</v>
          </cell>
          <cell r="I294">
            <v>-13990</v>
          </cell>
          <cell r="J294">
            <v>0</v>
          </cell>
        </row>
        <row r="295">
          <cell r="A295" t="str">
            <v>6227041082</v>
          </cell>
          <cell r="B295">
            <v>62270</v>
          </cell>
          <cell r="C295">
            <v>41082</v>
          </cell>
          <cell r="D295" t="str">
            <v>Rental Income - Operating Exp</v>
          </cell>
          <cell r="E295">
            <v>-215278.65</v>
          </cell>
          <cell r="F295">
            <v>-242324.2</v>
          </cell>
          <cell r="G295">
            <v>27045.55</v>
          </cell>
          <cell r="H295">
            <v>-1453945.2</v>
          </cell>
          <cell r="I295">
            <v>-1453945.2</v>
          </cell>
          <cell r="J295">
            <v>0</v>
          </cell>
        </row>
        <row r="296">
          <cell r="A296" t="str">
            <v>6227044610</v>
          </cell>
          <cell r="B296">
            <v>62270</v>
          </cell>
          <cell r="C296">
            <v>44610</v>
          </cell>
          <cell r="D296" t="str">
            <v>Marketing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6227045071</v>
          </cell>
          <cell r="B297">
            <v>62270</v>
          </cell>
          <cell r="C297">
            <v>45071</v>
          </cell>
          <cell r="D297" t="str">
            <v>Termination Fee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6227045010</v>
          </cell>
          <cell r="B298">
            <v>62270</v>
          </cell>
          <cell r="C298">
            <v>45010</v>
          </cell>
          <cell r="D298" t="str">
            <v>Bad Debt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6227045046</v>
          </cell>
          <cell r="B299">
            <v>62270</v>
          </cell>
          <cell r="C299">
            <v>45046</v>
          </cell>
          <cell r="D299" t="str">
            <v>Mgmt/Consult Fee Income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6227045070</v>
          </cell>
          <cell r="B300">
            <v>62270</v>
          </cell>
          <cell r="C300">
            <v>45070</v>
          </cell>
          <cell r="D300" t="str">
            <v>Other Income</v>
          </cell>
          <cell r="E300">
            <v>-8000</v>
          </cell>
          <cell r="F300">
            <v>0</v>
          </cell>
          <cell r="G300">
            <v>-8000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6227041060</v>
          </cell>
          <cell r="B301">
            <v>62270</v>
          </cell>
          <cell r="C301">
            <v>41060</v>
          </cell>
          <cell r="D301" t="str">
            <v>Rental Income - Vacancy</v>
          </cell>
          <cell r="E301">
            <v>0</v>
          </cell>
          <cell r="F301">
            <v>10953.16</v>
          </cell>
          <cell r="G301">
            <v>-10953.16</v>
          </cell>
          <cell r="H301">
            <v>65719</v>
          </cell>
          <cell r="I301">
            <v>65719</v>
          </cell>
          <cell r="J301">
            <v>0</v>
          </cell>
        </row>
        <row r="302">
          <cell r="A302" t="str">
            <v>6227044870</v>
          </cell>
          <cell r="B302">
            <v>62270</v>
          </cell>
          <cell r="C302">
            <v>44870</v>
          </cell>
          <cell r="D302" t="str">
            <v>Late Fees</v>
          </cell>
          <cell r="E302">
            <v>0</v>
          </cell>
          <cell r="F302">
            <v>0</v>
          </cell>
          <cell r="G302">
            <v>0</v>
          </cell>
          <cell r="H302">
            <v>-1030</v>
          </cell>
          <cell r="I302">
            <v>-1030</v>
          </cell>
          <cell r="J302">
            <v>0</v>
          </cell>
        </row>
        <row r="303">
          <cell r="A303" t="str">
            <v>6227052542</v>
          </cell>
          <cell r="B303">
            <v>62270</v>
          </cell>
          <cell r="C303">
            <v>52542</v>
          </cell>
          <cell r="D303" t="str">
            <v>Cost of Tenant Services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</row>
        <row r="304">
          <cell r="A304" t="str">
            <v>6227072710</v>
          </cell>
          <cell r="B304">
            <v>62270</v>
          </cell>
          <cell r="C304">
            <v>72710</v>
          </cell>
          <cell r="D304" t="str">
            <v>Utilities - Electricity</v>
          </cell>
          <cell r="E304">
            <v>6628.72</v>
          </cell>
          <cell r="F304">
            <v>7616.68</v>
          </cell>
          <cell r="G304">
            <v>-987.96</v>
          </cell>
          <cell r="H304">
            <v>56077.34</v>
          </cell>
          <cell r="I304">
            <v>56077.34</v>
          </cell>
          <cell r="J304">
            <v>0</v>
          </cell>
        </row>
        <row r="305">
          <cell r="A305" t="str">
            <v>6227072740</v>
          </cell>
          <cell r="B305">
            <v>62270</v>
          </cell>
          <cell r="C305">
            <v>72740</v>
          </cell>
          <cell r="D305" t="str">
            <v>Utilities - Gas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6227072770</v>
          </cell>
          <cell r="B306">
            <v>62270</v>
          </cell>
          <cell r="C306">
            <v>72770</v>
          </cell>
          <cell r="D306" t="str">
            <v>Utilities - Water</v>
          </cell>
          <cell r="E306">
            <v>4467.5</v>
          </cell>
          <cell r="F306">
            <v>2051.69</v>
          </cell>
          <cell r="G306">
            <v>2415.81</v>
          </cell>
          <cell r="H306">
            <v>19157.189999999999</v>
          </cell>
          <cell r="I306">
            <v>19157.189999999999</v>
          </cell>
          <cell r="J306">
            <v>0</v>
          </cell>
        </row>
        <row r="307">
          <cell r="A307" t="str">
            <v>6227076000</v>
          </cell>
          <cell r="B307">
            <v>62270</v>
          </cell>
          <cell r="C307">
            <v>76000</v>
          </cell>
          <cell r="D307" t="str">
            <v>Bldg Maintenance &amp; Repair</v>
          </cell>
          <cell r="E307">
            <v>4528.83</v>
          </cell>
          <cell r="F307">
            <v>4582.8</v>
          </cell>
          <cell r="G307">
            <v>-53.970000000000297</v>
          </cell>
          <cell r="H307">
            <v>63292.58</v>
          </cell>
          <cell r="I307">
            <v>63292.58</v>
          </cell>
          <cell r="J307">
            <v>0</v>
          </cell>
        </row>
        <row r="308">
          <cell r="A308" t="str">
            <v>6227076020</v>
          </cell>
          <cell r="B308">
            <v>62270</v>
          </cell>
          <cell r="C308">
            <v>76020</v>
          </cell>
          <cell r="D308" t="str">
            <v>Food Court Expense</v>
          </cell>
          <cell r="E308">
            <v>1700</v>
          </cell>
          <cell r="F308">
            <v>1751</v>
          </cell>
          <cell r="G308">
            <v>-51</v>
          </cell>
          <cell r="H308">
            <v>10712</v>
          </cell>
          <cell r="I308">
            <v>10712</v>
          </cell>
          <cell r="J308">
            <v>0</v>
          </cell>
        </row>
        <row r="309">
          <cell r="A309" t="str">
            <v>6227076034</v>
          </cell>
          <cell r="B309">
            <v>62270</v>
          </cell>
          <cell r="C309">
            <v>76034</v>
          </cell>
          <cell r="D309" t="str">
            <v>Bldg. - General Repair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6227076050</v>
          </cell>
          <cell r="B310">
            <v>62270</v>
          </cell>
          <cell r="C310">
            <v>76050</v>
          </cell>
          <cell r="D310" t="str">
            <v>Cleaning Expense</v>
          </cell>
          <cell r="E310">
            <v>15340.76</v>
          </cell>
          <cell r="F310">
            <v>13050.32</v>
          </cell>
          <cell r="G310">
            <v>2290.44</v>
          </cell>
          <cell r="H310">
            <v>77274.210000000006</v>
          </cell>
          <cell r="I310">
            <v>77274.210000000006</v>
          </cell>
          <cell r="J310">
            <v>0</v>
          </cell>
        </row>
        <row r="311">
          <cell r="A311" t="str">
            <v>6227076056</v>
          </cell>
          <cell r="B311">
            <v>62270</v>
          </cell>
          <cell r="C311">
            <v>76056</v>
          </cell>
          <cell r="D311" t="str">
            <v>Maintenance - Reimb 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6227076070</v>
          </cell>
          <cell r="B312">
            <v>62270</v>
          </cell>
          <cell r="C312">
            <v>76070</v>
          </cell>
          <cell r="D312" t="str">
            <v>Reimaging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</row>
        <row r="313">
          <cell r="A313" t="str">
            <v>6227076091</v>
          </cell>
          <cell r="B313">
            <v>62270</v>
          </cell>
          <cell r="C313">
            <v>76091</v>
          </cell>
          <cell r="D313" t="str">
            <v>Parking Maintenance</v>
          </cell>
          <cell r="E313">
            <v>7742.24</v>
          </cell>
          <cell r="F313">
            <v>7519</v>
          </cell>
          <cell r="G313">
            <v>223.24</v>
          </cell>
          <cell r="H313">
            <v>59121.55</v>
          </cell>
          <cell r="I313">
            <v>59121.55</v>
          </cell>
          <cell r="J313">
            <v>0</v>
          </cell>
        </row>
        <row r="314">
          <cell r="A314" t="str">
            <v>6227077000</v>
          </cell>
          <cell r="B314">
            <v>62270</v>
          </cell>
          <cell r="C314">
            <v>77000</v>
          </cell>
          <cell r="D314" t="str">
            <v>Grounds Maintenance</v>
          </cell>
          <cell r="E314">
            <v>6677.95</v>
          </cell>
          <cell r="F314">
            <v>6034.57</v>
          </cell>
          <cell r="G314">
            <v>643.38</v>
          </cell>
          <cell r="H314">
            <v>74511.91</v>
          </cell>
          <cell r="I314">
            <v>74511.91</v>
          </cell>
          <cell r="J314">
            <v>0</v>
          </cell>
        </row>
        <row r="315">
          <cell r="A315" t="str">
            <v>6227077053</v>
          </cell>
          <cell r="B315">
            <v>62270</v>
          </cell>
          <cell r="C315">
            <v>77053</v>
          </cell>
          <cell r="D315" t="str">
            <v>Landscaping</v>
          </cell>
          <cell r="E315">
            <v>9455</v>
          </cell>
          <cell r="F315">
            <v>10207.67</v>
          </cell>
          <cell r="G315">
            <v>-752.67</v>
          </cell>
          <cell r="H315">
            <v>125364.17</v>
          </cell>
          <cell r="I315">
            <v>125364.17</v>
          </cell>
          <cell r="J315">
            <v>0</v>
          </cell>
        </row>
        <row r="316">
          <cell r="A316" t="str">
            <v>6227078020</v>
          </cell>
          <cell r="B316">
            <v>62270</v>
          </cell>
          <cell r="C316">
            <v>78020</v>
          </cell>
          <cell r="D316" t="str">
            <v>Amortized CAM Exp</v>
          </cell>
          <cell r="E316">
            <v>13508.4</v>
          </cell>
          <cell r="F316">
            <v>13508.34</v>
          </cell>
          <cell r="G316">
            <v>5.9999999999490697E-2</v>
          </cell>
          <cell r="H316">
            <v>88050</v>
          </cell>
          <cell r="I316">
            <v>88050</v>
          </cell>
          <cell r="J316">
            <v>0</v>
          </cell>
        </row>
        <row r="317">
          <cell r="A317" t="str">
            <v>6227084264</v>
          </cell>
          <cell r="B317">
            <v>62270</v>
          </cell>
          <cell r="C317">
            <v>84264</v>
          </cell>
          <cell r="D317" t="str">
            <v>Mktg-Tenant Relations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6227085555</v>
          </cell>
          <cell r="B318">
            <v>62270</v>
          </cell>
          <cell r="C318">
            <v>85555</v>
          </cell>
          <cell r="D318" t="str">
            <v>Management Fee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</row>
        <row r="319">
          <cell r="A319" t="str">
            <v>6227085584</v>
          </cell>
          <cell r="B319">
            <v>62270</v>
          </cell>
          <cell r="C319">
            <v>85584</v>
          </cell>
          <cell r="D319" t="str">
            <v>Bldg Admin-Office Costs</v>
          </cell>
          <cell r="E319">
            <v>5206.66</v>
          </cell>
          <cell r="F319">
            <v>5207</v>
          </cell>
          <cell r="G319">
            <v>-0.34000000000014602</v>
          </cell>
          <cell r="H319">
            <v>31242</v>
          </cell>
          <cell r="I319">
            <v>31242</v>
          </cell>
          <cell r="J319">
            <v>0</v>
          </cell>
        </row>
        <row r="320">
          <cell r="A320" t="str">
            <v>6227085582</v>
          </cell>
          <cell r="B320">
            <v>62270</v>
          </cell>
          <cell r="C320">
            <v>85582</v>
          </cell>
          <cell r="D320" t="str">
            <v>Bldg Admin-Salaries</v>
          </cell>
          <cell r="E320">
            <v>26259.13</v>
          </cell>
          <cell r="F320">
            <v>26220.84</v>
          </cell>
          <cell r="G320">
            <v>38.290000000000902</v>
          </cell>
          <cell r="H320">
            <v>167507.20000000001</v>
          </cell>
          <cell r="I320">
            <v>167507.20000000001</v>
          </cell>
          <cell r="J320">
            <v>0</v>
          </cell>
        </row>
        <row r="321">
          <cell r="A321" t="str">
            <v>6227086564</v>
          </cell>
          <cell r="B321">
            <v>62270</v>
          </cell>
          <cell r="C321">
            <v>86564</v>
          </cell>
          <cell r="D321" t="str">
            <v>Insurance</v>
          </cell>
          <cell r="E321">
            <v>15485</v>
          </cell>
          <cell r="F321">
            <v>15484.84</v>
          </cell>
          <cell r="G321">
            <v>0.15999999999985401</v>
          </cell>
          <cell r="H321">
            <v>92909</v>
          </cell>
          <cell r="I321">
            <v>92909</v>
          </cell>
          <cell r="J321">
            <v>0</v>
          </cell>
        </row>
        <row r="322">
          <cell r="A322" t="str">
            <v>6227088846</v>
          </cell>
          <cell r="B322">
            <v>62270</v>
          </cell>
          <cell r="C322">
            <v>88846</v>
          </cell>
          <cell r="D322" t="str">
            <v>Expenses -Other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</row>
        <row r="323">
          <cell r="A323" t="str">
            <v>6227088890</v>
          </cell>
          <cell r="B323">
            <v>62270</v>
          </cell>
          <cell r="C323">
            <v>88890</v>
          </cell>
          <cell r="D323" t="str">
            <v>Security/Safety</v>
          </cell>
          <cell r="E323">
            <v>7341.88</v>
          </cell>
          <cell r="F323">
            <v>6027.01</v>
          </cell>
          <cell r="G323">
            <v>1314.87</v>
          </cell>
          <cell r="H323">
            <v>36486.82</v>
          </cell>
          <cell r="I323">
            <v>36486.82</v>
          </cell>
          <cell r="J323">
            <v>0</v>
          </cell>
        </row>
        <row r="324">
          <cell r="A324" t="str">
            <v>6227089775</v>
          </cell>
          <cell r="B324">
            <v>62270</v>
          </cell>
          <cell r="C324">
            <v>89775</v>
          </cell>
          <cell r="D324" t="str">
            <v>Assmt Dist Taxes- Reimb</v>
          </cell>
          <cell r="E324">
            <v>27561</v>
          </cell>
          <cell r="F324">
            <v>27561</v>
          </cell>
          <cell r="G324">
            <v>0</v>
          </cell>
          <cell r="H324">
            <v>165366</v>
          </cell>
          <cell r="I324">
            <v>165366</v>
          </cell>
          <cell r="J324">
            <v>0</v>
          </cell>
        </row>
        <row r="325">
          <cell r="A325" t="str">
            <v>6227089729</v>
          </cell>
          <cell r="B325">
            <v>62270</v>
          </cell>
          <cell r="C325">
            <v>89729</v>
          </cell>
          <cell r="D325" t="str">
            <v>Taxes - Miscellaneous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</row>
        <row r="326">
          <cell r="A326" t="str">
            <v>6227089786</v>
          </cell>
          <cell r="B326">
            <v>62270</v>
          </cell>
          <cell r="C326">
            <v>89786</v>
          </cell>
          <cell r="D326" t="str">
            <v>Property Tax Exp</v>
          </cell>
          <cell r="E326">
            <v>59262.5</v>
          </cell>
          <cell r="F326">
            <v>59262.5</v>
          </cell>
          <cell r="G326">
            <v>0</v>
          </cell>
          <cell r="H326">
            <v>355575</v>
          </cell>
          <cell r="I326">
            <v>355575</v>
          </cell>
          <cell r="J326">
            <v>0</v>
          </cell>
        </row>
        <row r="327">
          <cell r="A327" t="str">
            <v>6227071040</v>
          </cell>
          <cell r="B327">
            <v>62270</v>
          </cell>
          <cell r="C327">
            <v>71040</v>
          </cell>
          <cell r="D327" t="str">
            <v>Office Supplies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6227072701</v>
          </cell>
          <cell r="B328">
            <v>62270</v>
          </cell>
          <cell r="C328">
            <v>72701</v>
          </cell>
          <cell r="D328" t="str">
            <v>Utilities</v>
          </cell>
          <cell r="E328">
            <v>-45.99</v>
          </cell>
          <cell r="F328">
            <v>0</v>
          </cell>
          <cell r="G328">
            <v>-45.99</v>
          </cell>
          <cell r="H328">
            <v>206</v>
          </cell>
          <cell r="I328">
            <v>206</v>
          </cell>
          <cell r="J328">
            <v>0</v>
          </cell>
        </row>
        <row r="329">
          <cell r="A329" t="str">
            <v>6227072855</v>
          </cell>
          <cell r="B329">
            <v>62270</v>
          </cell>
          <cell r="C329">
            <v>72855</v>
          </cell>
          <cell r="D329" t="str">
            <v>Rent Expense-Ground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6227072870</v>
          </cell>
          <cell r="B330">
            <v>62270</v>
          </cell>
          <cell r="C330">
            <v>72870</v>
          </cell>
          <cell r="D330" t="str">
            <v>Office Rent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6227076010</v>
          </cell>
          <cell r="B331">
            <v>62270</v>
          </cell>
          <cell r="C331">
            <v>76010</v>
          </cell>
          <cell r="D331" t="str">
            <v>Tenant Alterations</v>
          </cell>
          <cell r="E331">
            <v>0</v>
          </cell>
          <cell r="F331">
            <v>0</v>
          </cell>
          <cell r="G331">
            <v>0</v>
          </cell>
          <cell r="H331">
            <v>354.4</v>
          </cell>
          <cell r="I331">
            <v>354.4</v>
          </cell>
          <cell r="J331">
            <v>0</v>
          </cell>
        </row>
        <row r="332">
          <cell r="A332" t="str">
            <v>6227076040</v>
          </cell>
          <cell r="B332">
            <v>62270</v>
          </cell>
          <cell r="C332">
            <v>76040</v>
          </cell>
          <cell r="D332" t="str">
            <v>HVAC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6227076051</v>
          </cell>
          <cell r="B333">
            <v>62270</v>
          </cell>
          <cell r="C333">
            <v>76051</v>
          </cell>
          <cell r="D333" t="str">
            <v>Cleaning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</row>
        <row r="334">
          <cell r="A334" t="str">
            <v>6227076054</v>
          </cell>
          <cell r="B334">
            <v>62270</v>
          </cell>
          <cell r="C334">
            <v>76054</v>
          </cell>
          <cell r="D334" t="str">
            <v>Bldg Maintenance &amp; Repair</v>
          </cell>
          <cell r="E334">
            <v>19.829999999999998</v>
          </cell>
          <cell r="F334">
            <v>10000</v>
          </cell>
          <cell r="G334">
            <v>-9980.17</v>
          </cell>
          <cell r="H334">
            <v>11372.73</v>
          </cell>
          <cell r="I334">
            <v>11372.73</v>
          </cell>
          <cell r="J334">
            <v>0</v>
          </cell>
        </row>
        <row r="335">
          <cell r="A335" t="str">
            <v>6227076060</v>
          </cell>
          <cell r="B335">
            <v>62270</v>
          </cell>
          <cell r="C335">
            <v>76060</v>
          </cell>
          <cell r="D335" t="str">
            <v>Asbestos Abatement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6227076071</v>
          </cell>
          <cell r="B336">
            <v>62270</v>
          </cell>
          <cell r="C336">
            <v>76071</v>
          </cell>
          <cell r="D336" t="str">
            <v>Reimaging Maintenance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6227076090</v>
          </cell>
          <cell r="B337">
            <v>62270</v>
          </cell>
          <cell r="C337">
            <v>76090</v>
          </cell>
          <cell r="D337" t="str">
            <v>Parking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6227077001</v>
          </cell>
          <cell r="B338">
            <v>62270</v>
          </cell>
          <cell r="C338">
            <v>77001</v>
          </cell>
          <cell r="D338" t="str">
            <v>Grounds Maintenance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6227077022</v>
          </cell>
          <cell r="B339">
            <v>62270</v>
          </cell>
          <cell r="C339">
            <v>77022</v>
          </cell>
          <cell r="D339" t="str">
            <v>Landscaping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6227084200</v>
          </cell>
          <cell r="B340">
            <v>62270</v>
          </cell>
          <cell r="C340">
            <v>84200</v>
          </cell>
          <cell r="D340" t="str">
            <v>Marketing-Other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</row>
        <row r="341">
          <cell r="A341" t="str">
            <v>6227084240</v>
          </cell>
          <cell r="B341">
            <v>62270</v>
          </cell>
          <cell r="C341">
            <v>84240</v>
          </cell>
          <cell r="D341" t="str">
            <v>Marketing Leasing</v>
          </cell>
          <cell r="E341">
            <v>50.66</v>
          </cell>
          <cell r="F341">
            <v>1242.1600000000001</v>
          </cell>
          <cell r="G341">
            <v>-1191.5</v>
          </cell>
          <cell r="H341">
            <v>7453</v>
          </cell>
          <cell r="I341">
            <v>7453</v>
          </cell>
          <cell r="J341">
            <v>0</v>
          </cell>
        </row>
        <row r="342">
          <cell r="A342" t="str">
            <v>6227084242</v>
          </cell>
          <cell r="B342">
            <v>62270</v>
          </cell>
          <cell r="C342">
            <v>84242</v>
          </cell>
          <cell r="D342" t="str">
            <v>Marketing-Subsidy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6227084243</v>
          </cell>
          <cell r="B343">
            <v>62270</v>
          </cell>
          <cell r="C343">
            <v>84243</v>
          </cell>
          <cell r="D343" t="str">
            <v>Marketing Coordination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6227084244</v>
          </cell>
          <cell r="B344">
            <v>62270</v>
          </cell>
          <cell r="C344">
            <v>84244</v>
          </cell>
          <cell r="D344" t="str">
            <v>Marketing-Net Required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6227084265</v>
          </cell>
          <cell r="B345">
            <v>62270</v>
          </cell>
          <cell r="C345">
            <v>84265</v>
          </cell>
          <cell r="D345" t="str">
            <v>Marketing -TR-Non-Reimb.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6227088037</v>
          </cell>
          <cell r="B346">
            <v>62270</v>
          </cell>
          <cell r="C346">
            <v>88037</v>
          </cell>
          <cell r="D346" t="str">
            <v>Marketing - Leasing Office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</row>
        <row r="347">
          <cell r="A347" t="str">
            <v>6227085016</v>
          </cell>
          <cell r="B347">
            <v>62270</v>
          </cell>
          <cell r="C347">
            <v>85016</v>
          </cell>
          <cell r="D347" t="str">
            <v>Prof Svc-Attorney Outside</v>
          </cell>
          <cell r="E347">
            <v>899.49</v>
          </cell>
          <cell r="F347">
            <v>0</v>
          </cell>
          <cell r="G347">
            <v>899.49</v>
          </cell>
          <cell r="H347">
            <v>4412</v>
          </cell>
          <cell r="I347">
            <v>4412</v>
          </cell>
          <cell r="J347">
            <v>0</v>
          </cell>
        </row>
        <row r="348">
          <cell r="A348" t="str">
            <v>6227085022</v>
          </cell>
          <cell r="B348">
            <v>62270</v>
          </cell>
          <cell r="C348">
            <v>85022</v>
          </cell>
          <cell r="D348" t="str">
            <v>Prof Svc-Audit/Acctng</v>
          </cell>
          <cell r="E348">
            <v>0</v>
          </cell>
          <cell r="F348">
            <v>0</v>
          </cell>
          <cell r="G348">
            <v>0</v>
          </cell>
          <cell r="H348">
            <v>5760.12</v>
          </cell>
          <cell r="I348">
            <v>5760.12</v>
          </cell>
          <cell r="J348">
            <v>0</v>
          </cell>
        </row>
        <row r="349">
          <cell r="A349" t="str">
            <v>6227085065</v>
          </cell>
          <cell r="B349">
            <v>62270</v>
          </cell>
          <cell r="C349">
            <v>85065</v>
          </cell>
          <cell r="D349" t="str">
            <v>Professional Services Other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</row>
        <row r="350">
          <cell r="A350" t="str">
            <v>6227085500</v>
          </cell>
          <cell r="B350">
            <v>62270</v>
          </cell>
          <cell r="C350">
            <v>85500</v>
          </cell>
          <cell r="D350" t="str">
            <v>Consulting Services</v>
          </cell>
          <cell r="E350">
            <v>0</v>
          </cell>
          <cell r="F350">
            <v>6427.01</v>
          </cell>
          <cell r="G350">
            <v>-6427.01</v>
          </cell>
          <cell r="H350">
            <v>6596.05</v>
          </cell>
          <cell r="I350">
            <v>6596.05</v>
          </cell>
          <cell r="J350">
            <v>0</v>
          </cell>
        </row>
        <row r="351">
          <cell r="A351" t="str">
            <v>6227085566</v>
          </cell>
          <cell r="B351">
            <v>62270</v>
          </cell>
          <cell r="C351">
            <v>85566</v>
          </cell>
          <cell r="D351" t="str">
            <v>Management Fee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</row>
        <row r="352">
          <cell r="A352" t="str">
            <v>6227085581</v>
          </cell>
          <cell r="B352">
            <v>62270</v>
          </cell>
          <cell r="C352">
            <v>85581</v>
          </cell>
          <cell r="D352" t="str">
            <v>Bldg Admin- Salaries</v>
          </cell>
          <cell r="E352">
            <v>21232.54</v>
          </cell>
          <cell r="F352">
            <v>21232.84</v>
          </cell>
          <cell r="G352">
            <v>-0.29999999999927202</v>
          </cell>
          <cell r="H352">
            <v>134068.20000000001</v>
          </cell>
          <cell r="I352">
            <v>134068.20000000001</v>
          </cell>
          <cell r="J352">
            <v>0</v>
          </cell>
        </row>
        <row r="353">
          <cell r="A353" t="str">
            <v>6227085583</v>
          </cell>
          <cell r="B353">
            <v>62270</v>
          </cell>
          <cell r="C353">
            <v>85583</v>
          </cell>
          <cell r="D353" t="str">
            <v>Bldg Admin-Office Exp.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6227085530</v>
          </cell>
          <cell r="B354">
            <v>62270</v>
          </cell>
          <cell r="C354">
            <v>85530</v>
          </cell>
          <cell r="D354" t="str">
            <v>Bldg Admin - Office Exp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6227086012</v>
          </cell>
          <cell r="B355">
            <v>62270</v>
          </cell>
          <cell r="C355">
            <v>86012</v>
          </cell>
          <cell r="D355" t="str">
            <v>Regional Employee Parking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6227086037</v>
          </cell>
          <cell r="B356">
            <v>62270</v>
          </cell>
          <cell r="C356">
            <v>86037</v>
          </cell>
          <cell r="D356" t="str">
            <v>Travel &amp; Entertainment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6227083050</v>
          </cell>
          <cell r="B357">
            <v>62270</v>
          </cell>
          <cell r="C357">
            <v>83050</v>
          </cell>
          <cell r="D357" t="str">
            <v>Regional Employee Travel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6227086510</v>
          </cell>
          <cell r="B358">
            <v>62270</v>
          </cell>
          <cell r="C358">
            <v>86510</v>
          </cell>
          <cell r="D358" t="str">
            <v>Leasing Admin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6227086537</v>
          </cell>
          <cell r="B359">
            <v>62270</v>
          </cell>
          <cell r="C359">
            <v>86537</v>
          </cell>
          <cell r="D359" t="str">
            <v>Fees-Credit Reports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6227086566</v>
          </cell>
          <cell r="B360">
            <v>62270</v>
          </cell>
          <cell r="C360">
            <v>86566</v>
          </cell>
          <cell r="D360" t="str">
            <v>Insurance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6227086955</v>
          </cell>
          <cell r="B361">
            <v>62270</v>
          </cell>
          <cell r="C361">
            <v>86955</v>
          </cell>
          <cell r="D361" t="str">
            <v>Regional Temporary Labor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6227086985</v>
          </cell>
          <cell r="B362">
            <v>62270</v>
          </cell>
          <cell r="C362">
            <v>86985</v>
          </cell>
          <cell r="D362" t="str">
            <v>Purchased Svcs _ Other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6227086880</v>
          </cell>
          <cell r="B363">
            <v>62270</v>
          </cell>
          <cell r="C363">
            <v>86880</v>
          </cell>
          <cell r="D363" t="str">
            <v>Telephone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A364" t="str">
            <v>6227088710</v>
          </cell>
          <cell r="B364">
            <v>62270</v>
          </cell>
          <cell r="C364">
            <v>88710</v>
          </cell>
          <cell r="D364" t="str">
            <v>Losses-Bad Debts</v>
          </cell>
          <cell r="E364">
            <v>0</v>
          </cell>
          <cell r="F364">
            <v>0.16</v>
          </cell>
          <cell r="G364">
            <v>-0.16</v>
          </cell>
          <cell r="H364">
            <v>65728.639999999999</v>
          </cell>
          <cell r="I364">
            <v>65728.639999999999</v>
          </cell>
          <cell r="J364">
            <v>0</v>
          </cell>
        </row>
        <row r="365">
          <cell r="A365" t="str">
            <v>6227088711</v>
          </cell>
          <cell r="B365">
            <v>62270</v>
          </cell>
          <cell r="C365">
            <v>88711</v>
          </cell>
          <cell r="D365" t="str">
            <v>Losses-Bad Debts- FASB 13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6227088785</v>
          </cell>
          <cell r="B366">
            <v>62270</v>
          </cell>
          <cell r="C366">
            <v>88785</v>
          </cell>
          <cell r="D366" t="str">
            <v>Losses-Uninsured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6227088847</v>
          </cell>
          <cell r="B367">
            <v>62270</v>
          </cell>
          <cell r="C367">
            <v>88847</v>
          </cell>
          <cell r="D367" t="str">
            <v>Expenses - Other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6227088866</v>
          </cell>
          <cell r="B368">
            <v>62270</v>
          </cell>
          <cell r="C368">
            <v>88866</v>
          </cell>
          <cell r="D368" t="str">
            <v>Legal Settlements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6227088870</v>
          </cell>
          <cell r="B369">
            <v>62270</v>
          </cell>
          <cell r="C369">
            <v>88870</v>
          </cell>
          <cell r="D369" t="str">
            <v>Backside Dist-O/S Partner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6227088889</v>
          </cell>
          <cell r="B370">
            <v>62270</v>
          </cell>
          <cell r="C370">
            <v>88889</v>
          </cell>
          <cell r="D370" t="str">
            <v>Security/Safety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6227089776</v>
          </cell>
          <cell r="B371">
            <v>62270</v>
          </cell>
          <cell r="C371">
            <v>89776</v>
          </cell>
          <cell r="D371" t="str">
            <v>Assmt Dist Taxes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6227089787</v>
          </cell>
          <cell r="B372">
            <v>62270</v>
          </cell>
          <cell r="C372">
            <v>89787</v>
          </cell>
          <cell r="D372" t="str">
            <v>Property Tax Exp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6227089510</v>
          </cell>
          <cell r="B373">
            <v>62270</v>
          </cell>
          <cell r="C373">
            <v>89510</v>
          </cell>
          <cell r="D373" t="str">
            <v>Interest Expense - General</v>
          </cell>
          <cell r="E373">
            <v>0</v>
          </cell>
          <cell r="F373">
            <v>198165</v>
          </cell>
          <cell r="G373">
            <v>-198165</v>
          </cell>
          <cell r="H373">
            <v>1146735</v>
          </cell>
          <cell r="I373">
            <v>1146735</v>
          </cell>
          <cell r="J373">
            <v>0</v>
          </cell>
        </row>
        <row r="374">
          <cell r="A374" t="str">
            <v>6227089511</v>
          </cell>
          <cell r="B374">
            <v>62270</v>
          </cell>
          <cell r="C374">
            <v>89511</v>
          </cell>
          <cell r="D374" t="str">
            <v>Interest Expense - Swap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6227089512</v>
          </cell>
          <cell r="B375">
            <v>62270</v>
          </cell>
          <cell r="C375">
            <v>89512</v>
          </cell>
          <cell r="D375" t="str">
            <v>Interest Expense - Accrual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6227089528</v>
          </cell>
          <cell r="B376">
            <v>62270</v>
          </cell>
          <cell r="C376">
            <v>89528</v>
          </cell>
          <cell r="D376" t="str">
            <v>Interest Expense - Loan Fees-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6227089529</v>
          </cell>
          <cell r="B377">
            <v>62270</v>
          </cell>
          <cell r="C377">
            <v>89529</v>
          </cell>
          <cell r="D377" t="str">
            <v>Interest Expense - Loan Fee A</v>
          </cell>
          <cell r="E377">
            <v>0</v>
          </cell>
          <cell r="F377">
            <v>4460</v>
          </cell>
          <cell r="G377">
            <v>-4460</v>
          </cell>
          <cell r="H377">
            <v>26760</v>
          </cell>
          <cell r="I377">
            <v>26760</v>
          </cell>
          <cell r="J377">
            <v>0</v>
          </cell>
        </row>
        <row r="378">
          <cell r="A378" t="str">
            <v>6227089567</v>
          </cell>
          <cell r="B378">
            <v>62270</v>
          </cell>
          <cell r="C378">
            <v>89567</v>
          </cell>
          <cell r="D378" t="str">
            <v>Interest Expense - TIC/Partne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6227085058</v>
          </cell>
          <cell r="B379">
            <v>62270</v>
          </cell>
          <cell r="C379">
            <v>85058</v>
          </cell>
          <cell r="D379" t="str">
            <v>Legal Fee Amort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</row>
        <row r="380">
          <cell r="A380" t="str">
            <v>6227086513</v>
          </cell>
          <cell r="B380">
            <v>62270</v>
          </cell>
          <cell r="C380">
            <v>86513</v>
          </cell>
          <cell r="D380" t="str">
            <v>Leasing Commission Amort</v>
          </cell>
          <cell r="E380">
            <v>0</v>
          </cell>
          <cell r="F380">
            <v>177.06</v>
          </cell>
          <cell r="G380">
            <v>-177.06</v>
          </cell>
          <cell r="H380">
            <v>674.36</v>
          </cell>
          <cell r="I380">
            <v>674.36</v>
          </cell>
          <cell r="J380">
            <v>0</v>
          </cell>
        </row>
        <row r="381">
          <cell r="A381" t="str">
            <v>6227086519</v>
          </cell>
          <cell r="B381">
            <v>62270</v>
          </cell>
          <cell r="C381">
            <v>86519</v>
          </cell>
          <cell r="D381" t="str">
            <v>Fees-Appraisal Amort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6227088770</v>
          </cell>
          <cell r="B382">
            <v>62270</v>
          </cell>
          <cell r="C382">
            <v>88770</v>
          </cell>
          <cell r="D382" t="str">
            <v>Losses-Prop Abandon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6227088862</v>
          </cell>
          <cell r="B383">
            <v>62270</v>
          </cell>
          <cell r="C383">
            <v>88862</v>
          </cell>
          <cell r="D383" t="str">
            <v>Lease Buy-Out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6227088874</v>
          </cell>
          <cell r="B384">
            <v>62270</v>
          </cell>
          <cell r="C384">
            <v>88874</v>
          </cell>
          <cell r="D384" t="str">
            <v>Organization Cost Amort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</row>
        <row r="385">
          <cell r="A385" t="str">
            <v>6227089910</v>
          </cell>
          <cell r="B385">
            <v>62270</v>
          </cell>
          <cell r="C385">
            <v>89910</v>
          </cell>
          <cell r="D385" t="str">
            <v>Depreciation</v>
          </cell>
          <cell r="E385">
            <v>0</v>
          </cell>
          <cell r="F385">
            <v>99975.75</v>
          </cell>
          <cell r="G385">
            <v>-99975.75</v>
          </cell>
          <cell r="H385">
            <v>595854.16</v>
          </cell>
          <cell r="I385">
            <v>595854.16</v>
          </cell>
          <cell r="J385">
            <v>0</v>
          </cell>
        </row>
        <row r="386">
          <cell r="A386" t="str">
            <v>6227089548</v>
          </cell>
          <cell r="B386">
            <v>62270</v>
          </cell>
          <cell r="C386">
            <v>89548</v>
          </cell>
          <cell r="D386" t="str">
            <v>Other Amortized Cost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roads"/>
      <sheetName val="Harvard Auto Place"/>
      <sheetName val="Westpark"/>
      <sheetName val="Harvard Place"/>
      <sheetName val="Corona Del Mar"/>
      <sheetName val="Corona Del Mar-forecast"/>
      <sheetName val="Crytal Cove"/>
      <sheetName val="Harbor View"/>
      <sheetName val="Newport Coast"/>
      <sheetName val="Newport Hills"/>
      <sheetName val="budget"/>
      <sheetName val="forecast"/>
      <sheetName val="variance"/>
      <sheetName val="Cherry Orch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6213541010</v>
          </cell>
          <cell r="B2">
            <v>62135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6213541040</v>
          </cell>
          <cell r="B3">
            <v>62135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6213541050</v>
          </cell>
          <cell r="B4">
            <v>62135</v>
          </cell>
          <cell r="C4">
            <v>41050</v>
          </cell>
          <cell r="D4" t="str">
            <v>Rental Income - Fixed</v>
          </cell>
          <cell r="E4">
            <v>-943197.85</v>
          </cell>
          <cell r="F4">
            <v>-948088.67</v>
          </cell>
          <cell r="G4">
            <v>4890.8200000000697</v>
          </cell>
          <cell r="H4">
            <v>-1637072.34</v>
          </cell>
          <cell r="I4">
            <v>-1637072.34</v>
          </cell>
          <cell r="J4">
            <v>0</v>
          </cell>
        </row>
        <row r="5">
          <cell r="A5" t="str">
            <v>6213541074</v>
          </cell>
          <cell r="B5">
            <v>62135</v>
          </cell>
          <cell r="C5">
            <v>41074</v>
          </cell>
          <cell r="D5" t="str">
            <v>Rental Income - Percentage</v>
          </cell>
          <cell r="E5">
            <v>-5496.32</v>
          </cell>
          <cell r="F5">
            <v>0</v>
          </cell>
          <cell r="G5">
            <v>-5496.32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6213541082</v>
          </cell>
          <cell r="B6">
            <v>62135</v>
          </cell>
          <cell r="C6">
            <v>41082</v>
          </cell>
          <cell r="D6" t="str">
            <v>Rental Income - Operating Exp</v>
          </cell>
          <cell r="E6">
            <v>-277302.01</v>
          </cell>
          <cell r="F6">
            <v>-254733.57</v>
          </cell>
          <cell r="G6">
            <v>-22568.44</v>
          </cell>
          <cell r="H6">
            <v>-436686.12</v>
          </cell>
          <cell r="I6">
            <v>-436686.12</v>
          </cell>
          <cell r="J6">
            <v>0</v>
          </cell>
        </row>
        <row r="7">
          <cell r="A7" t="str">
            <v>6213544610</v>
          </cell>
          <cell r="B7">
            <v>62135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6213545071</v>
          </cell>
          <cell r="B8">
            <v>62135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6213545010</v>
          </cell>
          <cell r="B9">
            <v>62135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6213545046</v>
          </cell>
          <cell r="B10">
            <v>62135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6213545070</v>
          </cell>
          <cell r="B11">
            <v>62135</v>
          </cell>
          <cell r="C11">
            <v>45070</v>
          </cell>
          <cell r="D11" t="str">
            <v>Other Income</v>
          </cell>
          <cell r="E11">
            <v>-6800.01</v>
          </cell>
          <cell r="F11">
            <v>0</v>
          </cell>
          <cell r="G11">
            <v>-6800.01</v>
          </cell>
          <cell r="H11">
            <v>-103</v>
          </cell>
          <cell r="I11">
            <v>-103</v>
          </cell>
          <cell r="J11">
            <v>0</v>
          </cell>
        </row>
        <row r="12">
          <cell r="A12" t="str">
            <v>6213541060</v>
          </cell>
          <cell r="B12">
            <v>62135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18145.189999999999</v>
          </cell>
          <cell r="G12">
            <v>-18145.189999999999</v>
          </cell>
          <cell r="H12">
            <v>31106</v>
          </cell>
          <cell r="I12">
            <v>31106</v>
          </cell>
          <cell r="J12">
            <v>0</v>
          </cell>
        </row>
        <row r="13">
          <cell r="A13" t="str">
            <v>6213544870</v>
          </cell>
          <cell r="B13">
            <v>62135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6213552542</v>
          </cell>
          <cell r="B14">
            <v>62135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6213572710</v>
          </cell>
          <cell r="B15">
            <v>62135</v>
          </cell>
          <cell r="C15">
            <v>72710</v>
          </cell>
          <cell r="D15" t="str">
            <v>Utilities - Electricity</v>
          </cell>
          <cell r="E15">
            <v>7918.81</v>
          </cell>
          <cell r="F15">
            <v>10284.700000000001</v>
          </cell>
          <cell r="G15">
            <v>-2365.89</v>
          </cell>
          <cell r="H15">
            <v>18729.75</v>
          </cell>
          <cell r="I15">
            <v>18729.75</v>
          </cell>
          <cell r="J15">
            <v>0</v>
          </cell>
        </row>
        <row r="16">
          <cell r="A16" t="str">
            <v>6213572740</v>
          </cell>
          <cell r="B16">
            <v>62135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6213572770</v>
          </cell>
          <cell r="B17">
            <v>62135</v>
          </cell>
          <cell r="C17">
            <v>72770</v>
          </cell>
          <cell r="D17" t="str">
            <v>Utilities - Water</v>
          </cell>
          <cell r="E17">
            <v>6550.14</v>
          </cell>
          <cell r="F17">
            <v>4104.51</v>
          </cell>
          <cell r="G17">
            <v>2445.63</v>
          </cell>
          <cell r="H17">
            <v>9675.6</v>
          </cell>
          <cell r="I17">
            <v>9675.6</v>
          </cell>
          <cell r="J17">
            <v>0</v>
          </cell>
        </row>
        <row r="18">
          <cell r="A18" t="str">
            <v>6213576000</v>
          </cell>
          <cell r="B18">
            <v>62135</v>
          </cell>
          <cell r="C18">
            <v>76000</v>
          </cell>
          <cell r="D18" t="str">
            <v>Bldg Maintenance &amp; Repair</v>
          </cell>
          <cell r="E18">
            <v>14051.27</v>
          </cell>
          <cell r="F18">
            <v>10360.469999999999</v>
          </cell>
          <cell r="G18">
            <v>3690.8</v>
          </cell>
          <cell r="H18">
            <v>39163.660000000003</v>
          </cell>
          <cell r="I18">
            <v>39163.660000000003</v>
          </cell>
          <cell r="J18">
            <v>0</v>
          </cell>
        </row>
        <row r="19">
          <cell r="A19" t="str">
            <v>6213576020</v>
          </cell>
          <cell r="B19">
            <v>62135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6213576034</v>
          </cell>
          <cell r="B20">
            <v>62135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6213576050</v>
          </cell>
          <cell r="B21">
            <v>62135</v>
          </cell>
          <cell r="C21">
            <v>76050</v>
          </cell>
          <cell r="D21" t="str">
            <v>Cleaning Expense</v>
          </cell>
          <cell r="E21">
            <v>18808.349999999999</v>
          </cell>
          <cell r="F21">
            <v>18381.490000000002</v>
          </cell>
          <cell r="G21">
            <v>426.859999999997</v>
          </cell>
          <cell r="H21">
            <v>31428.16</v>
          </cell>
          <cell r="I21">
            <v>31428.16</v>
          </cell>
          <cell r="J21">
            <v>0</v>
          </cell>
        </row>
        <row r="22">
          <cell r="A22" t="str">
            <v>6213576056</v>
          </cell>
          <cell r="B22">
            <v>62135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6213576070</v>
          </cell>
          <cell r="B23">
            <v>62135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6213576091</v>
          </cell>
          <cell r="B24">
            <v>62135</v>
          </cell>
          <cell r="C24">
            <v>76091</v>
          </cell>
          <cell r="D24" t="str">
            <v>Parking Maintenance</v>
          </cell>
          <cell r="E24">
            <v>17585</v>
          </cell>
          <cell r="F24">
            <v>18972.34</v>
          </cell>
          <cell r="G24">
            <v>-1387.34</v>
          </cell>
          <cell r="H24">
            <v>40763.08</v>
          </cell>
          <cell r="I24">
            <v>40763.08</v>
          </cell>
          <cell r="J24">
            <v>0</v>
          </cell>
        </row>
        <row r="25">
          <cell r="A25" t="str">
            <v>6213577000</v>
          </cell>
          <cell r="B25">
            <v>62135</v>
          </cell>
          <cell r="C25">
            <v>77000</v>
          </cell>
          <cell r="D25" t="str">
            <v>Grounds Maintenance</v>
          </cell>
          <cell r="E25">
            <v>26870.42</v>
          </cell>
          <cell r="F25">
            <v>35619.69</v>
          </cell>
          <cell r="G25">
            <v>-8749.27</v>
          </cell>
          <cell r="H25">
            <v>51270.38</v>
          </cell>
          <cell r="I25">
            <v>51270.38</v>
          </cell>
          <cell r="J25">
            <v>0</v>
          </cell>
        </row>
        <row r="26">
          <cell r="A26" t="str">
            <v>6213577053</v>
          </cell>
          <cell r="B26">
            <v>62135</v>
          </cell>
          <cell r="C26">
            <v>77053</v>
          </cell>
          <cell r="D26" t="str">
            <v>Landscaping</v>
          </cell>
          <cell r="E26">
            <v>25445</v>
          </cell>
          <cell r="F26">
            <v>25277.81</v>
          </cell>
          <cell r="G26">
            <v>167.189999999999</v>
          </cell>
          <cell r="H26">
            <v>40894.94</v>
          </cell>
          <cell r="I26">
            <v>40894.94</v>
          </cell>
          <cell r="J26">
            <v>0</v>
          </cell>
        </row>
        <row r="27">
          <cell r="A27" t="str">
            <v>6213578020</v>
          </cell>
          <cell r="B27">
            <v>62135</v>
          </cell>
          <cell r="C27">
            <v>78020</v>
          </cell>
          <cell r="D27" t="str">
            <v>Amortized CAM Exp</v>
          </cell>
          <cell r="E27">
            <v>13537.65</v>
          </cell>
          <cell r="F27">
            <v>10662.75</v>
          </cell>
          <cell r="G27">
            <v>2874.9</v>
          </cell>
          <cell r="H27">
            <v>18279</v>
          </cell>
          <cell r="I27">
            <v>18279</v>
          </cell>
          <cell r="J27">
            <v>0</v>
          </cell>
        </row>
        <row r="28">
          <cell r="A28" t="str">
            <v>6213584264</v>
          </cell>
          <cell r="B28">
            <v>62135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6213585555</v>
          </cell>
          <cell r="B29">
            <v>62135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6213585584</v>
          </cell>
          <cell r="B30">
            <v>62135</v>
          </cell>
          <cell r="C30">
            <v>85584</v>
          </cell>
          <cell r="D30" t="str">
            <v>Bldg Admin-Office Costs</v>
          </cell>
          <cell r="E30">
            <v>3160.78</v>
          </cell>
          <cell r="F30">
            <v>4711.5600000000004</v>
          </cell>
          <cell r="G30">
            <v>-1550.78</v>
          </cell>
          <cell r="H30">
            <v>8077</v>
          </cell>
          <cell r="I30">
            <v>8077</v>
          </cell>
          <cell r="J30">
            <v>0</v>
          </cell>
        </row>
        <row r="31">
          <cell r="A31" t="str">
            <v>6213585582</v>
          </cell>
          <cell r="B31">
            <v>62135</v>
          </cell>
          <cell r="C31">
            <v>85582</v>
          </cell>
          <cell r="D31" t="str">
            <v>Bldg Admin-Salaries</v>
          </cell>
          <cell r="E31">
            <v>15023.08</v>
          </cell>
          <cell r="F31">
            <v>26596</v>
          </cell>
          <cell r="G31">
            <v>-11572.92</v>
          </cell>
          <cell r="H31">
            <v>48460</v>
          </cell>
          <cell r="I31">
            <v>48460</v>
          </cell>
          <cell r="J31">
            <v>0</v>
          </cell>
        </row>
        <row r="32">
          <cell r="A32" t="str">
            <v>6213586564</v>
          </cell>
          <cell r="B32">
            <v>62135</v>
          </cell>
          <cell r="C32">
            <v>86564</v>
          </cell>
          <cell r="D32" t="str">
            <v>Insurance</v>
          </cell>
          <cell r="E32">
            <v>15820</v>
          </cell>
          <cell r="F32">
            <v>15813</v>
          </cell>
          <cell r="G32">
            <v>7</v>
          </cell>
          <cell r="H32">
            <v>27108</v>
          </cell>
          <cell r="I32">
            <v>27108</v>
          </cell>
          <cell r="J32">
            <v>0</v>
          </cell>
        </row>
        <row r="33">
          <cell r="A33" t="str">
            <v>6213588846</v>
          </cell>
          <cell r="B33">
            <v>62135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6213588890</v>
          </cell>
          <cell r="B34">
            <v>62135</v>
          </cell>
          <cell r="C34">
            <v>88890</v>
          </cell>
          <cell r="D34" t="str">
            <v>Security/Safety</v>
          </cell>
          <cell r="E34">
            <v>20955.8</v>
          </cell>
          <cell r="F34">
            <v>1853.34</v>
          </cell>
          <cell r="G34">
            <v>19102.46</v>
          </cell>
          <cell r="H34">
            <v>2976.06</v>
          </cell>
          <cell r="I34">
            <v>2976.06</v>
          </cell>
          <cell r="J34">
            <v>0</v>
          </cell>
        </row>
        <row r="35">
          <cell r="A35" t="str">
            <v>6213589775</v>
          </cell>
          <cell r="B35">
            <v>62135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6213589729</v>
          </cell>
          <cell r="B36">
            <v>62135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6213589786</v>
          </cell>
          <cell r="B37">
            <v>62135</v>
          </cell>
          <cell r="C37">
            <v>89786</v>
          </cell>
          <cell r="D37" t="str">
            <v>Property Tax Exp</v>
          </cell>
          <cell r="E37">
            <v>53911.06</v>
          </cell>
          <cell r="F37">
            <v>53257.19</v>
          </cell>
          <cell r="G37">
            <v>653.869999999995</v>
          </cell>
          <cell r="H37">
            <v>91298</v>
          </cell>
          <cell r="I37">
            <v>91298</v>
          </cell>
          <cell r="J37">
            <v>0</v>
          </cell>
        </row>
        <row r="38">
          <cell r="A38" t="str">
            <v>6213571040</v>
          </cell>
          <cell r="B38">
            <v>62135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6213572701</v>
          </cell>
          <cell r="B39">
            <v>62135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51.5</v>
          </cell>
          <cell r="I39">
            <v>51.5</v>
          </cell>
          <cell r="J39">
            <v>0</v>
          </cell>
        </row>
        <row r="40">
          <cell r="A40" t="str">
            <v>6213572855</v>
          </cell>
          <cell r="B40">
            <v>62135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6213572870</v>
          </cell>
          <cell r="B41">
            <v>62135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6213576010</v>
          </cell>
          <cell r="B42">
            <v>62135</v>
          </cell>
          <cell r="C42">
            <v>76010</v>
          </cell>
          <cell r="D42" t="str">
            <v>Tenant Alterations</v>
          </cell>
          <cell r="E42">
            <v>2.78</v>
          </cell>
          <cell r="F42">
            <v>0</v>
          </cell>
          <cell r="G42">
            <v>2.78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6213576040</v>
          </cell>
          <cell r="B43">
            <v>62135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6213576051</v>
          </cell>
          <cell r="B44">
            <v>62135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6213576054</v>
          </cell>
          <cell r="B45">
            <v>62135</v>
          </cell>
          <cell r="C45">
            <v>76054</v>
          </cell>
          <cell r="D45" t="str">
            <v>Bldg Maintenance &amp; Repair</v>
          </cell>
          <cell r="E45">
            <v>219.85</v>
          </cell>
          <cell r="F45">
            <v>831.11</v>
          </cell>
          <cell r="G45">
            <v>-611.26</v>
          </cell>
          <cell r="H45">
            <v>75837.59</v>
          </cell>
          <cell r="I45">
            <v>75837.59</v>
          </cell>
          <cell r="J45">
            <v>0</v>
          </cell>
        </row>
        <row r="46">
          <cell r="A46" t="str">
            <v>6213576060</v>
          </cell>
          <cell r="B46">
            <v>62135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6213576071</v>
          </cell>
          <cell r="B47">
            <v>62135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6213576090</v>
          </cell>
          <cell r="B48">
            <v>62135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6213577001</v>
          </cell>
          <cell r="B49">
            <v>62135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6213577022</v>
          </cell>
          <cell r="B50">
            <v>62135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6213584200</v>
          </cell>
          <cell r="B51">
            <v>62135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6213584240</v>
          </cell>
          <cell r="B52">
            <v>62135</v>
          </cell>
          <cell r="C52">
            <v>84240</v>
          </cell>
          <cell r="D52" t="str">
            <v>Marketing Leasing</v>
          </cell>
          <cell r="E52">
            <v>13.89</v>
          </cell>
          <cell r="F52">
            <v>1124.06</v>
          </cell>
          <cell r="G52">
            <v>-1110.17</v>
          </cell>
          <cell r="H52">
            <v>1927</v>
          </cell>
          <cell r="I52">
            <v>1927</v>
          </cell>
          <cell r="J52">
            <v>0</v>
          </cell>
        </row>
        <row r="53">
          <cell r="A53" t="str">
            <v>6213584242</v>
          </cell>
          <cell r="B53">
            <v>62135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6213584243</v>
          </cell>
          <cell r="B54">
            <v>62135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6213584244</v>
          </cell>
          <cell r="B55">
            <v>62135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6213584265</v>
          </cell>
          <cell r="B56">
            <v>62135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6213588037</v>
          </cell>
          <cell r="B57">
            <v>62135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6213585016</v>
          </cell>
          <cell r="B58">
            <v>62135</v>
          </cell>
          <cell r="C58">
            <v>85016</v>
          </cell>
          <cell r="D58" t="str">
            <v>Prof Svc-Attorney Outside</v>
          </cell>
          <cell r="E58">
            <v>956.97</v>
          </cell>
          <cell r="F58">
            <v>1000</v>
          </cell>
          <cell r="G58">
            <v>-43.03</v>
          </cell>
          <cell r="H58">
            <v>2210</v>
          </cell>
          <cell r="I58">
            <v>2210</v>
          </cell>
          <cell r="J58">
            <v>0</v>
          </cell>
        </row>
        <row r="59">
          <cell r="A59" t="str">
            <v>6213585022</v>
          </cell>
          <cell r="B59">
            <v>62135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2121.13</v>
          </cell>
          <cell r="I59">
            <v>2121.13</v>
          </cell>
          <cell r="J59">
            <v>0</v>
          </cell>
        </row>
        <row r="60">
          <cell r="A60" t="str">
            <v>6213585065</v>
          </cell>
          <cell r="B60">
            <v>62135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6213585500</v>
          </cell>
          <cell r="B61">
            <v>62135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208.58</v>
          </cell>
          <cell r="G61">
            <v>-208.58</v>
          </cell>
          <cell r="H61">
            <v>1238.58</v>
          </cell>
          <cell r="I61">
            <v>1238.58</v>
          </cell>
          <cell r="J61">
            <v>0</v>
          </cell>
        </row>
        <row r="62">
          <cell r="A62" t="str">
            <v>6213585566</v>
          </cell>
          <cell r="B62">
            <v>62135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6213585581</v>
          </cell>
          <cell r="B63">
            <v>62135</v>
          </cell>
          <cell r="C63">
            <v>85581</v>
          </cell>
          <cell r="D63" t="str">
            <v>Bldg Admin- Salaries</v>
          </cell>
          <cell r="E63">
            <v>10976.55</v>
          </cell>
          <cell r="F63">
            <v>21915.52</v>
          </cell>
          <cell r="G63">
            <v>-10938.97</v>
          </cell>
          <cell r="H63">
            <v>39336.199999999997</v>
          </cell>
          <cell r="I63">
            <v>39336.199999999997</v>
          </cell>
          <cell r="J63">
            <v>0</v>
          </cell>
        </row>
        <row r="64">
          <cell r="A64" t="str">
            <v>6213585583</v>
          </cell>
          <cell r="B64">
            <v>62135</v>
          </cell>
          <cell r="C64">
            <v>85583</v>
          </cell>
          <cell r="D64" t="str">
            <v>Bldg Admin-Office Exp.</v>
          </cell>
          <cell r="E64">
            <v>1757.04</v>
          </cell>
          <cell r="F64">
            <v>0</v>
          </cell>
          <cell r="G64">
            <v>1757.04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6213585530</v>
          </cell>
          <cell r="B65">
            <v>62135</v>
          </cell>
          <cell r="C65">
            <v>85530</v>
          </cell>
          <cell r="D65" t="str">
            <v>Bldg Admin - Office Exp</v>
          </cell>
          <cell r="E65">
            <v>1757.04</v>
          </cell>
          <cell r="F65">
            <v>0</v>
          </cell>
          <cell r="G65">
            <v>1757.04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6213586012</v>
          </cell>
          <cell r="B66">
            <v>62135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6213586037</v>
          </cell>
          <cell r="B67">
            <v>62135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6213583050</v>
          </cell>
          <cell r="B68">
            <v>62135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6213586510</v>
          </cell>
          <cell r="B69">
            <v>62135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6213586537</v>
          </cell>
          <cell r="B70">
            <v>62135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6213586566</v>
          </cell>
          <cell r="B71">
            <v>62135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6213586955</v>
          </cell>
          <cell r="B72">
            <v>62135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6213586985</v>
          </cell>
          <cell r="B73">
            <v>62135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6213586880</v>
          </cell>
          <cell r="B74">
            <v>62135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6213588710</v>
          </cell>
          <cell r="B75">
            <v>62135</v>
          </cell>
          <cell r="C75">
            <v>88710</v>
          </cell>
          <cell r="D75" t="str">
            <v>Losses-Bad Debts</v>
          </cell>
          <cell r="E75">
            <v>-6129.39</v>
          </cell>
          <cell r="F75">
            <v>15554.4</v>
          </cell>
          <cell r="G75">
            <v>-21683.79</v>
          </cell>
          <cell r="H75">
            <v>31108.639999999999</v>
          </cell>
          <cell r="I75">
            <v>31108.639999999999</v>
          </cell>
          <cell r="J75">
            <v>0</v>
          </cell>
        </row>
        <row r="76">
          <cell r="A76" t="str">
            <v>6213588711</v>
          </cell>
          <cell r="B76">
            <v>62135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6213588785</v>
          </cell>
          <cell r="B77">
            <v>62135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6213588847</v>
          </cell>
          <cell r="B78">
            <v>62135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6213588866</v>
          </cell>
          <cell r="B79">
            <v>62135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6213588870</v>
          </cell>
          <cell r="B80">
            <v>62135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6213588889</v>
          </cell>
          <cell r="B81">
            <v>62135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6213589776</v>
          </cell>
          <cell r="B82">
            <v>62135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6213589787</v>
          </cell>
          <cell r="B83">
            <v>62135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6213589510</v>
          </cell>
          <cell r="B84">
            <v>62135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6213589511</v>
          </cell>
          <cell r="B85">
            <v>62135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6213589512</v>
          </cell>
          <cell r="B86">
            <v>62135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6213589528</v>
          </cell>
          <cell r="B87">
            <v>62135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6213589529</v>
          </cell>
          <cell r="B88">
            <v>62135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6213589567</v>
          </cell>
          <cell r="B89">
            <v>62135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6213585058</v>
          </cell>
          <cell r="B90">
            <v>62135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6213586513</v>
          </cell>
          <cell r="B91">
            <v>62135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937.41</v>
          </cell>
          <cell r="G91">
            <v>-937.41</v>
          </cell>
          <cell r="H91">
            <v>1576.11</v>
          </cell>
          <cell r="I91">
            <v>1576.11</v>
          </cell>
          <cell r="J91">
            <v>0</v>
          </cell>
        </row>
        <row r="92">
          <cell r="A92" t="str">
            <v>6213586519</v>
          </cell>
          <cell r="B92">
            <v>62135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6213588770</v>
          </cell>
          <cell r="B93">
            <v>62135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6213588862</v>
          </cell>
          <cell r="B94">
            <v>62135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6213588874</v>
          </cell>
          <cell r="B95">
            <v>62135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6213589910</v>
          </cell>
          <cell r="B96">
            <v>62135</v>
          </cell>
          <cell r="C96">
            <v>89910</v>
          </cell>
          <cell r="D96" t="str">
            <v>Depreciation</v>
          </cell>
          <cell r="E96">
            <v>0</v>
          </cell>
          <cell r="F96">
            <v>54451.96</v>
          </cell>
          <cell r="G96">
            <v>-54451.96</v>
          </cell>
          <cell r="H96">
            <v>93118.59</v>
          </cell>
          <cell r="I96">
            <v>93118.59</v>
          </cell>
          <cell r="J96">
            <v>0</v>
          </cell>
        </row>
        <row r="97">
          <cell r="A97" t="str">
            <v>6213589548</v>
          </cell>
          <cell r="B97">
            <v>62135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6216041010</v>
          </cell>
          <cell r="B98">
            <v>62160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6216041040</v>
          </cell>
          <cell r="B99">
            <v>62160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6216041050</v>
          </cell>
          <cell r="B100">
            <v>62160</v>
          </cell>
          <cell r="C100">
            <v>41050</v>
          </cell>
          <cell r="D100" t="str">
            <v>Rental Income - Fixed</v>
          </cell>
          <cell r="E100">
            <v>-1097678.2</v>
          </cell>
          <cell r="F100">
            <v>-1099196.74</v>
          </cell>
          <cell r="G100">
            <v>1518.54000000004</v>
          </cell>
          <cell r="H100">
            <v>-1881369.24</v>
          </cell>
          <cell r="I100">
            <v>-1881369.24</v>
          </cell>
          <cell r="J100">
            <v>0</v>
          </cell>
        </row>
        <row r="101">
          <cell r="A101" t="str">
            <v>6216041074</v>
          </cell>
          <cell r="B101">
            <v>62160</v>
          </cell>
          <cell r="C101">
            <v>41074</v>
          </cell>
          <cell r="D101" t="str">
            <v>Rental Income - Percentage</v>
          </cell>
          <cell r="E101">
            <v>-64988.99</v>
          </cell>
          <cell r="F101">
            <v>-56053</v>
          </cell>
          <cell r="G101">
            <v>-8935.99</v>
          </cell>
          <cell r="H101">
            <v>-56053</v>
          </cell>
          <cell r="I101">
            <v>-56053</v>
          </cell>
          <cell r="J101">
            <v>0</v>
          </cell>
        </row>
        <row r="102">
          <cell r="A102" t="str">
            <v>6216041082</v>
          </cell>
          <cell r="B102">
            <v>62160</v>
          </cell>
          <cell r="C102">
            <v>41082</v>
          </cell>
          <cell r="D102" t="str">
            <v>Rental Income - Operating Exp</v>
          </cell>
          <cell r="E102">
            <v>-86847.41</v>
          </cell>
          <cell r="F102">
            <v>-228998.63</v>
          </cell>
          <cell r="G102">
            <v>142151.22</v>
          </cell>
          <cell r="H102">
            <v>-392569.08</v>
          </cell>
          <cell r="I102">
            <v>-392569.08</v>
          </cell>
          <cell r="J102">
            <v>0</v>
          </cell>
        </row>
        <row r="103">
          <cell r="A103" t="str">
            <v>6216044610</v>
          </cell>
          <cell r="B103">
            <v>62160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6216045071</v>
          </cell>
          <cell r="B104">
            <v>62160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6216045010</v>
          </cell>
          <cell r="B105">
            <v>62160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6216045046</v>
          </cell>
          <cell r="B106">
            <v>62160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6216045070</v>
          </cell>
          <cell r="B107">
            <v>62160</v>
          </cell>
          <cell r="C107">
            <v>45070</v>
          </cell>
          <cell r="D107" t="str">
            <v>Other Income</v>
          </cell>
          <cell r="E107">
            <v>-313.07</v>
          </cell>
          <cell r="F107">
            <v>-671.56</v>
          </cell>
          <cell r="G107">
            <v>358.49</v>
          </cell>
          <cell r="H107">
            <v>-958</v>
          </cell>
          <cell r="I107">
            <v>-958</v>
          </cell>
          <cell r="J107">
            <v>0</v>
          </cell>
        </row>
        <row r="108">
          <cell r="A108" t="str">
            <v>6216041060</v>
          </cell>
          <cell r="B108">
            <v>62160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13591.69</v>
          </cell>
          <cell r="G108">
            <v>-13591.69</v>
          </cell>
          <cell r="H108">
            <v>23300</v>
          </cell>
          <cell r="I108">
            <v>23300</v>
          </cell>
          <cell r="J108">
            <v>0</v>
          </cell>
        </row>
        <row r="109">
          <cell r="A109" t="str">
            <v>6216044870</v>
          </cell>
          <cell r="B109">
            <v>62160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6216052542</v>
          </cell>
          <cell r="B110">
            <v>62160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6216072710</v>
          </cell>
          <cell r="B111">
            <v>62160</v>
          </cell>
          <cell r="C111">
            <v>72710</v>
          </cell>
          <cell r="D111" t="str">
            <v>Utilities - Electricity</v>
          </cell>
          <cell r="E111">
            <v>4654.42</v>
          </cell>
          <cell r="F111">
            <v>6837</v>
          </cell>
          <cell r="G111">
            <v>-2182.58</v>
          </cell>
          <cell r="H111">
            <v>10665.01</v>
          </cell>
          <cell r="I111">
            <v>10665.01</v>
          </cell>
          <cell r="J111">
            <v>0</v>
          </cell>
        </row>
        <row r="112">
          <cell r="A112" t="str">
            <v>6216072740</v>
          </cell>
          <cell r="B112">
            <v>62160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6216072770</v>
          </cell>
          <cell r="B113">
            <v>62160</v>
          </cell>
          <cell r="C113">
            <v>72770</v>
          </cell>
          <cell r="D113" t="str">
            <v>Utilities - Water</v>
          </cell>
          <cell r="E113">
            <v>2418.89</v>
          </cell>
          <cell r="F113">
            <v>1846.79</v>
          </cell>
          <cell r="G113">
            <v>572.1</v>
          </cell>
          <cell r="H113">
            <v>2947.3</v>
          </cell>
          <cell r="I113">
            <v>2947.3</v>
          </cell>
          <cell r="J113">
            <v>0</v>
          </cell>
        </row>
        <row r="114">
          <cell r="A114" t="str">
            <v>6216076000</v>
          </cell>
          <cell r="B114">
            <v>62160</v>
          </cell>
          <cell r="C114">
            <v>76000</v>
          </cell>
          <cell r="D114" t="str">
            <v>Bldg Maintenance &amp; Repair</v>
          </cell>
          <cell r="E114">
            <v>15286.39</v>
          </cell>
          <cell r="F114">
            <v>11934.92</v>
          </cell>
          <cell r="G114">
            <v>3351.47</v>
          </cell>
          <cell r="H114">
            <v>18893.93</v>
          </cell>
          <cell r="I114">
            <v>18893.93</v>
          </cell>
          <cell r="J114">
            <v>0</v>
          </cell>
        </row>
        <row r="115">
          <cell r="A115" t="str">
            <v>6216076020</v>
          </cell>
          <cell r="B115">
            <v>62160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6216076034</v>
          </cell>
          <cell r="B116">
            <v>62160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6216076050</v>
          </cell>
          <cell r="B117">
            <v>62160</v>
          </cell>
          <cell r="C117">
            <v>76050</v>
          </cell>
          <cell r="D117" t="str">
            <v>Cleaning Expense</v>
          </cell>
          <cell r="E117">
            <v>23860.240000000002</v>
          </cell>
          <cell r="F117">
            <v>25373.99</v>
          </cell>
          <cell r="G117">
            <v>-1513.75</v>
          </cell>
          <cell r="H117">
            <v>37474.94</v>
          </cell>
          <cell r="I117">
            <v>37474.94</v>
          </cell>
          <cell r="J117">
            <v>0</v>
          </cell>
        </row>
        <row r="118">
          <cell r="A118" t="str">
            <v>6216076056</v>
          </cell>
          <cell r="B118">
            <v>62160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6216076070</v>
          </cell>
          <cell r="B119">
            <v>62160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6216076091</v>
          </cell>
          <cell r="B120">
            <v>62160</v>
          </cell>
          <cell r="C120">
            <v>76091</v>
          </cell>
          <cell r="D120" t="str">
            <v>Parking Maintenance</v>
          </cell>
          <cell r="E120">
            <v>24143.02</v>
          </cell>
          <cell r="F120">
            <v>17723.490000000002</v>
          </cell>
          <cell r="G120">
            <v>6419.53</v>
          </cell>
          <cell r="H120">
            <v>34403.480000000003</v>
          </cell>
          <cell r="I120">
            <v>34403.480000000003</v>
          </cell>
          <cell r="J120">
            <v>0</v>
          </cell>
        </row>
        <row r="121">
          <cell r="A121" t="str">
            <v>6216077000</v>
          </cell>
          <cell r="B121">
            <v>62160</v>
          </cell>
          <cell r="C121">
            <v>77000</v>
          </cell>
          <cell r="D121" t="str">
            <v>Grounds Maintenance</v>
          </cell>
          <cell r="E121">
            <v>21332.84</v>
          </cell>
          <cell r="F121">
            <v>27857.56</v>
          </cell>
          <cell r="G121">
            <v>-6524.72</v>
          </cell>
          <cell r="H121">
            <v>42805.83</v>
          </cell>
          <cell r="I121">
            <v>42805.83</v>
          </cell>
          <cell r="J121">
            <v>0</v>
          </cell>
        </row>
        <row r="122">
          <cell r="A122" t="str">
            <v>6216077053</v>
          </cell>
          <cell r="B122">
            <v>62160</v>
          </cell>
          <cell r="C122">
            <v>77053</v>
          </cell>
          <cell r="D122" t="str">
            <v>Landscaping</v>
          </cell>
          <cell r="E122">
            <v>16771.830000000002</v>
          </cell>
          <cell r="F122">
            <v>11630.55</v>
          </cell>
          <cell r="G122">
            <v>5141.28</v>
          </cell>
          <cell r="H122">
            <v>35884.699999999997</v>
          </cell>
          <cell r="I122">
            <v>35884.699999999997</v>
          </cell>
          <cell r="J122">
            <v>0</v>
          </cell>
        </row>
        <row r="123">
          <cell r="A123" t="str">
            <v>6216078020</v>
          </cell>
          <cell r="B123">
            <v>62160</v>
          </cell>
          <cell r="C123">
            <v>78020</v>
          </cell>
          <cell r="D123" t="str">
            <v>Amortized CAM Exp</v>
          </cell>
          <cell r="E123">
            <v>9722.23</v>
          </cell>
          <cell r="F123">
            <v>9722.44</v>
          </cell>
          <cell r="G123">
            <v>-0.21000000000094601</v>
          </cell>
          <cell r="H123">
            <v>16667</v>
          </cell>
          <cell r="I123">
            <v>16667</v>
          </cell>
          <cell r="J123">
            <v>0</v>
          </cell>
        </row>
        <row r="124">
          <cell r="A124" t="str">
            <v>6216084264</v>
          </cell>
          <cell r="B124">
            <v>62160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6216085555</v>
          </cell>
          <cell r="B125">
            <v>62160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6216085584</v>
          </cell>
          <cell r="B126">
            <v>62160</v>
          </cell>
          <cell r="C126">
            <v>85584</v>
          </cell>
          <cell r="D126" t="str">
            <v>Bldg Admin-Office Costs</v>
          </cell>
          <cell r="E126">
            <v>3173.53</v>
          </cell>
          <cell r="F126">
            <v>4808.4399999999996</v>
          </cell>
          <cell r="G126">
            <v>-1634.91</v>
          </cell>
          <cell r="H126">
            <v>8243</v>
          </cell>
          <cell r="I126">
            <v>8243</v>
          </cell>
          <cell r="J126">
            <v>0</v>
          </cell>
        </row>
        <row r="127">
          <cell r="A127" t="str">
            <v>6216085582</v>
          </cell>
          <cell r="B127">
            <v>62160</v>
          </cell>
          <cell r="C127">
            <v>85582</v>
          </cell>
          <cell r="D127" t="str">
            <v>Bldg Admin-Salaries</v>
          </cell>
          <cell r="E127">
            <v>15210.7</v>
          </cell>
          <cell r="F127">
            <v>27910.52</v>
          </cell>
          <cell r="G127">
            <v>-12699.82</v>
          </cell>
          <cell r="H127">
            <v>50883.199999999997</v>
          </cell>
          <cell r="I127">
            <v>50883.199999999997</v>
          </cell>
          <cell r="J127">
            <v>0</v>
          </cell>
        </row>
        <row r="128">
          <cell r="A128" t="str">
            <v>6216086564</v>
          </cell>
          <cell r="B128">
            <v>62160</v>
          </cell>
          <cell r="C128">
            <v>86564</v>
          </cell>
          <cell r="D128" t="str">
            <v>Insurance</v>
          </cell>
          <cell r="E128">
            <v>16044</v>
          </cell>
          <cell r="F128">
            <v>15986.25</v>
          </cell>
          <cell r="G128">
            <v>57.75</v>
          </cell>
          <cell r="H128">
            <v>27405</v>
          </cell>
          <cell r="I128">
            <v>27405</v>
          </cell>
          <cell r="J128">
            <v>0</v>
          </cell>
        </row>
        <row r="129">
          <cell r="A129" t="str">
            <v>6216088846</v>
          </cell>
          <cell r="B129">
            <v>62160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6216088890</v>
          </cell>
          <cell r="B130">
            <v>62160</v>
          </cell>
          <cell r="C130">
            <v>88890</v>
          </cell>
          <cell r="D130" t="str">
            <v>Security/Safety</v>
          </cell>
          <cell r="E130">
            <v>7722</v>
          </cell>
          <cell r="F130">
            <v>8796.48</v>
          </cell>
          <cell r="G130">
            <v>-1074.48</v>
          </cell>
          <cell r="H130">
            <v>12936.92</v>
          </cell>
          <cell r="I130">
            <v>12936.92</v>
          </cell>
          <cell r="J130">
            <v>0</v>
          </cell>
        </row>
        <row r="131">
          <cell r="A131" t="str">
            <v>6216089775</v>
          </cell>
          <cell r="B131">
            <v>62160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6216089729</v>
          </cell>
          <cell r="B132">
            <v>62160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6216089786</v>
          </cell>
          <cell r="B133">
            <v>62160</v>
          </cell>
          <cell r="C133">
            <v>89786</v>
          </cell>
          <cell r="D133" t="str">
            <v>Property Tax Exp</v>
          </cell>
          <cell r="E133">
            <v>54195.19</v>
          </cell>
          <cell r="F133">
            <v>52192</v>
          </cell>
          <cell r="G133">
            <v>2003.19</v>
          </cell>
          <cell r="H133">
            <v>89472</v>
          </cell>
          <cell r="I133">
            <v>89472</v>
          </cell>
          <cell r="J133">
            <v>0</v>
          </cell>
        </row>
        <row r="134">
          <cell r="A134" t="str">
            <v>6216071040</v>
          </cell>
          <cell r="B134">
            <v>62160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6216072701</v>
          </cell>
          <cell r="B135">
            <v>62160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432.32</v>
          </cell>
          <cell r="G135">
            <v>-432.32</v>
          </cell>
          <cell r="H135">
            <v>530.36</v>
          </cell>
          <cell r="I135">
            <v>530.36</v>
          </cell>
          <cell r="J135">
            <v>0</v>
          </cell>
        </row>
        <row r="136">
          <cell r="A136" t="str">
            <v>6216072855</v>
          </cell>
          <cell r="B136">
            <v>62160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6216072870</v>
          </cell>
          <cell r="B137">
            <v>62160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6216076010</v>
          </cell>
          <cell r="B138">
            <v>62160</v>
          </cell>
          <cell r="C138">
            <v>76010</v>
          </cell>
          <cell r="D138" t="str">
            <v>Tenant Alterations</v>
          </cell>
          <cell r="E138">
            <v>1502.82</v>
          </cell>
          <cell r="F138">
            <v>0</v>
          </cell>
          <cell r="G138">
            <v>1502.82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6216076040</v>
          </cell>
          <cell r="B139">
            <v>62160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6216076051</v>
          </cell>
          <cell r="B140">
            <v>62160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6216076054</v>
          </cell>
          <cell r="B141">
            <v>62160</v>
          </cell>
          <cell r="C141">
            <v>76054</v>
          </cell>
          <cell r="D141" t="str">
            <v>Bldg Maintenance &amp; Repair</v>
          </cell>
          <cell r="E141">
            <v>29.59</v>
          </cell>
          <cell r="F141">
            <v>1.61</v>
          </cell>
          <cell r="G141">
            <v>27.98</v>
          </cell>
          <cell r="H141">
            <v>309.08999999999997</v>
          </cell>
          <cell r="I141">
            <v>309.08999999999997</v>
          </cell>
          <cell r="J141">
            <v>0</v>
          </cell>
        </row>
        <row r="142">
          <cell r="A142" t="str">
            <v>6216076060</v>
          </cell>
          <cell r="B142">
            <v>62160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6216076071</v>
          </cell>
          <cell r="B143">
            <v>62160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87540</v>
          </cell>
          <cell r="G143">
            <v>-87540</v>
          </cell>
          <cell r="H143">
            <v>87540</v>
          </cell>
          <cell r="I143">
            <v>87540</v>
          </cell>
          <cell r="J143">
            <v>0</v>
          </cell>
        </row>
        <row r="144">
          <cell r="A144" t="str">
            <v>6216076090</v>
          </cell>
          <cell r="B144">
            <v>62160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6216077001</v>
          </cell>
          <cell r="B145">
            <v>62160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6216077022</v>
          </cell>
          <cell r="B146">
            <v>62160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6216084200</v>
          </cell>
          <cell r="B147">
            <v>62160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6216084240</v>
          </cell>
          <cell r="B148">
            <v>62160</v>
          </cell>
          <cell r="C148">
            <v>84240</v>
          </cell>
          <cell r="D148" t="str">
            <v>Marketing Leasing</v>
          </cell>
          <cell r="E148">
            <v>13.32</v>
          </cell>
          <cell r="F148">
            <v>1146.81</v>
          </cell>
          <cell r="G148">
            <v>-1133.49</v>
          </cell>
          <cell r="H148">
            <v>1966</v>
          </cell>
          <cell r="I148">
            <v>1966</v>
          </cell>
          <cell r="J148">
            <v>0</v>
          </cell>
        </row>
        <row r="149">
          <cell r="A149" t="str">
            <v>6216084242</v>
          </cell>
          <cell r="B149">
            <v>62160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6216084243</v>
          </cell>
          <cell r="B150">
            <v>62160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6216084244</v>
          </cell>
          <cell r="B151">
            <v>62160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91.19</v>
          </cell>
          <cell r="G151">
            <v>-91.19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6216084265</v>
          </cell>
          <cell r="B152">
            <v>62160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6216088037</v>
          </cell>
          <cell r="B153">
            <v>62160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6216085016</v>
          </cell>
          <cell r="B154">
            <v>62160</v>
          </cell>
          <cell r="C154">
            <v>85016</v>
          </cell>
          <cell r="D154" t="str">
            <v>Prof Svc-Attorney Outside</v>
          </cell>
          <cell r="E154">
            <v>304</v>
          </cell>
          <cell r="F154">
            <v>1423.47</v>
          </cell>
          <cell r="G154">
            <v>-1119.47</v>
          </cell>
          <cell r="H154">
            <v>2453.4699999999998</v>
          </cell>
          <cell r="I154">
            <v>2453.4699999999998</v>
          </cell>
          <cell r="J154">
            <v>0</v>
          </cell>
        </row>
        <row r="155">
          <cell r="A155" t="str">
            <v>6216085022</v>
          </cell>
          <cell r="B155">
            <v>62160</v>
          </cell>
          <cell r="C155">
            <v>85022</v>
          </cell>
          <cell r="D155" t="str">
            <v>Prof Svc-Audit/Acctng</v>
          </cell>
          <cell r="E155">
            <v>347.58</v>
          </cell>
          <cell r="F155">
            <v>0</v>
          </cell>
          <cell r="G155">
            <v>347.58</v>
          </cell>
          <cell r="H155">
            <v>2133.4899999999998</v>
          </cell>
          <cell r="I155">
            <v>2133.4899999999998</v>
          </cell>
          <cell r="J155">
            <v>0</v>
          </cell>
        </row>
        <row r="156">
          <cell r="A156" t="str">
            <v>6216085065</v>
          </cell>
          <cell r="B156">
            <v>62160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6216085500</v>
          </cell>
          <cell r="B157">
            <v>62160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145</v>
          </cell>
          <cell r="G157">
            <v>-145</v>
          </cell>
          <cell r="H157">
            <v>345</v>
          </cell>
          <cell r="I157">
            <v>345</v>
          </cell>
          <cell r="J157">
            <v>0</v>
          </cell>
        </row>
        <row r="158">
          <cell r="A158" t="str">
            <v>6216085566</v>
          </cell>
          <cell r="B158">
            <v>62160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6216085581</v>
          </cell>
          <cell r="B159">
            <v>62160</v>
          </cell>
          <cell r="C159">
            <v>85581</v>
          </cell>
          <cell r="D159" t="str">
            <v>Bldg Admin- Salaries</v>
          </cell>
          <cell r="E159">
            <v>11113.9</v>
          </cell>
          <cell r="F159">
            <v>23981.98</v>
          </cell>
          <cell r="G159">
            <v>-12868.08</v>
          </cell>
          <cell r="H159">
            <v>42947.3</v>
          </cell>
          <cell r="I159">
            <v>42947.3</v>
          </cell>
          <cell r="J159">
            <v>0</v>
          </cell>
        </row>
        <row r="160">
          <cell r="A160" t="str">
            <v>6216085583</v>
          </cell>
          <cell r="B160">
            <v>62160</v>
          </cell>
          <cell r="C160">
            <v>85583</v>
          </cell>
          <cell r="D160" t="str">
            <v>Bldg Admin-Office Exp.</v>
          </cell>
          <cell r="E160">
            <v>1908.34</v>
          </cell>
          <cell r="F160">
            <v>0</v>
          </cell>
          <cell r="G160">
            <v>1908.34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6216085530</v>
          </cell>
          <cell r="B161">
            <v>62160</v>
          </cell>
          <cell r="C161">
            <v>85530</v>
          </cell>
          <cell r="D161" t="str">
            <v>Bldg Admin - Office Exp</v>
          </cell>
          <cell r="E161">
            <v>1908.34</v>
          </cell>
          <cell r="F161">
            <v>0</v>
          </cell>
          <cell r="G161">
            <v>1908.34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6216086012</v>
          </cell>
          <cell r="B162">
            <v>62160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6216086037</v>
          </cell>
          <cell r="B163">
            <v>62160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6216083050</v>
          </cell>
          <cell r="B164">
            <v>62160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6216086510</v>
          </cell>
          <cell r="B165">
            <v>62160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6216086537</v>
          </cell>
          <cell r="B166">
            <v>62160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6216086566</v>
          </cell>
          <cell r="B167">
            <v>62160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6216086955</v>
          </cell>
          <cell r="B168">
            <v>62160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6216086985</v>
          </cell>
          <cell r="B169">
            <v>62160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6216086880</v>
          </cell>
          <cell r="B170">
            <v>62160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6216088710</v>
          </cell>
          <cell r="B171">
            <v>62160</v>
          </cell>
          <cell r="C171">
            <v>88710</v>
          </cell>
          <cell r="D171" t="str">
            <v>Losses-Bad Debts</v>
          </cell>
          <cell r="E171">
            <v>13976.76</v>
          </cell>
          <cell r="F171">
            <v>11654.4</v>
          </cell>
          <cell r="G171">
            <v>2322.36</v>
          </cell>
          <cell r="H171">
            <v>23308.639999999999</v>
          </cell>
          <cell r="I171">
            <v>23308.639999999999</v>
          </cell>
          <cell r="J171">
            <v>0</v>
          </cell>
        </row>
        <row r="172">
          <cell r="A172" t="str">
            <v>6216088711</v>
          </cell>
          <cell r="B172">
            <v>62160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6216088785</v>
          </cell>
          <cell r="B173">
            <v>62160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6216088847</v>
          </cell>
          <cell r="B174">
            <v>62160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6216088866</v>
          </cell>
          <cell r="B175">
            <v>62160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6216088870</v>
          </cell>
          <cell r="B176">
            <v>62160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6216088889</v>
          </cell>
          <cell r="B177">
            <v>62160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6216089776</v>
          </cell>
          <cell r="B178">
            <v>62160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6216089787</v>
          </cell>
          <cell r="B179">
            <v>62160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6216089510</v>
          </cell>
          <cell r="B180">
            <v>62160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6216089511</v>
          </cell>
          <cell r="B181">
            <v>62160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6216089512</v>
          </cell>
          <cell r="B182">
            <v>62160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6216089528</v>
          </cell>
          <cell r="B183">
            <v>62160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6216089529</v>
          </cell>
          <cell r="B184">
            <v>62160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6216089567</v>
          </cell>
          <cell r="B185">
            <v>62160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6216085058</v>
          </cell>
          <cell r="B186">
            <v>62160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6216086513</v>
          </cell>
          <cell r="B187">
            <v>62160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1000.65</v>
          </cell>
          <cell r="G187">
            <v>-1000.65</v>
          </cell>
          <cell r="H187">
            <v>1715.4</v>
          </cell>
          <cell r="I187">
            <v>1715.4</v>
          </cell>
          <cell r="J187">
            <v>0</v>
          </cell>
        </row>
        <row r="188">
          <cell r="A188" t="str">
            <v>6216086519</v>
          </cell>
          <cell r="B188">
            <v>62160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6216088770</v>
          </cell>
          <cell r="B189">
            <v>62160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6216088862</v>
          </cell>
          <cell r="B190">
            <v>62160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6216088874</v>
          </cell>
          <cell r="B191">
            <v>62160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6216089910</v>
          </cell>
          <cell r="B192">
            <v>62160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68641.69</v>
          </cell>
          <cell r="G192">
            <v>-68641.69</v>
          </cell>
          <cell r="H192">
            <v>117671.45</v>
          </cell>
          <cell r="I192">
            <v>117671.45</v>
          </cell>
          <cell r="J192">
            <v>0</v>
          </cell>
        </row>
        <row r="193">
          <cell r="A193" t="str">
            <v>6216089548</v>
          </cell>
          <cell r="B193">
            <v>62160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6219741010</v>
          </cell>
          <cell r="B194">
            <v>62197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6219741040</v>
          </cell>
          <cell r="B195">
            <v>62197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6219741050</v>
          </cell>
          <cell r="B196">
            <v>62197</v>
          </cell>
          <cell r="C196">
            <v>41050</v>
          </cell>
          <cell r="D196" t="str">
            <v>Rental Income - Fixed</v>
          </cell>
          <cell r="E196">
            <v>-2436463.85</v>
          </cell>
          <cell r="F196">
            <v>-2577358.63</v>
          </cell>
          <cell r="G196">
            <v>140894.78</v>
          </cell>
          <cell r="H196">
            <v>-4536471.82</v>
          </cell>
          <cell r="I196">
            <v>-4536471.82</v>
          </cell>
          <cell r="J196">
            <v>0</v>
          </cell>
        </row>
        <row r="197">
          <cell r="A197" t="str">
            <v>6219741074</v>
          </cell>
          <cell r="B197">
            <v>62197</v>
          </cell>
          <cell r="C197">
            <v>41074</v>
          </cell>
          <cell r="D197" t="str">
            <v>Rental Income - Percentage</v>
          </cell>
          <cell r="E197">
            <v>-15357.81</v>
          </cell>
          <cell r="F197">
            <v>-31017</v>
          </cell>
          <cell r="G197">
            <v>15659.19</v>
          </cell>
          <cell r="H197">
            <v>-53172</v>
          </cell>
          <cell r="I197">
            <v>-53172</v>
          </cell>
          <cell r="J197">
            <v>0</v>
          </cell>
        </row>
        <row r="198">
          <cell r="A198" t="str">
            <v>6219741082</v>
          </cell>
          <cell r="B198">
            <v>62197</v>
          </cell>
          <cell r="C198">
            <v>41082</v>
          </cell>
          <cell r="D198" t="str">
            <v>Rental Income - Operating Exp</v>
          </cell>
          <cell r="E198">
            <v>-659816.09</v>
          </cell>
          <cell r="F198">
            <v>-888004.18</v>
          </cell>
          <cell r="G198">
            <v>228188.09</v>
          </cell>
          <cell r="H198">
            <v>-1522292.88</v>
          </cell>
          <cell r="I198">
            <v>-1522292.88</v>
          </cell>
          <cell r="J198">
            <v>0</v>
          </cell>
        </row>
        <row r="199">
          <cell r="A199" t="str">
            <v>6219744610</v>
          </cell>
          <cell r="B199">
            <v>62197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6219745071</v>
          </cell>
          <cell r="B200">
            <v>62197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6219745010</v>
          </cell>
          <cell r="B201">
            <v>62197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6219745046</v>
          </cell>
          <cell r="B202">
            <v>62197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6219745070</v>
          </cell>
          <cell r="B203">
            <v>62197</v>
          </cell>
          <cell r="C203">
            <v>45070</v>
          </cell>
          <cell r="D203" t="str">
            <v>Other Income</v>
          </cell>
          <cell r="E203">
            <v>-59312.34</v>
          </cell>
          <cell r="F203">
            <v>-21813.19</v>
          </cell>
          <cell r="G203">
            <v>-37499.15</v>
          </cell>
          <cell r="H203">
            <v>-22072.07</v>
          </cell>
          <cell r="I203">
            <v>-22072.07</v>
          </cell>
          <cell r="J203">
            <v>0</v>
          </cell>
        </row>
        <row r="204">
          <cell r="A204" t="str">
            <v>6219741060</v>
          </cell>
          <cell r="B204">
            <v>62197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228480</v>
          </cell>
          <cell r="G204">
            <v>-228480</v>
          </cell>
          <cell r="H204">
            <v>391680</v>
          </cell>
          <cell r="I204">
            <v>391680</v>
          </cell>
          <cell r="J204">
            <v>0</v>
          </cell>
        </row>
        <row r="205">
          <cell r="A205" t="str">
            <v>6219744870</v>
          </cell>
          <cell r="B205">
            <v>62197</v>
          </cell>
          <cell r="C205">
            <v>44870</v>
          </cell>
          <cell r="D205" t="str">
            <v>Late Fees</v>
          </cell>
          <cell r="E205">
            <v>-750</v>
          </cell>
          <cell r="F205">
            <v>0</v>
          </cell>
          <cell r="G205">
            <v>-750</v>
          </cell>
          <cell r="H205">
            <v>-750</v>
          </cell>
          <cell r="I205">
            <v>-750</v>
          </cell>
          <cell r="J205">
            <v>0</v>
          </cell>
        </row>
        <row r="206">
          <cell r="A206" t="str">
            <v>6219752542</v>
          </cell>
          <cell r="B206">
            <v>62197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6219772710</v>
          </cell>
          <cell r="B207">
            <v>62197</v>
          </cell>
          <cell r="C207">
            <v>72710</v>
          </cell>
          <cell r="D207" t="str">
            <v>Utilities - Electricity</v>
          </cell>
          <cell r="E207">
            <v>13922.66</v>
          </cell>
          <cell r="F207">
            <v>34137.93</v>
          </cell>
          <cell r="G207">
            <v>-20215.27</v>
          </cell>
          <cell r="H207">
            <v>61652.97</v>
          </cell>
          <cell r="I207">
            <v>61652.97</v>
          </cell>
          <cell r="J207">
            <v>0</v>
          </cell>
        </row>
        <row r="208">
          <cell r="A208" t="str">
            <v>6219772740</v>
          </cell>
          <cell r="B208">
            <v>62197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6219772770</v>
          </cell>
          <cell r="B209">
            <v>62197</v>
          </cell>
          <cell r="C209">
            <v>72770</v>
          </cell>
          <cell r="D209" t="str">
            <v>Utilities - Water</v>
          </cell>
          <cell r="E209">
            <v>9579.7900000000009</v>
          </cell>
          <cell r="F209">
            <v>12247.84</v>
          </cell>
          <cell r="G209">
            <v>-2668.05</v>
          </cell>
          <cell r="H209">
            <v>23078.89</v>
          </cell>
          <cell r="I209">
            <v>23078.89</v>
          </cell>
          <cell r="J209">
            <v>0</v>
          </cell>
        </row>
        <row r="210">
          <cell r="A210" t="str">
            <v>6219776000</v>
          </cell>
          <cell r="B210">
            <v>62197</v>
          </cell>
          <cell r="C210">
            <v>76000</v>
          </cell>
          <cell r="D210" t="str">
            <v>Bldg Maintenance &amp; Repair</v>
          </cell>
          <cell r="E210">
            <v>28204.5</v>
          </cell>
          <cell r="F210">
            <v>50675.85</v>
          </cell>
          <cell r="G210">
            <v>-22471.35</v>
          </cell>
          <cell r="H210">
            <v>93635.76</v>
          </cell>
          <cell r="I210">
            <v>93635.76</v>
          </cell>
          <cell r="J210">
            <v>0</v>
          </cell>
        </row>
        <row r="211">
          <cell r="A211" t="str">
            <v>6219776020</v>
          </cell>
          <cell r="B211">
            <v>62197</v>
          </cell>
          <cell r="C211">
            <v>76020</v>
          </cell>
          <cell r="D211" t="str">
            <v>Food Court Expense</v>
          </cell>
          <cell r="E211">
            <v>9870</v>
          </cell>
          <cell r="F211">
            <v>12079.84</v>
          </cell>
          <cell r="G211">
            <v>-2209.84</v>
          </cell>
          <cell r="H211">
            <v>20340.439999999999</v>
          </cell>
          <cell r="I211">
            <v>20340.439999999999</v>
          </cell>
          <cell r="J211">
            <v>0</v>
          </cell>
        </row>
        <row r="212">
          <cell r="A212" t="str">
            <v>6219776034</v>
          </cell>
          <cell r="B212">
            <v>62197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6219776050</v>
          </cell>
          <cell r="B213">
            <v>62197</v>
          </cell>
          <cell r="C213">
            <v>76050</v>
          </cell>
          <cell r="D213" t="str">
            <v>Cleaning Expense</v>
          </cell>
          <cell r="E213">
            <v>63150.1</v>
          </cell>
          <cell r="F213">
            <v>59884.39</v>
          </cell>
          <cell r="G213">
            <v>3265.71</v>
          </cell>
          <cell r="H213">
            <v>109484.91</v>
          </cell>
          <cell r="I213">
            <v>109484.91</v>
          </cell>
          <cell r="J213">
            <v>0</v>
          </cell>
        </row>
        <row r="214">
          <cell r="A214" t="str">
            <v>6219776056</v>
          </cell>
          <cell r="B214">
            <v>62197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6219776070</v>
          </cell>
          <cell r="B215">
            <v>62197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6219776091</v>
          </cell>
          <cell r="B216">
            <v>62197</v>
          </cell>
          <cell r="C216">
            <v>76091</v>
          </cell>
          <cell r="D216" t="str">
            <v>Parking Maintenance</v>
          </cell>
          <cell r="E216">
            <v>31871.14</v>
          </cell>
          <cell r="F216">
            <v>30783.19</v>
          </cell>
          <cell r="G216">
            <v>1087.95</v>
          </cell>
          <cell r="H216">
            <v>57426.7</v>
          </cell>
          <cell r="I216">
            <v>57426.7</v>
          </cell>
          <cell r="J216">
            <v>0</v>
          </cell>
        </row>
        <row r="217">
          <cell r="A217" t="str">
            <v>6219777000</v>
          </cell>
          <cell r="B217">
            <v>62197</v>
          </cell>
          <cell r="C217">
            <v>77000</v>
          </cell>
          <cell r="D217" t="str">
            <v>Grounds Maintenance</v>
          </cell>
          <cell r="E217">
            <v>32687.58</v>
          </cell>
          <cell r="F217">
            <v>33049.760000000002</v>
          </cell>
          <cell r="G217">
            <v>-362.18</v>
          </cell>
          <cell r="H217">
            <v>60496.83</v>
          </cell>
          <cell r="I217">
            <v>60496.83</v>
          </cell>
          <cell r="J217">
            <v>0</v>
          </cell>
        </row>
        <row r="218">
          <cell r="A218" t="str">
            <v>6219777053</v>
          </cell>
          <cell r="B218">
            <v>62197</v>
          </cell>
          <cell r="C218">
            <v>77053</v>
          </cell>
          <cell r="D218" t="str">
            <v>Landscaping</v>
          </cell>
          <cell r="E218">
            <v>60294</v>
          </cell>
          <cell r="F218">
            <v>92278.82</v>
          </cell>
          <cell r="G218">
            <v>-31984.82</v>
          </cell>
          <cell r="H218">
            <v>122670.74</v>
          </cell>
          <cell r="I218">
            <v>122670.74</v>
          </cell>
          <cell r="J218">
            <v>0</v>
          </cell>
        </row>
        <row r="219">
          <cell r="A219" t="str">
            <v>6219778020</v>
          </cell>
          <cell r="B219">
            <v>62197</v>
          </cell>
          <cell r="C219">
            <v>78020</v>
          </cell>
          <cell r="D219" t="str">
            <v>Amortized CAM Exp</v>
          </cell>
          <cell r="E219">
            <v>37916.68</v>
          </cell>
          <cell r="F219">
            <v>37916.69</v>
          </cell>
          <cell r="G219">
            <v>-1.0000000002037299E-2</v>
          </cell>
          <cell r="H219">
            <v>65000</v>
          </cell>
          <cell r="I219">
            <v>65000</v>
          </cell>
          <cell r="J219">
            <v>0</v>
          </cell>
        </row>
        <row r="220">
          <cell r="A220" t="str">
            <v>6219784264</v>
          </cell>
          <cell r="B220">
            <v>62197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6219785555</v>
          </cell>
          <cell r="B221">
            <v>62197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6219785584</v>
          </cell>
          <cell r="B222">
            <v>62197</v>
          </cell>
          <cell r="C222">
            <v>85584</v>
          </cell>
          <cell r="D222" t="str">
            <v>Bldg Admin-Office Costs</v>
          </cell>
          <cell r="E222">
            <v>14371.74</v>
          </cell>
          <cell r="F222">
            <v>21519.75</v>
          </cell>
          <cell r="G222">
            <v>-7148.01</v>
          </cell>
          <cell r="H222">
            <v>36891</v>
          </cell>
          <cell r="I222">
            <v>36891</v>
          </cell>
          <cell r="J222">
            <v>0</v>
          </cell>
        </row>
        <row r="223">
          <cell r="A223" t="str">
            <v>6219785582</v>
          </cell>
          <cell r="B223">
            <v>62197</v>
          </cell>
          <cell r="C223">
            <v>85582</v>
          </cell>
          <cell r="D223" t="str">
            <v>Bldg Admin-Salaries</v>
          </cell>
          <cell r="E223">
            <v>69084.47</v>
          </cell>
          <cell r="F223">
            <v>103366.52</v>
          </cell>
          <cell r="G223">
            <v>-34282.050000000003</v>
          </cell>
          <cell r="H223">
            <v>187665.2</v>
          </cell>
          <cell r="I223">
            <v>187665.2</v>
          </cell>
          <cell r="J223">
            <v>0</v>
          </cell>
        </row>
        <row r="224">
          <cell r="A224" t="str">
            <v>6219786564</v>
          </cell>
          <cell r="B224">
            <v>62197</v>
          </cell>
          <cell r="C224">
            <v>86564</v>
          </cell>
          <cell r="D224" t="str">
            <v>Insurance</v>
          </cell>
          <cell r="E224">
            <v>45507.199999999997</v>
          </cell>
          <cell r="F224">
            <v>43104.81</v>
          </cell>
          <cell r="G224">
            <v>2402.39</v>
          </cell>
          <cell r="H224">
            <v>73894</v>
          </cell>
          <cell r="I224">
            <v>73894</v>
          </cell>
          <cell r="J224">
            <v>0</v>
          </cell>
        </row>
        <row r="225">
          <cell r="A225" t="str">
            <v>6219788846</v>
          </cell>
          <cell r="B225">
            <v>62197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6219788890</v>
          </cell>
          <cell r="B226">
            <v>62197</v>
          </cell>
          <cell r="C226">
            <v>88890</v>
          </cell>
          <cell r="D226" t="str">
            <v>Security/Safety</v>
          </cell>
          <cell r="E226">
            <v>29465.759999999998</v>
          </cell>
          <cell r="F226">
            <v>30512</v>
          </cell>
          <cell r="G226">
            <v>-1046.24</v>
          </cell>
          <cell r="H226">
            <v>53626.86</v>
          </cell>
          <cell r="I226">
            <v>53626.86</v>
          </cell>
          <cell r="J226">
            <v>0</v>
          </cell>
        </row>
        <row r="227">
          <cell r="A227" t="str">
            <v>6219789775</v>
          </cell>
          <cell r="B227">
            <v>62197</v>
          </cell>
          <cell r="C227">
            <v>89775</v>
          </cell>
          <cell r="D227" t="str">
            <v>Assmt Dist Taxes- Reimb</v>
          </cell>
          <cell r="E227">
            <v>54310.69</v>
          </cell>
          <cell r="F227">
            <v>72414.44</v>
          </cell>
          <cell r="G227">
            <v>-18103.75</v>
          </cell>
          <cell r="H227">
            <v>124139</v>
          </cell>
          <cell r="I227">
            <v>124139</v>
          </cell>
          <cell r="J227">
            <v>0</v>
          </cell>
        </row>
        <row r="228">
          <cell r="A228" t="str">
            <v>6219789729</v>
          </cell>
          <cell r="B228">
            <v>62197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6219789786</v>
          </cell>
          <cell r="B229">
            <v>62197</v>
          </cell>
          <cell r="C229">
            <v>89786</v>
          </cell>
          <cell r="D229" t="str">
            <v>Property Tax Exp</v>
          </cell>
          <cell r="E229">
            <v>111788.18</v>
          </cell>
          <cell r="F229">
            <v>109134.69</v>
          </cell>
          <cell r="G229">
            <v>2653.4899999999898</v>
          </cell>
          <cell r="H229">
            <v>187088</v>
          </cell>
          <cell r="I229">
            <v>187088</v>
          </cell>
          <cell r="J229">
            <v>0</v>
          </cell>
        </row>
        <row r="230">
          <cell r="A230" t="str">
            <v>6219771040</v>
          </cell>
          <cell r="B230">
            <v>62197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6219772701</v>
          </cell>
          <cell r="B231">
            <v>62197</v>
          </cell>
          <cell r="C231">
            <v>72701</v>
          </cell>
          <cell r="D231" t="str">
            <v>Utilities</v>
          </cell>
          <cell r="E231">
            <v>1441.94</v>
          </cell>
          <cell r="F231">
            <v>1873.33</v>
          </cell>
          <cell r="G231">
            <v>-431.39</v>
          </cell>
          <cell r="H231">
            <v>2224</v>
          </cell>
          <cell r="I231">
            <v>2224</v>
          </cell>
          <cell r="J231">
            <v>0</v>
          </cell>
        </row>
        <row r="232">
          <cell r="A232" t="str">
            <v>6219772855</v>
          </cell>
          <cell r="B232">
            <v>62197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6219772870</v>
          </cell>
          <cell r="B233">
            <v>62197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6219776010</v>
          </cell>
          <cell r="B234">
            <v>62197</v>
          </cell>
          <cell r="C234">
            <v>76010</v>
          </cell>
          <cell r="D234" t="str">
            <v>Tenant Alterations</v>
          </cell>
          <cell r="E234">
            <v>128.28</v>
          </cell>
          <cell r="F234">
            <v>1996.14</v>
          </cell>
          <cell r="G234">
            <v>-1867.86</v>
          </cell>
          <cell r="H234">
            <v>2305.14</v>
          </cell>
          <cell r="I234">
            <v>2305.14</v>
          </cell>
          <cell r="J234">
            <v>0</v>
          </cell>
        </row>
        <row r="235">
          <cell r="A235" t="str">
            <v>6219776040</v>
          </cell>
          <cell r="B235">
            <v>62197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6219776051</v>
          </cell>
          <cell r="B236">
            <v>62197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6219776054</v>
          </cell>
          <cell r="B237">
            <v>62197</v>
          </cell>
          <cell r="C237">
            <v>76054</v>
          </cell>
          <cell r="D237" t="str">
            <v>Bldg Maintenance &amp; Repair</v>
          </cell>
          <cell r="E237">
            <v>1801.71</v>
          </cell>
          <cell r="F237">
            <v>38682.47</v>
          </cell>
          <cell r="G237">
            <v>-36880.76</v>
          </cell>
          <cell r="H237">
            <v>55152.24</v>
          </cell>
          <cell r="I237">
            <v>55152.24</v>
          </cell>
          <cell r="J237">
            <v>0</v>
          </cell>
        </row>
        <row r="238">
          <cell r="A238" t="str">
            <v>6219776060</v>
          </cell>
          <cell r="B238">
            <v>62197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6219776071</v>
          </cell>
          <cell r="B239">
            <v>62197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19625</v>
          </cell>
          <cell r="G239">
            <v>-19625</v>
          </cell>
          <cell r="H239">
            <v>40250</v>
          </cell>
          <cell r="I239">
            <v>40250</v>
          </cell>
          <cell r="J239">
            <v>0</v>
          </cell>
        </row>
        <row r="240">
          <cell r="A240" t="str">
            <v>6219776090</v>
          </cell>
          <cell r="B240">
            <v>62197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6219777001</v>
          </cell>
          <cell r="B241">
            <v>62197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6219777022</v>
          </cell>
          <cell r="B242">
            <v>62197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6219784200</v>
          </cell>
          <cell r="B243">
            <v>62197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6219784240</v>
          </cell>
          <cell r="B244">
            <v>62197</v>
          </cell>
          <cell r="C244">
            <v>84240</v>
          </cell>
          <cell r="D244" t="str">
            <v>Marketing Leasing</v>
          </cell>
          <cell r="E244">
            <v>6826.58</v>
          </cell>
          <cell r="F244">
            <v>18867.79</v>
          </cell>
          <cell r="G244">
            <v>-12041.21</v>
          </cell>
          <cell r="H244">
            <v>33706.800000000003</v>
          </cell>
          <cell r="I244">
            <v>33706.800000000003</v>
          </cell>
          <cell r="J244">
            <v>0</v>
          </cell>
        </row>
        <row r="245">
          <cell r="A245" t="str">
            <v>6219784242</v>
          </cell>
          <cell r="B245">
            <v>62197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6219784243</v>
          </cell>
          <cell r="B246">
            <v>62197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-24587.84</v>
          </cell>
          <cell r="I246">
            <v>-24587.84</v>
          </cell>
          <cell r="J246">
            <v>0</v>
          </cell>
        </row>
        <row r="247">
          <cell r="A247" t="str">
            <v>6219784244</v>
          </cell>
          <cell r="B247">
            <v>62197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6219784265</v>
          </cell>
          <cell r="B248">
            <v>62197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6219788037</v>
          </cell>
          <cell r="B249">
            <v>62197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6219785016</v>
          </cell>
          <cell r="B250">
            <v>62197</v>
          </cell>
          <cell r="C250">
            <v>85016</v>
          </cell>
          <cell r="D250" t="str">
            <v>Prof Svc-Attorney Outside</v>
          </cell>
          <cell r="E250">
            <v>5991.19</v>
          </cell>
          <cell r="F250">
            <v>1345.63</v>
          </cell>
          <cell r="G250">
            <v>4645.5600000000004</v>
          </cell>
          <cell r="H250">
            <v>9508.3799999999992</v>
          </cell>
          <cell r="I250">
            <v>9508.3799999999992</v>
          </cell>
          <cell r="J250">
            <v>0</v>
          </cell>
        </row>
        <row r="251">
          <cell r="A251" t="str">
            <v>6219785022</v>
          </cell>
          <cell r="B251">
            <v>62197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1042.8800000000001</v>
          </cell>
          <cell r="G251">
            <v>-1042.8800000000001</v>
          </cell>
          <cell r="H251">
            <v>6563.01</v>
          </cell>
          <cell r="I251">
            <v>6563.01</v>
          </cell>
          <cell r="J251">
            <v>0</v>
          </cell>
        </row>
        <row r="252">
          <cell r="A252" t="str">
            <v>6219785065</v>
          </cell>
          <cell r="B252">
            <v>62197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6219785500</v>
          </cell>
          <cell r="B253">
            <v>62197</v>
          </cell>
          <cell r="C253">
            <v>85500</v>
          </cell>
          <cell r="D253" t="str">
            <v>Consulting Services</v>
          </cell>
          <cell r="E253">
            <v>150</v>
          </cell>
          <cell r="F253">
            <v>1429.41</v>
          </cell>
          <cell r="G253">
            <v>-1279.4100000000001</v>
          </cell>
          <cell r="H253">
            <v>2270.2399999999998</v>
          </cell>
          <cell r="I253">
            <v>2270.2399999999998</v>
          </cell>
          <cell r="J253">
            <v>0</v>
          </cell>
        </row>
        <row r="254">
          <cell r="A254" t="str">
            <v>6219785566</v>
          </cell>
          <cell r="B254">
            <v>62197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6219785581</v>
          </cell>
          <cell r="B255">
            <v>62197</v>
          </cell>
          <cell r="C255">
            <v>85581</v>
          </cell>
          <cell r="D255" t="str">
            <v>Bldg Admin- Salaries</v>
          </cell>
          <cell r="E255">
            <v>42808.58</v>
          </cell>
          <cell r="F255">
            <v>76734.02</v>
          </cell>
          <cell r="G255">
            <v>-33925.440000000002</v>
          </cell>
          <cell r="H255">
            <v>138985.70000000001</v>
          </cell>
          <cell r="I255">
            <v>138985.70000000001</v>
          </cell>
          <cell r="J255">
            <v>0</v>
          </cell>
        </row>
        <row r="256">
          <cell r="A256" t="str">
            <v>6219785583</v>
          </cell>
          <cell r="B256">
            <v>62197</v>
          </cell>
          <cell r="C256">
            <v>85583</v>
          </cell>
          <cell r="D256" t="str">
            <v>Bldg Admin-Office Exp.</v>
          </cell>
          <cell r="E256">
            <v>8080.26</v>
          </cell>
          <cell r="F256">
            <v>0</v>
          </cell>
          <cell r="G256">
            <v>8080.26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6219785530</v>
          </cell>
          <cell r="B257">
            <v>62197</v>
          </cell>
          <cell r="C257">
            <v>85530</v>
          </cell>
          <cell r="D257" t="str">
            <v>Bldg Admin - Office Exp</v>
          </cell>
          <cell r="E257">
            <v>8080.26</v>
          </cell>
          <cell r="F257">
            <v>0</v>
          </cell>
          <cell r="G257">
            <v>8080.26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6219786012</v>
          </cell>
          <cell r="B258">
            <v>62197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6219786037</v>
          </cell>
          <cell r="B259">
            <v>62197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6219783050</v>
          </cell>
          <cell r="B260">
            <v>62197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6219786510</v>
          </cell>
          <cell r="B261">
            <v>62197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6219786537</v>
          </cell>
          <cell r="B262">
            <v>62197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6219786566</v>
          </cell>
          <cell r="B263">
            <v>62197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6219786955</v>
          </cell>
          <cell r="B264">
            <v>62197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6219786985</v>
          </cell>
          <cell r="B265">
            <v>62197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6219786880</v>
          </cell>
          <cell r="B266">
            <v>62197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6219788710</v>
          </cell>
          <cell r="B267">
            <v>62197</v>
          </cell>
          <cell r="C267">
            <v>88710</v>
          </cell>
          <cell r="D267" t="str">
            <v>Losses-Bad Debts</v>
          </cell>
          <cell r="E267">
            <v>36890.879999999997</v>
          </cell>
          <cell r="F267">
            <v>30674</v>
          </cell>
          <cell r="G267">
            <v>6216.88</v>
          </cell>
          <cell r="H267">
            <v>61348</v>
          </cell>
          <cell r="I267">
            <v>61348</v>
          </cell>
          <cell r="J267">
            <v>0</v>
          </cell>
        </row>
        <row r="268">
          <cell r="A268" t="str">
            <v>6219788711</v>
          </cell>
          <cell r="B268">
            <v>62197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6219788785</v>
          </cell>
          <cell r="B269">
            <v>62197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6219788847</v>
          </cell>
          <cell r="B270">
            <v>62197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6219788866</v>
          </cell>
          <cell r="B271">
            <v>62197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6219788870</v>
          </cell>
          <cell r="B272">
            <v>62197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6219788889</v>
          </cell>
          <cell r="B273">
            <v>62197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6219789776</v>
          </cell>
          <cell r="B274">
            <v>62197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6219789787</v>
          </cell>
          <cell r="B275">
            <v>62197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6219789510</v>
          </cell>
          <cell r="B276">
            <v>62197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712901</v>
          </cell>
          <cell r="G276">
            <v>-712901</v>
          </cell>
          <cell r="H276">
            <v>1200071</v>
          </cell>
          <cell r="I276">
            <v>1200071</v>
          </cell>
          <cell r="J276">
            <v>0</v>
          </cell>
        </row>
        <row r="277">
          <cell r="A277" t="str">
            <v>6219789511</v>
          </cell>
          <cell r="B277">
            <v>62197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6219789512</v>
          </cell>
          <cell r="B278">
            <v>62197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6219789528</v>
          </cell>
          <cell r="B279">
            <v>62197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6219789529</v>
          </cell>
          <cell r="B280">
            <v>62197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16338</v>
          </cell>
          <cell r="G280">
            <v>-16338</v>
          </cell>
          <cell r="H280">
            <v>28008</v>
          </cell>
          <cell r="I280">
            <v>28008</v>
          </cell>
          <cell r="J280">
            <v>0</v>
          </cell>
        </row>
        <row r="281">
          <cell r="A281" t="str">
            <v>6219789567</v>
          </cell>
          <cell r="B281">
            <v>62197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6219785058</v>
          </cell>
          <cell r="B282">
            <v>62197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6219786513</v>
          </cell>
          <cell r="B283">
            <v>62197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2136.04</v>
          </cell>
          <cell r="G283">
            <v>-2136.04</v>
          </cell>
          <cell r="H283">
            <v>6344.69</v>
          </cell>
          <cell r="I283">
            <v>6344.69</v>
          </cell>
          <cell r="J283">
            <v>0</v>
          </cell>
        </row>
        <row r="284">
          <cell r="A284" t="str">
            <v>6219786519</v>
          </cell>
          <cell r="B284">
            <v>62197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6219788770</v>
          </cell>
          <cell r="B285">
            <v>62197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6219788862</v>
          </cell>
          <cell r="B286">
            <v>62197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6219788874</v>
          </cell>
          <cell r="B287">
            <v>62197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6219789910</v>
          </cell>
          <cell r="B288">
            <v>62197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237630.18</v>
          </cell>
          <cell r="G288">
            <v>-237630.18</v>
          </cell>
          <cell r="H288">
            <v>418959.38</v>
          </cell>
          <cell r="I288">
            <v>418959.38</v>
          </cell>
          <cell r="J288">
            <v>0</v>
          </cell>
        </row>
        <row r="289">
          <cell r="A289" t="str">
            <v>6219789548</v>
          </cell>
          <cell r="B289">
            <v>62197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-2053561.89</v>
          </cell>
          <cell r="F292">
            <v>-2057392.19</v>
          </cell>
          <cell r="G292">
            <v>3830.3000000000502</v>
          </cell>
          <cell r="H292">
            <v>-3599476.8</v>
          </cell>
          <cell r="I292">
            <v>-3599476.8</v>
          </cell>
          <cell r="J292">
            <v>0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-848382.26</v>
          </cell>
          <cell r="F293">
            <v>-729576</v>
          </cell>
          <cell r="G293">
            <v>-118806.26</v>
          </cell>
          <cell r="H293">
            <v>-744677</v>
          </cell>
          <cell r="I293">
            <v>-744677</v>
          </cell>
          <cell r="J293">
            <v>0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-616735.75</v>
          </cell>
          <cell r="F294">
            <v>-667187.5</v>
          </cell>
          <cell r="G294">
            <v>50451.75</v>
          </cell>
          <cell r="H294">
            <v>-1143750</v>
          </cell>
          <cell r="I294">
            <v>-1143750</v>
          </cell>
          <cell r="J294">
            <v>0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-36331.22</v>
          </cell>
          <cell r="F299">
            <v>-274.05</v>
          </cell>
          <cell r="G299">
            <v>-36057.17</v>
          </cell>
          <cell r="H299">
            <v>-454.41</v>
          </cell>
          <cell r="I299">
            <v>-454.41</v>
          </cell>
          <cell r="J299">
            <v>0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32012.75</v>
          </cell>
          <cell r="G300">
            <v>-32012.75</v>
          </cell>
          <cell r="H300">
            <v>54879</v>
          </cell>
          <cell r="I300">
            <v>54879</v>
          </cell>
          <cell r="J300">
            <v>0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14582.89</v>
          </cell>
          <cell r="F303">
            <v>16855.830000000002</v>
          </cell>
          <cell r="G303">
            <v>-2272.94</v>
          </cell>
          <cell r="H303">
            <v>28424.9</v>
          </cell>
          <cell r="I303">
            <v>28424.9</v>
          </cell>
          <cell r="J303">
            <v>0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25986.69</v>
          </cell>
          <cell r="F305">
            <v>22067.23</v>
          </cell>
          <cell r="G305">
            <v>3919.46</v>
          </cell>
          <cell r="H305">
            <v>37959.879999999997</v>
          </cell>
          <cell r="I305">
            <v>37959.879999999997</v>
          </cell>
          <cell r="J305">
            <v>0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21191.89</v>
          </cell>
          <cell r="F306">
            <v>23104.89</v>
          </cell>
          <cell r="G306">
            <v>-1913</v>
          </cell>
          <cell r="H306">
            <v>43624.87</v>
          </cell>
          <cell r="I306">
            <v>43624.87</v>
          </cell>
          <cell r="J306">
            <v>0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39091.11</v>
          </cell>
          <cell r="F309">
            <v>38932.46</v>
          </cell>
          <cell r="G309">
            <v>158.650000000001</v>
          </cell>
          <cell r="H309">
            <v>68062.720000000001</v>
          </cell>
          <cell r="I309">
            <v>68062.720000000001</v>
          </cell>
          <cell r="J309">
            <v>0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30653</v>
          </cell>
          <cell r="F312">
            <v>28056.37</v>
          </cell>
          <cell r="G312">
            <v>2596.63</v>
          </cell>
          <cell r="H312">
            <v>52388.73</v>
          </cell>
          <cell r="I312">
            <v>52388.73</v>
          </cell>
          <cell r="J312">
            <v>0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36069.33</v>
          </cell>
          <cell r="F313">
            <v>40958.32</v>
          </cell>
          <cell r="G313">
            <v>-4888.99</v>
          </cell>
          <cell r="H313">
            <v>65694.600000000006</v>
          </cell>
          <cell r="I313">
            <v>65694.600000000006</v>
          </cell>
          <cell r="J313">
            <v>0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37493.050000000003</v>
          </cell>
          <cell r="F314">
            <v>42598.34</v>
          </cell>
          <cell r="G314">
            <v>-5105.28999999999</v>
          </cell>
          <cell r="H314">
            <v>74286.95</v>
          </cell>
          <cell r="I314">
            <v>74286.95</v>
          </cell>
          <cell r="J314">
            <v>0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25764.080000000002</v>
          </cell>
          <cell r="F315">
            <v>25764.06</v>
          </cell>
          <cell r="G315">
            <v>2.0000000000436599E-2</v>
          </cell>
          <cell r="H315">
            <v>44167</v>
          </cell>
          <cell r="I315">
            <v>44167</v>
          </cell>
          <cell r="J315">
            <v>0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4658.16</v>
          </cell>
          <cell r="F318">
            <v>7079.31</v>
          </cell>
          <cell r="G318">
            <v>-2421.15</v>
          </cell>
          <cell r="H318">
            <v>12136</v>
          </cell>
          <cell r="I318">
            <v>12136</v>
          </cell>
          <cell r="J318">
            <v>0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22382.75</v>
          </cell>
          <cell r="F319">
            <v>41091.480000000003</v>
          </cell>
          <cell r="G319">
            <v>-18708.73</v>
          </cell>
          <cell r="H319">
            <v>74913.8</v>
          </cell>
          <cell r="I319">
            <v>74913.8</v>
          </cell>
          <cell r="J319">
            <v>0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29470</v>
          </cell>
          <cell r="F320">
            <v>28200.69</v>
          </cell>
          <cell r="G320">
            <v>1269.31</v>
          </cell>
          <cell r="H320">
            <v>48344</v>
          </cell>
          <cell r="I320">
            <v>48344</v>
          </cell>
          <cell r="J320">
            <v>0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99043.46</v>
          </cell>
          <cell r="F322">
            <v>54667.02</v>
          </cell>
          <cell r="G322">
            <v>44376.44</v>
          </cell>
          <cell r="H322">
            <v>63000.33</v>
          </cell>
          <cell r="I322">
            <v>63000.33</v>
          </cell>
          <cell r="J322">
            <v>0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86094.75</v>
          </cell>
          <cell r="F323">
            <v>97234.06</v>
          </cell>
          <cell r="G323">
            <v>-11139.31</v>
          </cell>
          <cell r="H323">
            <v>166687</v>
          </cell>
          <cell r="I323">
            <v>166687</v>
          </cell>
          <cell r="J323">
            <v>0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173172.93</v>
          </cell>
          <cell r="F325">
            <v>167150.62</v>
          </cell>
          <cell r="G325">
            <v>6022.31</v>
          </cell>
          <cell r="H325">
            <v>286544</v>
          </cell>
          <cell r="I325">
            <v>286544</v>
          </cell>
          <cell r="J325">
            <v>0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226.9</v>
          </cell>
          <cell r="F327">
            <v>0</v>
          </cell>
          <cell r="G327">
            <v>226.9</v>
          </cell>
          <cell r="H327">
            <v>59.73</v>
          </cell>
          <cell r="I327">
            <v>59.73</v>
          </cell>
          <cell r="J327">
            <v>0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5308.5</v>
          </cell>
          <cell r="F330">
            <v>0</v>
          </cell>
          <cell r="G330">
            <v>5308.5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1255.42</v>
          </cell>
          <cell r="F333">
            <v>11960.88</v>
          </cell>
          <cell r="G333">
            <v>-10705.46</v>
          </cell>
          <cell r="H333">
            <v>20930.95</v>
          </cell>
          <cell r="I333">
            <v>20930.95</v>
          </cell>
          <cell r="J333">
            <v>0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5340.76</v>
          </cell>
          <cell r="F340">
            <v>20916.25</v>
          </cell>
          <cell r="G340">
            <v>-15575.49</v>
          </cell>
          <cell r="H340">
            <v>37763.5</v>
          </cell>
          <cell r="I340">
            <v>37763.5</v>
          </cell>
          <cell r="J340">
            <v>0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-33946</v>
          </cell>
          <cell r="J342">
            <v>0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14781.72</v>
          </cell>
          <cell r="F346">
            <v>513.28</v>
          </cell>
          <cell r="G346">
            <v>14268.44</v>
          </cell>
          <cell r="H346">
            <v>1028.28</v>
          </cell>
          <cell r="I346">
            <v>1028.28</v>
          </cell>
          <cell r="J346">
            <v>0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-675</v>
          </cell>
          <cell r="F347">
            <v>0</v>
          </cell>
          <cell r="G347">
            <v>-675</v>
          </cell>
          <cell r="H347">
            <v>5089.59</v>
          </cell>
          <cell r="I347">
            <v>5089.59</v>
          </cell>
          <cell r="J347">
            <v>0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206</v>
          </cell>
          <cell r="J349">
            <v>0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11032.89</v>
          </cell>
          <cell r="F351">
            <v>40577.980000000003</v>
          </cell>
          <cell r="G351">
            <v>-29545.09</v>
          </cell>
          <cell r="H351">
            <v>72269.3</v>
          </cell>
          <cell r="I351">
            <v>72269.3</v>
          </cell>
          <cell r="J351">
            <v>0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2855</v>
          </cell>
          <cell r="F352">
            <v>0</v>
          </cell>
          <cell r="G352">
            <v>2855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2855</v>
          </cell>
          <cell r="F353">
            <v>0</v>
          </cell>
          <cell r="G353">
            <v>2855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16516.53</v>
          </cell>
          <cell r="F363">
            <v>27442</v>
          </cell>
          <cell r="G363">
            <v>-10925.47</v>
          </cell>
          <cell r="H363">
            <v>54884</v>
          </cell>
          <cell r="I363">
            <v>54884</v>
          </cell>
          <cell r="J363">
            <v>0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398301</v>
          </cell>
          <cell r="G372">
            <v>-398301</v>
          </cell>
          <cell r="H372">
            <v>407051</v>
          </cell>
          <cell r="I372">
            <v>407051</v>
          </cell>
          <cell r="J372">
            <v>0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968.48</v>
          </cell>
          <cell r="G379">
            <v>-968.48</v>
          </cell>
          <cell r="H379">
            <v>2294.64</v>
          </cell>
          <cell r="I379">
            <v>2294.64</v>
          </cell>
          <cell r="J379">
            <v>0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371421.86</v>
          </cell>
          <cell r="G384">
            <v>-371421.86</v>
          </cell>
          <cell r="H384">
            <v>641254.89</v>
          </cell>
          <cell r="I384">
            <v>641254.89</v>
          </cell>
          <cell r="J384">
            <v>0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6226041010</v>
          </cell>
          <cell r="B386">
            <v>62260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6226041040</v>
          </cell>
          <cell r="B387">
            <v>62260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6226041050</v>
          </cell>
          <cell r="B388">
            <v>62260</v>
          </cell>
          <cell r="C388">
            <v>41050</v>
          </cell>
          <cell r="D388" t="str">
            <v>Rental Income - Fixed</v>
          </cell>
          <cell r="E388">
            <v>-1586632.44</v>
          </cell>
          <cell r="F388">
            <v>-1586442.36</v>
          </cell>
          <cell r="G388">
            <v>-190.07999999984199</v>
          </cell>
          <cell r="H388">
            <v>-2732224.88</v>
          </cell>
          <cell r="I388">
            <v>-2732224.88</v>
          </cell>
          <cell r="J388">
            <v>0</v>
          </cell>
        </row>
        <row r="389">
          <cell r="A389" t="str">
            <v>6226041074</v>
          </cell>
          <cell r="B389">
            <v>62260</v>
          </cell>
          <cell r="C389">
            <v>41074</v>
          </cell>
          <cell r="D389" t="str">
            <v>Rental Income - Percentage</v>
          </cell>
          <cell r="E389">
            <v>-2315.42</v>
          </cell>
          <cell r="F389">
            <v>0</v>
          </cell>
          <cell r="G389">
            <v>-2315.42</v>
          </cell>
          <cell r="H389">
            <v>0</v>
          </cell>
          <cell r="I389">
            <v>0</v>
          </cell>
          <cell r="J389">
            <v>0</v>
          </cell>
        </row>
        <row r="390">
          <cell r="A390" t="str">
            <v>6226041082</v>
          </cell>
          <cell r="B390">
            <v>62260</v>
          </cell>
          <cell r="C390">
            <v>41082</v>
          </cell>
          <cell r="D390" t="str">
            <v>Rental Income - Operating Exp</v>
          </cell>
          <cell r="E390">
            <v>-381005.79</v>
          </cell>
          <cell r="F390">
            <v>-436729.3</v>
          </cell>
          <cell r="G390">
            <v>55723.51</v>
          </cell>
          <cell r="H390">
            <v>-748678.8</v>
          </cell>
          <cell r="I390">
            <v>-748678.8</v>
          </cell>
          <cell r="J390">
            <v>0</v>
          </cell>
        </row>
        <row r="391">
          <cell r="A391" t="str">
            <v>6226044610</v>
          </cell>
          <cell r="B391">
            <v>62260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6226045071</v>
          </cell>
          <cell r="B392">
            <v>62260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6226045010</v>
          </cell>
          <cell r="B393">
            <v>62260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6226045046</v>
          </cell>
          <cell r="B394">
            <v>62260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6226045070</v>
          </cell>
          <cell r="B395">
            <v>62260</v>
          </cell>
          <cell r="C395">
            <v>45070</v>
          </cell>
          <cell r="D395" t="str">
            <v>Other Income</v>
          </cell>
          <cell r="E395">
            <v>1624</v>
          </cell>
          <cell r="F395">
            <v>0</v>
          </cell>
          <cell r="G395">
            <v>1624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6226041060</v>
          </cell>
          <cell r="B396">
            <v>62260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20304.060000000001</v>
          </cell>
          <cell r="G396">
            <v>-20304.060000000001</v>
          </cell>
          <cell r="H396">
            <v>34807</v>
          </cell>
          <cell r="I396">
            <v>34807</v>
          </cell>
          <cell r="J396">
            <v>0</v>
          </cell>
        </row>
        <row r="397">
          <cell r="A397" t="str">
            <v>6226044870</v>
          </cell>
          <cell r="B397">
            <v>62260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6226052542</v>
          </cell>
          <cell r="B398">
            <v>62260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6226072710</v>
          </cell>
          <cell r="B399">
            <v>62260</v>
          </cell>
          <cell r="C399">
            <v>72710</v>
          </cell>
          <cell r="D399" t="str">
            <v>Utilities - Electricity</v>
          </cell>
          <cell r="E399">
            <v>13426.34</v>
          </cell>
          <cell r="F399">
            <v>13704.29</v>
          </cell>
          <cell r="G399">
            <v>-277.95000000000101</v>
          </cell>
          <cell r="H399">
            <v>24494.6</v>
          </cell>
          <cell r="I399">
            <v>24494.6</v>
          </cell>
          <cell r="J399">
            <v>0</v>
          </cell>
        </row>
        <row r="400">
          <cell r="A400" t="str">
            <v>6226072740</v>
          </cell>
          <cell r="B400">
            <v>62260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6226072770</v>
          </cell>
          <cell r="B401">
            <v>62260</v>
          </cell>
          <cell r="C401">
            <v>72770</v>
          </cell>
          <cell r="D401" t="str">
            <v>Utilities - Water</v>
          </cell>
          <cell r="E401">
            <v>9203.9699999999993</v>
          </cell>
          <cell r="F401">
            <v>7390.69</v>
          </cell>
          <cell r="G401">
            <v>1813.28</v>
          </cell>
          <cell r="H401">
            <v>14244.5</v>
          </cell>
          <cell r="I401">
            <v>14244.5</v>
          </cell>
          <cell r="J401">
            <v>0</v>
          </cell>
        </row>
        <row r="402">
          <cell r="A402" t="str">
            <v>6226076000</v>
          </cell>
          <cell r="B402">
            <v>62260</v>
          </cell>
          <cell r="C402">
            <v>76000</v>
          </cell>
          <cell r="D402" t="str">
            <v>Bldg Maintenance &amp; Repair</v>
          </cell>
          <cell r="E402">
            <v>27656.85</v>
          </cell>
          <cell r="F402">
            <v>28839.58</v>
          </cell>
          <cell r="G402">
            <v>-1182.73</v>
          </cell>
          <cell r="H402">
            <v>51753.04</v>
          </cell>
          <cell r="I402">
            <v>51753.04</v>
          </cell>
          <cell r="J402">
            <v>0</v>
          </cell>
        </row>
        <row r="403">
          <cell r="A403" t="str">
            <v>6226076020</v>
          </cell>
          <cell r="B403">
            <v>62260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6226076034</v>
          </cell>
          <cell r="B404">
            <v>62260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6226076050</v>
          </cell>
          <cell r="B405">
            <v>62260</v>
          </cell>
          <cell r="C405">
            <v>76050</v>
          </cell>
          <cell r="D405" t="str">
            <v>Cleaning Expense</v>
          </cell>
          <cell r="E405">
            <v>56687.09</v>
          </cell>
          <cell r="F405">
            <v>58344.04</v>
          </cell>
          <cell r="G405">
            <v>-1656.95</v>
          </cell>
          <cell r="H405">
            <v>98091.58</v>
          </cell>
          <cell r="I405">
            <v>98091.58</v>
          </cell>
          <cell r="J405">
            <v>0</v>
          </cell>
        </row>
        <row r="406">
          <cell r="A406" t="str">
            <v>6226076056</v>
          </cell>
          <cell r="B406">
            <v>62260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6226076070</v>
          </cell>
          <cell r="B407">
            <v>62260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6226076091</v>
          </cell>
          <cell r="B408">
            <v>62260</v>
          </cell>
          <cell r="C408">
            <v>76091</v>
          </cell>
          <cell r="D408" t="str">
            <v>Parking Maintenance</v>
          </cell>
          <cell r="E408">
            <v>30078.6</v>
          </cell>
          <cell r="F408">
            <v>29313.74</v>
          </cell>
          <cell r="G408">
            <v>764.85999999999694</v>
          </cell>
          <cell r="H408">
            <v>56086.86</v>
          </cell>
          <cell r="I408">
            <v>56086.86</v>
          </cell>
          <cell r="J408">
            <v>0</v>
          </cell>
        </row>
        <row r="409">
          <cell r="A409" t="str">
            <v>6226077000</v>
          </cell>
          <cell r="B409">
            <v>62260</v>
          </cell>
          <cell r="C409">
            <v>77000</v>
          </cell>
          <cell r="D409" t="str">
            <v>Grounds Maintenance</v>
          </cell>
          <cell r="E409">
            <v>24688.15</v>
          </cell>
          <cell r="F409">
            <v>41894.050000000003</v>
          </cell>
          <cell r="G409">
            <v>-17205.900000000001</v>
          </cell>
          <cell r="H409">
            <v>56614.26</v>
          </cell>
          <cell r="I409">
            <v>56614.26</v>
          </cell>
          <cell r="J409">
            <v>0</v>
          </cell>
        </row>
        <row r="410">
          <cell r="A410" t="str">
            <v>6226077053</v>
          </cell>
          <cell r="B410">
            <v>62260</v>
          </cell>
          <cell r="C410">
            <v>77053</v>
          </cell>
          <cell r="D410" t="str">
            <v>Landscaping</v>
          </cell>
          <cell r="E410">
            <v>33980.5</v>
          </cell>
          <cell r="F410">
            <v>38817.42</v>
          </cell>
          <cell r="G410">
            <v>-4836.92</v>
          </cell>
          <cell r="H410">
            <v>59158.53</v>
          </cell>
          <cell r="I410">
            <v>59158.53</v>
          </cell>
          <cell r="J410">
            <v>0</v>
          </cell>
        </row>
        <row r="411">
          <cell r="A411" t="str">
            <v>6226078020</v>
          </cell>
          <cell r="B411">
            <v>62260</v>
          </cell>
          <cell r="C411">
            <v>78020</v>
          </cell>
          <cell r="D411" t="str">
            <v>Amortized CAM Exp</v>
          </cell>
          <cell r="E411">
            <v>29409.49</v>
          </cell>
          <cell r="F411">
            <v>29409.94</v>
          </cell>
          <cell r="G411">
            <v>-0.44999999999709001</v>
          </cell>
          <cell r="H411">
            <v>50417</v>
          </cell>
          <cell r="I411">
            <v>50417</v>
          </cell>
          <cell r="J411">
            <v>0</v>
          </cell>
        </row>
        <row r="412">
          <cell r="A412" t="str">
            <v>6226084264</v>
          </cell>
          <cell r="B412">
            <v>62260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6226085555</v>
          </cell>
          <cell r="B413">
            <v>62260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6226085584</v>
          </cell>
          <cell r="B414">
            <v>62260</v>
          </cell>
          <cell r="C414">
            <v>85584</v>
          </cell>
          <cell r="D414" t="str">
            <v>Bldg Admin-Office Costs</v>
          </cell>
          <cell r="E414">
            <v>4309.49</v>
          </cell>
          <cell r="F414">
            <v>6532.19</v>
          </cell>
          <cell r="G414">
            <v>-2222.6999999999998</v>
          </cell>
          <cell r="H414">
            <v>11198</v>
          </cell>
          <cell r="I414">
            <v>11198</v>
          </cell>
          <cell r="J414">
            <v>0</v>
          </cell>
        </row>
        <row r="415">
          <cell r="A415" t="str">
            <v>6226085582</v>
          </cell>
          <cell r="B415">
            <v>62260</v>
          </cell>
          <cell r="C415">
            <v>85582</v>
          </cell>
          <cell r="D415" t="str">
            <v>Bldg Admin-Salaries</v>
          </cell>
          <cell r="E415">
            <v>19727.169999999998</v>
          </cell>
          <cell r="F415">
            <v>32990.5</v>
          </cell>
          <cell r="G415">
            <v>-13263.33</v>
          </cell>
          <cell r="H415">
            <v>60039.5</v>
          </cell>
          <cell r="I415">
            <v>60039.5</v>
          </cell>
          <cell r="J415">
            <v>0</v>
          </cell>
        </row>
        <row r="416">
          <cell r="A416" t="str">
            <v>6226086564</v>
          </cell>
          <cell r="B416">
            <v>62260</v>
          </cell>
          <cell r="C416">
            <v>86564</v>
          </cell>
          <cell r="D416" t="str">
            <v>Insurance</v>
          </cell>
          <cell r="E416">
            <v>22771</v>
          </cell>
          <cell r="F416">
            <v>22972.81</v>
          </cell>
          <cell r="G416">
            <v>-201.810000000001</v>
          </cell>
          <cell r="H416">
            <v>39382</v>
          </cell>
          <cell r="I416">
            <v>39382</v>
          </cell>
          <cell r="J416">
            <v>0</v>
          </cell>
        </row>
        <row r="417">
          <cell r="A417" t="str">
            <v>6226088846</v>
          </cell>
          <cell r="B417">
            <v>62260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6226088890</v>
          </cell>
          <cell r="B418">
            <v>62260</v>
          </cell>
          <cell r="C418">
            <v>88890</v>
          </cell>
          <cell r="D418" t="str">
            <v>Security/Safety</v>
          </cell>
          <cell r="E418">
            <v>12956.72</v>
          </cell>
          <cell r="F418">
            <v>8484.0400000000009</v>
          </cell>
          <cell r="G418">
            <v>4472.68</v>
          </cell>
          <cell r="H418">
            <v>16543.77</v>
          </cell>
          <cell r="I418">
            <v>16543.77</v>
          </cell>
          <cell r="J418">
            <v>0</v>
          </cell>
        </row>
        <row r="419">
          <cell r="A419" t="str">
            <v>6226089775</v>
          </cell>
          <cell r="B419">
            <v>62260</v>
          </cell>
          <cell r="C419">
            <v>89775</v>
          </cell>
          <cell r="D419" t="str">
            <v>Assmt Dist Taxes- Reimb</v>
          </cell>
          <cell r="E419">
            <v>21582.19</v>
          </cell>
          <cell r="F419">
            <v>28776.44</v>
          </cell>
          <cell r="G419">
            <v>-7194.25</v>
          </cell>
          <cell r="H419">
            <v>49331</v>
          </cell>
          <cell r="I419">
            <v>49331</v>
          </cell>
          <cell r="J419">
            <v>0</v>
          </cell>
        </row>
        <row r="420">
          <cell r="A420" t="str">
            <v>6226089729</v>
          </cell>
          <cell r="B420">
            <v>62260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6226089786</v>
          </cell>
          <cell r="B421">
            <v>62260</v>
          </cell>
          <cell r="C421">
            <v>89786</v>
          </cell>
          <cell r="D421" t="str">
            <v>Property Tax Exp</v>
          </cell>
          <cell r="E421">
            <v>68052.25</v>
          </cell>
          <cell r="F421">
            <v>68609.38</v>
          </cell>
          <cell r="G421">
            <v>-557.130000000005</v>
          </cell>
          <cell r="H421">
            <v>117616</v>
          </cell>
          <cell r="I421">
            <v>117616</v>
          </cell>
          <cell r="J421">
            <v>0</v>
          </cell>
        </row>
        <row r="422">
          <cell r="A422" t="str">
            <v>6226071040</v>
          </cell>
          <cell r="B422">
            <v>62260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6226072701</v>
          </cell>
          <cell r="B423">
            <v>62260</v>
          </cell>
          <cell r="C423">
            <v>72701</v>
          </cell>
          <cell r="D423" t="str">
            <v>Utilities</v>
          </cell>
          <cell r="E423">
            <v>0</v>
          </cell>
          <cell r="F423">
            <v>0</v>
          </cell>
          <cell r="G423">
            <v>0</v>
          </cell>
          <cell r="H423">
            <v>123.6</v>
          </cell>
          <cell r="I423">
            <v>123.6</v>
          </cell>
          <cell r="J423">
            <v>0</v>
          </cell>
        </row>
        <row r="424">
          <cell r="A424" t="str">
            <v>6226072855</v>
          </cell>
          <cell r="B424">
            <v>62260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6226072870</v>
          </cell>
          <cell r="B425">
            <v>62260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6226076010</v>
          </cell>
          <cell r="B426">
            <v>62260</v>
          </cell>
          <cell r="C426">
            <v>76010</v>
          </cell>
          <cell r="D426" t="str">
            <v>Tenant Alterations</v>
          </cell>
          <cell r="E426">
            <v>105.12</v>
          </cell>
          <cell r="F426">
            <v>0</v>
          </cell>
          <cell r="G426">
            <v>105.12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6226076040</v>
          </cell>
          <cell r="B427">
            <v>62260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6226076051</v>
          </cell>
          <cell r="B428">
            <v>62260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6226076054</v>
          </cell>
          <cell r="B429">
            <v>62260</v>
          </cell>
          <cell r="C429">
            <v>76054</v>
          </cell>
          <cell r="D429" t="str">
            <v>Bldg Maintenance &amp; Repair</v>
          </cell>
          <cell r="E429">
            <v>1678.03</v>
          </cell>
          <cell r="F429">
            <v>7782.86</v>
          </cell>
          <cell r="G429">
            <v>-6104.83</v>
          </cell>
          <cell r="H429">
            <v>10497.31</v>
          </cell>
          <cell r="I429">
            <v>10497.31</v>
          </cell>
          <cell r="J429">
            <v>0</v>
          </cell>
        </row>
        <row r="430">
          <cell r="A430" t="str">
            <v>6226076060</v>
          </cell>
          <cell r="B430">
            <v>62260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6226076071</v>
          </cell>
          <cell r="B431">
            <v>62260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6226076090</v>
          </cell>
          <cell r="B432">
            <v>62260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6226077001</v>
          </cell>
          <cell r="B433">
            <v>62260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6226077022</v>
          </cell>
          <cell r="B434">
            <v>62260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6226084200</v>
          </cell>
          <cell r="B435">
            <v>62260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6226084240</v>
          </cell>
          <cell r="B436">
            <v>62260</v>
          </cell>
          <cell r="C436">
            <v>84240</v>
          </cell>
          <cell r="D436" t="str">
            <v>Marketing Leasing</v>
          </cell>
          <cell r="E436">
            <v>18.100000000000001</v>
          </cell>
          <cell r="F436">
            <v>1558.06</v>
          </cell>
          <cell r="G436">
            <v>-1539.96</v>
          </cell>
          <cell r="H436">
            <v>2671</v>
          </cell>
          <cell r="I436">
            <v>2671</v>
          </cell>
          <cell r="J436">
            <v>0</v>
          </cell>
        </row>
        <row r="437">
          <cell r="A437" t="str">
            <v>6226084242</v>
          </cell>
          <cell r="B437">
            <v>62260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6226084243</v>
          </cell>
          <cell r="B438">
            <v>62260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6226084244</v>
          </cell>
          <cell r="B439">
            <v>62260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6226084265</v>
          </cell>
          <cell r="B440">
            <v>62260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6226088037</v>
          </cell>
          <cell r="B441">
            <v>62260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6226085016</v>
          </cell>
          <cell r="B442">
            <v>62260</v>
          </cell>
          <cell r="C442">
            <v>85016</v>
          </cell>
          <cell r="D442" t="str">
            <v>Prof Svc-Attorney Outside</v>
          </cell>
          <cell r="E442">
            <v>3521.58</v>
          </cell>
          <cell r="F442">
            <v>0</v>
          </cell>
          <cell r="G442">
            <v>3521.58</v>
          </cell>
          <cell r="H442">
            <v>2121.8000000000002</v>
          </cell>
          <cell r="I442">
            <v>2121.8000000000002</v>
          </cell>
          <cell r="J442">
            <v>0</v>
          </cell>
        </row>
        <row r="443">
          <cell r="A443" t="str">
            <v>6226085022</v>
          </cell>
          <cell r="B443">
            <v>62260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1675.14</v>
          </cell>
          <cell r="I443">
            <v>1675.14</v>
          </cell>
          <cell r="J443">
            <v>0</v>
          </cell>
        </row>
        <row r="444">
          <cell r="A444" t="str">
            <v>6226085065</v>
          </cell>
          <cell r="B444">
            <v>62260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6226085500</v>
          </cell>
          <cell r="B445">
            <v>62260</v>
          </cell>
          <cell r="C445">
            <v>85500</v>
          </cell>
          <cell r="D445" t="str">
            <v>Consulting Services</v>
          </cell>
          <cell r="E445">
            <v>50</v>
          </cell>
          <cell r="F445">
            <v>1742.76</v>
          </cell>
          <cell r="G445">
            <v>-1692.76</v>
          </cell>
          <cell r="H445">
            <v>3802.76</v>
          </cell>
          <cell r="I445">
            <v>3802.76</v>
          </cell>
          <cell r="J445">
            <v>0</v>
          </cell>
        </row>
        <row r="446">
          <cell r="A446" t="str">
            <v>6226085566</v>
          </cell>
          <cell r="B446">
            <v>62260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6226085581</v>
          </cell>
          <cell r="B447">
            <v>62260</v>
          </cell>
          <cell r="C447">
            <v>85581</v>
          </cell>
          <cell r="D447" t="str">
            <v>Bldg Admin- Salaries</v>
          </cell>
          <cell r="E447">
            <v>15090.31</v>
          </cell>
          <cell r="F447">
            <v>32473.5</v>
          </cell>
          <cell r="G447">
            <v>-17383.189999999999</v>
          </cell>
          <cell r="H447">
            <v>58005.5</v>
          </cell>
          <cell r="I447">
            <v>58005.5</v>
          </cell>
          <cell r="J447">
            <v>0</v>
          </cell>
        </row>
        <row r="448">
          <cell r="A448" t="str">
            <v>6226085583</v>
          </cell>
          <cell r="B448">
            <v>62260</v>
          </cell>
          <cell r="C448">
            <v>85583</v>
          </cell>
          <cell r="D448" t="str">
            <v>Bldg Admin-Office Exp.</v>
          </cell>
          <cell r="E448">
            <v>2415.5700000000002</v>
          </cell>
          <cell r="F448">
            <v>0</v>
          </cell>
          <cell r="G448">
            <v>2415.5700000000002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6226085530</v>
          </cell>
          <cell r="B449">
            <v>62260</v>
          </cell>
          <cell r="C449">
            <v>85530</v>
          </cell>
          <cell r="D449" t="str">
            <v>Bldg Admin - Office Exp</v>
          </cell>
          <cell r="E449">
            <v>2415.5700000000002</v>
          </cell>
          <cell r="F449">
            <v>0</v>
          </cell>
          <cell r="G449">
            <v>2415.5700000000002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6226086012</v>
          </cell>
          <cell r="B450">
            <v>62260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6226086037</v>
          </cell>
          <cell r="B451">
            <v>62260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6226083050</v>
          </cell>
          <cell r="B452">
            <v>62260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6226086510</v>
          </cell>
          <cell r="B453">
            <v>62260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6226086537</v>
          </cell>
          <cell r="B454">
            <v>62260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6226086566</v>
          </cell>
          <cell r="B455">
            <v>62260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6226086955</v>
          </cell>
          <cell r="B456">
            <v>62260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6226086985</v>
          </cell>
          <cell r="B457">
            <v>62260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6226086880</v>
          </cell>
          <cell r="B458">
            <v>62260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6226088710</v>
          </cell>
          <cell r="B459">
            <v>62260</v>
          </cell>
          <cell r="C459">
            <v>88710</v>
          </cell>
          <cell r="D459" t="str">
            <v>Losses-Bad Debts</v>
          </cell>
          <cell r="E459">
            <v>34894.730000000003</v>
          </cell>
          <cell r="F459">
            <v>17404.400000000001</v>
          </cell>
          <cell r="G459">
            <v>17490.330000000002</v>
          </cell>
          <cell r="H459">
            <v>34808.639999999999</v>
          </cell>
          <cell r="I459">
            <v>34808.639999999999</v>
          </cell>
          <cell r="J459">
            <v>0</v>
          </cell>
        </row>
        <row r="460">
          <cell r="A460" t="str">
            <v>6226088711</v>
          </cell>
          <cell r="B460">
            <v>62260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6226088785</v>
          </cell>
          <cell r="B461">
            <v>62260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6226088847</v>
          </cell>
          <cell r="B462">
            <v>62260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6226088866</v>
          </cell>
          <cell r="B463">
            <v>62260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6226088870</v>
          </cell>
          <cell r="B464">
            <v>62260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6226088889</v>
          </cell>
          <cell r="B465">
            <v>62260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6226089776</v>
          </cell>
          <cell r="B466">
            <v>62260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6226089787</v>
          </cell>
          <cell r="B467">
            <v>62260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6226089510</v>
          </cell>
          <cell r="B468">
            <v>62260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6226089511</v>
          </cell>
          <cell r="B469">
            <v>62260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6226089512</v>
          </cell>
          <cell r="B470">
            <v>62260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6226089528</v>
          </cell>
          <cell r="B471">
            <v>62260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6226089529</v>
          </cell>
          <cell r="B472">
            <v>62260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6226089567</v>
          </cell>
          <cell r="B473">
            <v>62260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6226085058</v>
          </cell>
          <cell r="B474">
            <v>62260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6226086513</v>
          </cell>
          <cell r="B475">
            <v>62260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46.38</v>
          </cell>
          <cell r="G475">
            <v>-46.38</v>
          </cell>
          <cell r="H475">
            <v>292.10000000000002</v>
          </cell>
          <cell r="I475">
            <v>292.10000000000002</v>
          </cell>
          <cell r="J475">
            <v>0</v>
          </cell>
        </row>
        <row r="476">
          <cell r="A476" t="str">
            <v>6226086519</v>
          </cell>
          <cell r="B476">
            <v>62260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6226088770</v>
          </cell>
          <cell r="B477">
            <v>62260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6226088862</v>
          </cell>
          <cell r="B478">
            <v>62260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6226088874</v>
          </cell>
          <cell r="B479">
            <v>62260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6226089910</v>
          </cell>
          <cell r="B480">
            <v>62260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165201.64000000001</v>
          </cell>
          <cell r="G480">
            <v>-165201.64000000001</v>
          </cell>
          <cell r="H480">
            <v>283546.27</v>
          </cell>
          <cell r="I480">
            <v>283546.27</v>
          </cell>
          <cell r="J480">
            <v>0</v>
          </cell>
        </row>
        <row r="481">
          <cell r="A481" t="str">
            <v>6226089548</v>
          </cell>
          <cell r="B481">
            <v>62260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6226141010</v>
          </cell>
          <cell r="B482">
            <v>62261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6226141040</v>
          </cell>
          <cell r="B483">
            <v>62261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6226141050</v>
          </cell>
          <cell r="B484">
            <v>62261</v>
          </cell>
          <cell r="C484">
            <v>41050</v>
          </cell>
          <cell r="D484" t="str">
            <v>Rental Income - Fixed</v>
          </cell>
          <cell r="E484">
            <v>-304830.33</v>
          </cell>
          <cell r="F484">
            <v>-304830.33</v>
          </cell>
          <cell r="G484">
            <v>0</v>
          </cell>
          <cell r="H484">
            <v>-522566.28</v>
          </cell>
          <cell r="I484">
            <v>-522566.28</v>
          </cell>
          <cell r="J484">
            <v>0</v>
          </cell>
        </row>
        <row r="485">
          <cell r="A485" t="str">
            <v>6226141074</v>
          </cell>
          <cell r="B485">
            <v>62261</v>
          </cell>
          <cell r="C485">
            <v>41074</v>
          </cell>
          <cell r="D485" t="str">
            <v>Rental Income - Percentage</v>
          </cell>
          <cell r="E485">
            <v>-6396</v>
          </cell>
          <cell r="F485">
            <v>0</v>
          </cell>
          <cell r="G485">
            <v>-6396</v>
          </cell>
          <cell r="H485">
            <v>0</v>
          </cell>
          <cell r="I485">
            <v>0</v>
          </cell>
          <cell r="J485">
            <v>0</v>
          </cell>
        </row>
        <row r="486">
          <cell r="A486" t="str">
            <v>6226141082</v>
          </cell>
          <cell r="B486">
            <v>62261</v>
          </cell>
          <cell r="C486">
            <v>41082</v>
          </cell>
          <cell r="D486" t="str">
            <v>Rental Income - Operating Exp</v>
          </cell>
          <cell r="E486">
            <v>-100481.53</v>
          </cell>
          <cell r="F486">
            <v>-92523.69</v>
          </cell>
          <cell r="G486">
            <v>-7957.84</v>
          </cell>
          <cell r="H486">
            <v>-158612.04</v>
          </cell>
          <cell r="I486">
            <v>-158612.04</v>
          </cell>
          <cell r="J486">
            <v>0</v>
          </cell>
        </row>
        <row r="487">
          <cell r="A487" t="str">
            <v>6226144610</v>
          </cell>
          <cell r="B487">
            <v>62261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6226145071</v>
          </cell>
          <cell r="B488">
            <v>62261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6226145010</v>
          </cell>
          <cell r="B489">
            <v>62261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6226145046</v>
          </cell>
          <cell r="B490">
            <v>62261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6226145070</v>
          </cell>
          <cell r="B491">
            <v>62261</v>
          </cell>
          <cell r="C491">
            <v>45070</v>
          </cell>
          <cell r="D491" t="str">
            <v>Other Income</v>
          </cell>
          <cell r="E491">
            <v>-169518.83</v>
          </cell>
          <cell r="F491">
            <v>0</v>
          </cell>
          <cell r="G491">
            <v>-169518.83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6226141060</v>
          </cell>
          <cell r="B492">
            <v>62261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6226144870</v>
          </cell>
          <cell r="B493">
            <v>62261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6226152542</v>
          </cell>
          <cell r="B494">
            <v>62261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6226172710</v>
          </cell>
          <cell r="B495">
            <v>62261</v>
          </cell>
          <cell r="C495">
            <v>72710</v>
          </cell>
          <cell r="D495" t="str">
            <v>Utilities - Electricity</v>
          </cell>
          <cell r="E495">
            <v>1342.82</v>
          </cell>
          <cell r="F495">
            <v>1243.58</v>
          </cell>
          <cell r="G495">
            <v>99.24</v>
          </cell>
          <cell r="H495">
            <v>2592</v>
          </cell>
          <cell r="I495">
            <v>2592</v>
          </cell>
          <cell r="J495">
            <v>0</v>
          </cell>
        </row>
        <row r="496">
          <cell r="A496" t="str">
            <v>6226172740</v>
          </cell>
          <cell r="B496">
            <v>62261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6226172770</v>
          </cell>
          <cell r="B497">
            <v>62261</v>
          </cell>
          <cell r="C497">
            <v>72770</v>
          </cell>
          <cell r="D497" t="str">
            <v>Utilities - Water</v>
          </cell>
          <cell r="E497">
            <v>1421.47</v>
          </cell>
          <cell r="F497">
            <v>292.97000000000003</v>
          </cell>
          <cell r="G497">
            <v>1128.5</v>
          </cell>
          <cell r="H497">
            <v>1865.29</v>
          </cell>
          <cell r="I497">
            <v>1865.29</v>
          </cell>
          <cell r="J497">
            <v>0</v>
          </cell>
        </row>
        <row r="498">
          <cell r="A498" t="str">
            <v>6226176000</v>
          </cell>
          <cell r="B498">
            <v>62261</v>
          </cell>
          <cell r="C498">
            <v>76000</v>
          </cell>
          <cell r="D498" t="str">
            <v>Bldg Maintenance &amp; Repair</v>
          </cell>
          <cell r="E498">
            <v>575.37</v>
          </cell>
          <cell r="F498">
            <v>1275.8</v>
          </cell>
          <cell r="G498">
            <v>-700.43</v>
          </cell>
          <cell r="H498">
            <v>2413.15</v>
          </cell>
          <cell r="I498">
            <v>2413.15</v>
          </cell>
          <cell r="J498">
            <v>0</v>
          </cell>
        </row>
        <row r="499">
          <cell r="A499" t="str">
            <v>6226176020</v>
          </cell>
          <cell r="B499">
            <v>62261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6226176034</v>
          </cell>
          <cell r="B500">
            <v>62261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6226176050</v>
          </cell>
          <cell r="B501">
            <v>62261</v>
          </cell>
          <cell r="C501">
            <v>76050</v>
          </cell>
          <cell r="D501" t="str">
            <v>Cleaning Expense</v>
          </cell>
          <cell r="E501">
            <v>80</v>
          </cell>
          <cell r="F501">
            <v>655.20000000000005</v>
          </cell>
          <cell r="G501">
            <v>-575.20000000000005</v>
          </cell>
          <cell r="H501">
            <v>655.20000000000005</v>
          </cell>
          <cell r="I501">
            <v>655.20000000000005</v>
          </cell>
          <cell r="J501">
            <v>0</v>
          </cell>
        </row>
        <row r="502">
          <cell r="A502" t="str">
            <v>6226176056</v>
          </cell>
          <cell r="B502">
            <v>62261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6226176070</v>
          </cell>
          <cell r="B503">
            <v>62261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6226176091</v>
          </cell>
          <cell r="B504">
            <v>62261</v>
          </cell>
          <cell r="C504">
            <v>76091</v>
          </cell>
          <cell r="D504" t="str">
            <v>Parking Maintenance</v>
          </cell>
          <cell r="E504">
            <v>5090.25</v>
          </cell>
          <cell r="F504">
            <v>11871.94</v>
          </cell>
          <cell r="G504">
            <v>-6781.69</v>
          </cell>
          <cell r="H504">
            <v>19139.62</v>
          </cell>
          <cell r="I504">
            <v>19139.62</v>
          </cell>
          <cell r="J504">
            <v>0</v>
          </cell>
        </row>
        <row r="505">
          <cell r="A505" t="str">
            <v>6226177000</v>
          </cell>
          <cell r="B505">
            <v>62261</v>
          </cell>
          <cell r="C505">
            <v>77000</v>
          </cell>
          <cell r="D505" t="str">
            <v>Grounds Maintenance</v>
          </cell>
          <cell r="E505">
            <v>9420.75</v>
          </cell>
          <cell r="F505">
            <v>12575.69</v>
          </cell>
          <cell r="G505">
            <v>-3154.94</v>
          </cell>
          <cell r="H505">
            <v>14304.24</v>
          </cell>
          <cell r="I505">
            <v>14304.24</v>
          </cell>
          <cell r="J505">
            <v>0</v>
          </cell>
        </row>
        <row r="506">
          <cell r="A506" t="str">
            <v>6226177053</v>
          </cell>
          <cell r="B506">
            <v>62261</v>
          </cell>
          <cell r="C506">
            <v>77053</v>
          </cell>
          <cell r="D506" t="str">
            <v>Landscaping</v>
          </cell>
          <cell r="E506">
            <v>12525.28</v>
          </cell>
          <cell r="F506">
            <v>13086.05</v>
          </cell>
          <cell r="G506">
            <v>-560.76999999999896</v>
          </cell>
          <cell r="H506">
            <v>26119.47</v>
          </cell>
          <cell r="I506">
            <v>26119.47</v>
          </cell>
          <cell r="J506">
            <v>0</v>
          </cell>
        </row>
        <row r="507">
          <cell r="A507" t="str">
            <v>6226178020</v>
          </cell>
          <cell r="B507">
            <v>62261</v>
          </cell>
          <cell r="C507">
            <v>78020</v>
          </cell>
          <cell r="D507" t="str">
            <v>Amortized CAM Exp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6226184264</v>
          </cell>
          <cell r="B508">
            <v>62261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6226185555</v>
          </cell>
          <cell r="B509">
            <v>62261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6226185584</v>
          </cell>
          <cell r="B510">
            <v>62261</v>
          </cell>
          <cell r="C510">
            <v>85584</v>
          </cell>
          <cell r="D510" t="str">
            <v>Bldg Admin-Office Costs</v>
          </cell>
          <cell r="E510">
            <v>957.65</v>
          </cell>
          <cell r="F510">
            <v>1449.56</v>
          </cell>
          <cell r="G510">
            <v>-491.91</v>
          </cell>
          <cell r="H510">
            <v>2485</v>
          </cell>
          <cell r="I510">
            <v>2485</v>
          </cell>
          <cell r="J510">
            <v>0</v>
          </cell>
        </row>
        <row r="511">
          <cell r="A511" t="str">
            <v>6226185582</v>
          </cell>
          <cell r="B511">
            <v>62261</v>
          </cell>
          <cell r="C511">
            <v>85582</v>
          </cell>
          <cell r="D511" t="str">
            <v>Bldg Admin-Salaries</v>
          </cell>
          <cell r="E511">
            <v>4374.66</v>
          </cell>
          <cell r="F511">
            <v>7319.48</v>
          </cell>
          <cell r="G511">
            <v>-2944.82</v>
          </cell>
          <cell r="H511">
            <v>13320.8</v>
          </cell>
          <cell r="I511">
            <v>13320.8</v>
          </cell>
          <cell r="J511">
            <v>0</v>
          </cell>
        </row>
        <row r="512">
          <cell r="A512" t="str">
            <v>6226186564</v>
          </cell>
          <cell r="B512">
            <v>62261</v>
          </cell>
          <cell r="C512">
            <v>86564</v>
          </cell>
          <cell r="D512" t="str">
            <v>Insurance</v>
          </cell>
          <cell r="E512">
            <v>2072</v>
          </cell>
          <cell r="F512">
            <v>1422.75</v>
          </cell>
          <cell r="G512">
            <v>649.25</v>
          </cell>
          <cell r="H512">
            <v>2439</v>
          </cell>
          <cell r="I512">
            <v>2439</v>
          </cell>
          <cell r="J512">
            <v>0</v>
          </cell>
        </row>
        <row r="513">
          <cell r="A513" t="str">
            <v>6226188846</v>
          </cell>
          <cell r="B513">
            <v>62261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6226188890</v>
          </cell>
          <cell r="B514">
            <v>62261</v>
          </cell>
          <cell r="C514">
            <v>88890</v>
          </cell>
          <cell r="D514" t="str">
            <v>Security/Safety</v>
          </cell>
          <cell r="E514">
            <v>1911.1</v>
          </cell>
          <cell r="F514">
            <v>1634.68</v>
          </cell>
          <cell r="G514">
            <v>276.42</v>
          </cell>
          <cell r="H514">
            <v>2945.1</v>
          </cell>
          <cell r="I514">
            <v>2945.1</v>
          </cell>
          <cell r="J514">
            <v>0</v>
          </cell>
        </row>
        <row r="515">
          <cell r="A515" t="str">
            <v>6226189775</v>
          </cell>
          <cell r="B515">
            <v>62261</v>
          </cell>
          <cell r="C515">
            <v>89775</v>
          </cell>
          <cell r="D515" t="str">
            <v>Assmt Dist Taxes- Reimb</v>
          </cell>
          <cell r="E515">
            <v>9000.81</v>
          </cell>
          <cell r="F515">
            <v>12000.94</v>
          </cell>
          <cell r="G515">
            <v>-3000.13</v>
          </cell>
          <cell r="H515">
            <v>20573</v>
          </cell>
          <cell r="I515">
            <v>20573</v>
          </cell>
          <cell r="J515">
            <v>0</v>
          </cell>
        </row>
        <row r="516">
          <cell r="A516" t="str">
            <v>6226189729</v>
          </cell>
          <cell r="B516">
            <v>62261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6226189786</v>
          </cell>
          <cell r="B517">
            <v>62261</v>
          </cell>
          <cell r="C517">
            <v>89786</v>
          </cell>
          <cell r="D517" t="str">
            <v>Property Tax Exp</v>
          </cell>
          <cell r="E517">
            <v>18718</v>
          </cell>
          <cell r="F517">
            <v>18819.5</v>
          </cell>
          <cell r="G517">
            <v>-101.5</v>
          </cell>
          <cell r="H517">
            <v>32262</v>
          </cell>
          <cell r="I517">
            <v>32262</v>
          </cell>
          <cell r="J517">
            <v>0</v>
          </cell>
        </row>
        <row r="518">
          <cell r="A518" t="str">
            <v>6226171040</v>
          </cell>
          <cell r="B518">
            <v>62261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6226172701</v>
          </cell>
          <cell r="B519">
            <v>62261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6226172855</v>
          </cell>
          <cell r="B520">
            <v>62261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6226172870</v>
          </cell>
          <cell r="B521">
            <v>62261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6226176010</v>
          </cell>
          <cell r="B522">
            <v>62261</v>
          </cell>
          <cell r="C522">
            <v>76010</v>
          </cell>
          <cell r="D522" t="str">
            <v>Tenant Alterations</v>
          </cell>
          <cell r="E522">
            <v>0.85</v>
          </cell>
          <cell r="F522">
            <v>0</v>
          </cell>
          <cell r="G522">
            <v>0.85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6226176040</v>
          </cell>
          <cell r="B523">
            <v>62261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6226176051</v>
          </cell>
          <cell r="B524">
            <v>62261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6226176054</v>
          </cell>
          <cell r="B525">
            <v>62261</v>
          </cell>
          <cell r="C525">
            <v>76054</v>
          </cell>
          <cell r="D525" t="str">
            <v>Bldg Maintenance &amp; Repair</v>
          </cell>
          <cell r="E525">
            <v>3.65</v>
          </cell>
          <cell r="F525">
            <v>0.49</v>
          </cell>
          <cell r="G525">
            <v>3.16</v>
          </cell>
          <cell r="H525">
            <v>2.36</v>
          </cell>
          <cell r="I525">
            <v>2.36</v>
          </cell>
          <cell r="J525">
            <v>0</v>
          </cell>
        </row>
        <row r="526">
          <cell r="A526" t="str">
            <v>6226176060</v>
          </cell>
          <cell r="B526">
            <v>62261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6226176071</v>
          </cell>
          <cell r="B527">
            <v>62261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6226176090</v>
          </cell>
          <cell r="B528">
            <v>62261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6226177001</v>
          </cell>
          <cell r="B529">
            <v>62261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6226177022</v>
          </cell>
          <cell r="B530">
            <v>62261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6226184200</v>
          </cell>
          <cell r="B531">
            <v>62261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6226184240</v>
          </cell>
          <cell r="B532">
            <v>62261</v>
          </cell>
          <cell r="C532">
            <v>84240</v>
          </cell>
          <cell r="D532" t="str">
            <v>Marketing Leasing</v>
          </cell>
          <cell r="E532">
            <v>4.05</v>
          </cell>
          <cell r="F532">
            <v>345.94</v>
          </cell>
          <cell r="G532">
            <v>-341.89</v>
          </cell>
          <cell r="H532">
            <v>593</v>
          </cell>
          <cell r="I532">
            <v>593</v>
          </cell>
          <cell r="J532">
            <v>0</v>
          </cell>
        </row>
        <row r="533">
          <cell r="A533" t="str">
            <v>6226184242</v>
          </cell>
          <cell r="B533">
            <v>62261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6226184243</v>
          </cell>
          <cell r="B534">
            <v>62261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6226184244</v>
          </cell>
          <cell r="B535">
            <v>62261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6226184265</v>
          </cell>
          <cell r="B536">
            <v>62261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6226188037</v>
          </cell>
          <cell r="B537">
            <v>62261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6226185016</v>
          </cell>
          <cell r="B538">
            <v>62261</v>
          </cell>
          <cell r="C538">
            <v>85016</v>
          </cell>
          <cell r="D538" t="str">
            <v>Prof Svc-Attorney Outside</v>
          </cell>
          <cell r="E538">
            <v>3277</v>
          </cell>
          <cell r="F538">
            <v>1882.84</v>
          </cell>
          <cell r="G538">
            <v>1394.16</v>
          </cell>
          <cell r="H538">
            <v>7032.84</v>
          </cell>
          <cell r="I538">
            <v>7032.84</v>
          </cell>
          <cell r="J538">
            <v>0</v>
          </cell>
        </row>
        <row r="539">
          <cell r="A539" t="str">
            <v>6226185022</v>
          </cell>
          <cell r="B539">
            <v>62261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1051.99</v>
          </cell>
          <cell r="I539">
            <v>1051.99</v>
          </cell>
          <cell r="J539">
            <v>0</v>
          </cell>
        </row>
        <row r="540">
          <cell r="A540" t="str">
            <v>6226185065</v>
          </cell>
          <cell r="B540">
            <v>62261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6226185500</v>
          </cell>
          <cell r="B541">
            <v>62261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6226185566</v>
          </cell>
          <cell r="B542">
            <v>62261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6226185581</v>
          </cell>
          <cell r="B543">
            <v>62261</v>
          </cell>
          <cell r="C543">
            <v>85581</v>
          </cell>
          <cell r="D543" t="str">
            <v>Bldg Admin- Salaries</v>
          </cell>
          <cell r="E543">
            <v>3347.96</v>
          </cell>
          <cell r="F543">
            <v>6710.98</v>
          </cell>
          <cell r="G543">
            <v>-3363.02</v>
          </cell>
          <cell r="H543">
            <v>12022.3</v>
          </cell>
          <cell r="I543">
            <v>12022.3</v>
          </cell>
          <cell r="J543">
            <v>0</v>
          </cell>
        </row>
        <row r="544">
          <cell r="A544" t="str">
            <v>6226185583</v>
          </cell>
          <cell r="B544">
            <v>62261</v>
          </cell>
          <cell r="C544">
            <v>85583</v>
          </cell>
          <cell r="D544" t="str">
            <v>Bldg Admin-Office Exp.</v>
          </cell>
          <cell r="E544">
            <v>535.91999999999996</v>
          </cell>
          <cell r="F544">
            <v>0</v>
          </cell>
          <cell r="G544">
            <v>535.91999999999996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6226185530</v>
          </cell>
          <cell r="B545">
            <v>62261</v>
          </cell>
          <cell r="C545">
            <v>85530</v>
          </cell>
          <cell r="D545" t="str">
            <v>Bldg Admin - Office Exp</v>
          </cell>
          <cell r="E545">
            <v>535.91999999999996</v>
          </cell>
          <cell r="F545">
            <v>0</v>
          </cell>
          <cell r="G545">
            <v>535.91999999999996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6226186012</v>
          </cell>
          <cell r="B546">
            <v>62261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6226186037</v>
          </cell>
          <cell r="B547">
            <v>62261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6226183050</v>
          </cell>
          <cell r="B548">
            <v>62261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6226186510</v>
          </cell>
          <cell r="B549">
            <v>62261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6226186537</v>
          </cell>
          <cell r="B550">
            <v>62261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6226186566</v>
          </cell>
          <cell r="B551">
            <v>62261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6226186955</v>
          </cell>
          <cell r="B552">
            <v>62261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6226186985</v>
          </cell>
          <cell r="B553">
            <v>62261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6226186880</v>
          </cell>
          <cell r="B554">
            <v>62261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6226188710</v>
          </cell>
          <cell r="B555">
            <v>62261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3406.32</v>
          </cell>
          <cell r="G555">
            <v>-3406.32</v>
          </cell>
          <cell r="H555">
            <v>6812.56</v>
          </cell>
          <cell r="I555">
            <v>6812.56</v>
          </cell>
          <cell r="J555">
            <v>0</v>
          </cell>
        </row>
        <row r="556">
          <cell r="A556" t="str">
            <v>6226188711</v>
          </cell>
          <cell r="B556">
            <v>62261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6226188785</v>
          </cell>
          <cell r="B557">
            <v>62261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6226188847</v>
          </cell>
          <cell r="B558">
            <v>62261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6226188866</v>
          </cell>
          <cell r="B559">
            <v>62261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6226188870</v>
          </cell>
          <cell r="B560">
            <v>62261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6226188889</v>
          </cell>
          <cell r="B561">
            <v>62261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6226189776</v>
          </cell>
          <cell r="B562">
            <v>62261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6226189787</v>
          </cell>
          <cell r="B563">
            <v>62261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6226189510</v>
          </cell>
          <cell r="B564">
            <v>62261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6226189511</v>
          </cell>
          <cell r="B565">
            <v>62261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6226189512</v>
          </cell>
          <cell r="B566">
            <v>62261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6226189528</v>
          </cell>
          <cell r="B567">
            <v>62261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6226189529</v>
          </cell>
          <cell r="B568">
            <v>62261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6226189567</v>
          </cell>
          <cell r="B569">
            <v>62261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6226185058</v>
          </cell>
          <cell r="B570">
            <v>62261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6226186513</v>
          </cell>
          <cell r="B571">
            <v>62261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6226186519</v>
          </cell>
          <cell r="B572">
            <v>62261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6226188770</v>
          </cell>
          <cell r="B573">
            <v>62261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6226188862</v>
          </cell>
          <cell r="B574">
            <v>62261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6226188874</v>
          </cell>
          <cell r="B575">
            <v>62261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6226189910</v>
          </cell>
          <cell r="B576">
            <v>62261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10547.64</v>
          </cell>
          <cell r="G576">
            <v>-10547.64</v>
          </cell>
          <cell r="H576">
            <v>18081.68</v>
          </cell>
          <cell r="I576">
            <v>18081.68</v>
          </cell>
          <cell r="J576">
            <v>0</v>
          </cell>
        </row>
        <row r="577">
          <cell r="A577" t="str">
            <v>6226189548</v>
          </cell>
          <cell r="B577">
            <v>62261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6227041010</v>
          </cell>
          <cell r="B578">
            <v>62270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6227041040</v>
          </cell>
          <cell r="B579">
            <v>62270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6227041050</v>
          </cell>
          <cell r="B580">
            <v>62270</v>
          </cell>
          <cell r="C580">
            <v>41050</v>
          </cell>
          <cell r="D580" t="str">
            <v>Rental Income - Fixed</v>
          </cell>
          <cell r="E580">
            <v>-2946964.57</v>
          </cell>
          <cell r="F580">
            <v>-2930424.11</v>
          </cell>
          <cell r="G580">
            <v>-16540.46</v>
          </cell>
          <cell r="H580">
            <v>-5103929.24</v>
          </cell>
          <cell r="I580">
            <v>-5103929.24</v>
          </cell>
          <cell r="J580">
            <v>0</v>
          </cell>
        </row>
        <row r="581">
          <cell r="A581" t="str">
            <v>6227041074</v>
          </cell>
          <cell r="B581">
            <v>62270</v>
          </cell>
          <cell r="C581">
            <v>41074</v>
          </cell>
          <cell r="D581" t="str">
            <v>Rental Income - Percentage</v>
          </cell>
          <cell r="E581">
            <v>-36336.199999999997</v>
          </cell>
          <cell r="F581">
            <v>-13990</v>
          </cell>
          <cell r="G581">
            <v>-22346.2</v>
          </cell>
          <cell r="H581">
            <v>-13990</v>
          </cell>
          <cell r="I581">
            <v>-13990</v>
          </cell>
          <cell r="J581">
            <v>0</v>
          </cell>
        </row>
        <row r="582">
          <cell r="A582" t="str">
            <v>6227041082</v>
          </cell>
          <cell r="B582">
            <v>62270</v>
          </cell>
          <cell r="C582">
            <v>41082</v>
          </cell>
          <cell r="D582" t="str">
            <v>Rental Income - Operating Exp</v>
          </cell>
          <cell r="E582">
            <v>-732659.66</v>
          </cell>
          <cell r="F582">
            <v>-848134.7</v>
          </cell>
          <cell r="G582">
            <v>115475.04</v>
          </cell>
          <cell r="H582">
            <v>-1453945.2</v>
          </cell>
          <cell r="I582">
            <v>-1453945.2</v>
          </cell>
          <cell r="J582">
            <v>0</v>
          </cell>
        </row>
        <row r="583">
          <cell r="A583" t="str">
            <v>6227044610</v>
          </cell>
          <cell r="B583">
            <v>62270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6227045071</v>
          </cell>
          <cell r="B584">
            <v>62270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6227045010</v>
          </cell>
          <cell r="B585">
            <v>62270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6227045046</v>
          </cell>
          <cell r="B586">
            <v>62270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6227045070</v>
          </cell>
          <cell r="B587">
            <v>62270</v>
          </cell>
          <cell r="C587">
            <v>45070</v>
          </cell>
          <cell r="D587" t="str">
            <v>Other Income</v>
          </cell>
          <cell r="E587">
            <v>-27998.33</v>
          </cell>
          <cell r="F587">
            <v>0</v>
          </cell>
          <cell r="G587">
            <v>-27998.33</v>
          </cell>
          <cell r="H587">
            <v>0</v>
          </cell>
          <cell r="I587">
            <v>0</v>
          </cell>
          <cell r="J587">
            <v>0</v>
          </cell>
        </row>
        <row r="588">
          <cell r="A588" t="str">
            <v>6227041060</v>
          </cell>
          <cell r="B588">
            <v>62270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38336.06</v>
          </cell>
          <cell r="G588">
            <v>-38336.06</v>
          </cell>
          <cell r="H588">
            <v>65719</v>
          </cell>
          <cell r="I588">
            <v>65719</v>
          </cell>
          <cell r="J588">
            <v>0</v>
          </cell>
        </row>
        <row r="589">
          <cell r="A589" t="str">
            <v>6227044870</v>
          </cell>
          <cell r="B589">
            <v>62270</v>
          </cell>
          <cell r="C589">
            <v>44870</v>
          </cell>
          <cell r="D589" t="str">
            <v>Late Fees</v>
          </cell>
          <cell r="E589">
            <v>-75</v>
          </cell>
          <cell r="F589">
            <v>0</v>
          </cell>
          <cell r="G589">
            <v>-75</v>
          </cell>
          <cell r="H589">
            <v>-1030</v>
          </cell>
          <cell r="I589">
            <v>-1030</v>
          </cell>
          <cell r="J589">
            <v>0</v>
          </cell>
        </row>
        <row r="590">
          <cell r="A590" t="str">
            <v>6227052542</v>
          </cell>
          <cell r="B590">
            <v>62270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6227072710</v>
          </cell>
          <cell r="B591">
            <v>62270</v>
          </cell>
          <cell r="C591">
            <v>72710</v>
          </cell>
          <cell r="D591" t="str">
            <v>Utilities - Electricity</v>
          </cell>
          <cell r="E591">
            <v>26048.15</v>
          </cell>
          <cell r="F591">
            <v>31969.119999999999</v>
          </cell>
          <cell r="G591">
            <v>-5920.97</v>
          </cell>
          <cell r="H591">
            <v>56077.34</v>
          </cell>
          <cell r="I591">
            <v>56077.34</v>
          </cell>
          <cell r="J591">
            <v>0</v>
          </cell>
        </row>
        <row r="592">
          <cell r="A592" t="str">
            <v>6227072740</v>
          </cell>
          <cell r="B592">
            <v>62270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6227072770</v>
          </cell>
          <cell r="B593">
            <v>62270</v>
          </cell>
          <cell r="C593">
            <v>72770</v>
          </cell>
          <cell r="D593" t="str">
            <v>Utilities - Water</v>
          </cell>
          <cell r="E593">
            <v>12964.58</v>
          </cell>
          <cell r="F593">
            <v>11953.32</v>
          </cell>
          <cell r="G593">
            <v>1011.26</v>
          </cell>
          <cell r="H593">
            <v>19157.189999999999</v>
          </cell>
          <cell r="I593">
            <v>19157.189999999999</v>
          </cell>
          <cell r="J593">
            <v>0</v>
          </cell>
        </row>
        <row r="594">
          <cell r="A594" t="str">
            <v>6227076000</v>
          </cell>
          <cell r="B594">
            <v>62270</v>
          </cell>
          <cell r="C594">
            <v>76000</v>
          </cell>
          <cell r="D594" t="str">
            <v>Bldg Maintenance &amp; Repair</v>
          </cell>
          <cell r="E594">
            <v>23552.98</v>
          </cell>
          <cell r="F594">
            <v>22869.52</v>
          </cell>
          <cell r="G594">
            <v>683.45999999999901</v>
          </cell>
          <cell r="H594">
            <v>63292.58</v>
          </cell>
          <cell r="I594">
            <v>63292.58</v>
          </cell>
          <cell r="J594">
            <v>0</v>
          </cell>
        </row>
        <row r="595">
          <cell r="A595" t="str">
            <v>6227076020</v>
          </cell>
          <cell r="B595">
            <v>62270</v>
          </cell>
          <cell r="C595">
            <v>76020</v>
          </cell>
          <cell r="D595" t="str">
            <v>Food Court Expense</v>
          </cell>
          <cell r="E595">
            <v>5255</v>
          </cell>
          <cell r="F595">
            <v>6128.5</v>
          </cell>
          <cell r="G595">
            <v>-873.5</v>
          </cell>
          <cell r="H595">
            <v>10712</v>
          </cell>
          <cell r="I595">
            <v>10712</v>
          </cell>
          <cell r="J595">
            <v>0</v>
          </cell>
        </row>
        <row r="596">
          <cell r="A596" t="str">
            <v>6227076034</v>
          </cell>
          <cell r="B596">
            <v>62270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6227076050</v>
          </cell>
          <cell r="B597">
            <v>62270</v>
          </cell>
          <cell r="C597">
            <v>76050</v>
          </cell>
          <cell r="D597" t="str">
            <v>Cleaning Expense</v>
          </cell>
          <cell r="E597">
            <v>47700.97</v>
          </cell>
          <cell r="F597">
            <v>44187.49</v>
          </cell>
          <cell r="G597">
            <v>3513.48</v>
          </cell>
          <cell r="H597">
            <v>77274.210000000006</v>
          </cell>
          <cell r="I597">
            <v>77274.210000000006</v>
          </cell>
          <cell r="J597">
            <v>0</v>
          </cell>
        </row>
        <row r="598">
          <cell r="A598" t="str">
            <v>6227076056</v>
          </cell>
          <cell r="B598">
            <v>62270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6227076070</v>
          </cell>
          <cell r="B599">
            <v>62270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6227076091</v>
          </cell>
          <cell r="B600">
            <v>62270</v>
          </cell>
          <cell r="C600">
            <v>76091</v>
          </cell>
          <cell r="D600" t="str">
            <v>Parking Maintenance</v>
          </cell>
          <cell r="E600">
            <v>31081.01</v>
          </cell>
          <cell r="F600">
            <v>36843.07</v>
          </cell>
          <cell r="G600">
            <v>-5762.06</v>
          </cell>
          <cell r="H600">
            <v>59121.55</v>
          </cell>
          <cell r="I600">
            <v>59121.55</v>
          </cell>
          <cell r="J600">
            <v>0</v>
          </cell>
        </row>
        <row r="601">
          <cell r="A601" t="str">
            <v>6227077000</v>
          </cell>
          <cell r="B601">
            <v>62270</v>
          </cell>
          <cell r="C601">
            <v>77000</v>
          </cell>
          <cell r="D601" t="str">
            <v>Grounds Maintenance</v>
          </cell>
          <cell r="E601">
            <v>31289.77</v>
          </cell>
          <cell r="F601">
            <v>41144.79</v>
          </cell>
          <cell r="G601">
            <v>-9855.02</v>
          </cell>
          <cell r="H601">
            <v>74511.91</v>
          </cell>
          <cell r="I601">
            <v>74511.91</v>
          </cell>
          <cell r="J601">
            <v>0</v>
          </cell>
        </row>
        <row r="602">
          <cell r="A602" t="str">
            <v>6227077053</v>
          </cell>
          <cell r="B602">
            <v>62270</v>
          </cell>
          <cell r="C602">
            <v>77053</v>
          </cell>
          <cell r="D602" t="str">
            <v>Landscaping</v>
          </cell>
          <cell r="E602">
            <v>59664</v>
          </cell>
          <cell r="F602">
            <v>81465</v>
          </cell>
          <cell r="G602">
            <v>-21801</v>
          </cell>
          <cell r="H602">
            <v>125364.17</v>
          </cell>
          <cell r="I602">
            <v>125364.17</v>
          </cell>
          <cell r="J602">
            <v>0</v>
          </cell>
        </row>
        <row r="603">
          <cell r="A603" t="str">
            <v>6227078020</v>
          </cell>
          <cell r="B603">
            <v>62270</v>
          </cell>
          <cell r="C603">
            <v>78020</v>
          </cell>
          <cell r="D603" t="str">
            <v>Amortized CAM Exp</v>
          </cell>
          <cell r="E603">
            <v>47279.4</v>
          </cell>
          <cell r="F603">
            <v>47279.34</v>
          </cell>
          <cell r="G603">
            <v>6.00000000049477E-2</v>
          </cell>
          <cell r="H603">
            <v>88050</v>
          </cell>
          <cell r="I603">
            <v>88050</v>
          </cell>
          <cell r="J603">
            <v>0</v>
          </cell>
        </row>
        <row r="604">
          <cell r="A604" t="str">
            <v>6227084264</v>
          </cell>
          <cell r="B604">
            <v>62270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6227085555</v>
          </cell>
          <cell r="B605">
            <v>62270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6227085584</v>
          </cell>
          <cell r="B606">
            <v>62270</v>
          </cell>
          <cell r="C606">
            <v>85584</v>
          </cell>
          <cell r="D606" t="str">
            <v>Bldg Admin-Office Costs</v>
          </cell>
          <cell r="E606">
            <v>12028.66</v>
          </cell>
          <cell r="F606">
            <v>18224.5</v>
          </cell>
          <cell r="G606">
            <v>-6195.84</v>
          </cell>
          <cell r="H606">
            <v>31242</v>
          </cell>
          <cell r="I606">
            <v>31242</v>
          </cell>
          <cell r="J606">
            <v>0</v>
          </cell>
        </row>
        <row r="607">
          <cell r="A607" t="str">
            <v>6227085582</v>
          </cell>
          <cell r="B607">
            <v>62270</v>
          </cell>
          <cell r="C607">
            <v>85582</v>
          </cell>
          <cell r="D607" t="str">
            <v>Bldg Admin-Salaries</v>
          </cell>
          <cell r="E607">
            <v>57619.19</v>
          </cell>
          <cell r="F607">
            <v>92041.52</v>
          </cell>
          <cell r="G607">
            <v>-34422.33</v>
          </cell>
          <cell r="H607">
            <v>167507.20000000001</v>
          </cell>
          <cell r="I607">
            <v>167507.20000000001</v>
          </cell>
          <cell r="J607">
            <v>0</v>
          </cell>
        </row>
        <row r="608">
          <cell r="A608" t="str">
            <v>6227086564</v>
          </cell>
          <cell r="B608">
            <v>62270</v>
          </cell>
          <cell r="C608">
            <v>86564</v>
          </cell>
          <cell r="D608" t="str">
            <v>Insurance</v>
          </cell>
          <cell r="E608">
            <v>56077</v>
          </cell>
          <cell r="F608">
            <v>54196.94</v>
          </cell>
          <cell r="G608">
            <v>1880.06</v>
          </cell>
          <cell r="H608">
            <v>92909</v>
          </cell>
          <cell r="I608">
            <v>92909</v>
          </cell>
          <cell r="J608">
            <v>0</v>
          </cell>
        </row>
        <row r="609">
          <cell r="A609" t="str">
            <v>6227088846</v>
          </cell>
          <cell r="B609">
            <v>62270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6227088890</v>
          </cell>
          <cell r="B610">
            <v>62270</v>
          </cell>
          <cell r="C610">
            <v>88890</v>
          </cell>
          <cell r="D610" t="str">
            <v>Security/Safety</v>
          </cell>
          <cell r="E610">
            <v>26132.22</v>
          </cell>
          <cell r="F610">
            <v>21302.83</v>
          </cell>
          <cell r="G610">
            <v>4829.3900000000003</v>
          </cell>
          <cell r="H610">
            <v>36486.82</v>
          </cell>
          <cell r="I610">
            <v>36486.82</v>
          </cell>
          <cell r="J610">
            <v>0</v>
          </cell>
        </row>
        <row r="611">
          <cell r="A611" t="str">
            <v>6227089775</v>
          </cell>
          <cell r="B611">
            <v>62270</v>
          </cell>
          <cell r="C611">
            <v>89775</v>
          </cell>
          <cell r="D611" t="str">
            <v>Assmt Dist Taxes- Reimb</v>
          </cell>
          <cell r="E611">
            <v>72347.94</v>
          </cell>
          <cell r="F611">
            <v>96463.5</v>
          </cell>
          <cell r="G611">
            <v>-24115.56</v>
          </cell>
          <cell r="H611">
            <v>165366</v>
          </cell>
          <cell r="I611">
            <v>165366</v>
          </cell>
          <cell r="J611">
            <v>0</v>
          </cell>
        </row>
        <row r="612">
          <cell r="A612" t="str">
            <v>6227089729</v>
          </cell>
          <cell r="B612">
            <v>62270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6227089786</v>
          </cell>
          <cell r="B613">
            <v>62270</v>
          </cell>
          <cell r="C613">
            <v>89786</v>
          </cell>
          <cell r="D613" t="str">
            <v>Property Tax Exp</v>
          </cell>
          <cell r="E613">
            <v>206279.5</v>
          </cell>
          <cell r="F613">
            <v>207418.75</v>
          </cell>
          <cell r="G613">
            <v>-1139.25</v>
          </cell>
          <cell r="H613">
            <v>355575</v>
          </cell>
          <cell r="I613">
            <v>355575</v>
          </cell>
          <cell r="J613">
            <v>0</v>
          </cell>
        </row>
        <row r="614">
          <cell r="A614" t="str">
            <v>6227071040</v>
          </cell>
          <cell r="B614">
            <v>62270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6227072701</v>
          </cell>
          <cell r="B615">
            <v>62270</v>
          </cell>
          <cell r="C615">
            <v>72701</v>
          </cell>
          <cell r="D615" t="str">
            <v>Utilities</v>
          </cell>
          <cell r="E615">
            <v>308.3</v>
          </cell>
          <cell r="F615">
            <v>0</v>
          </cell>
          <cell r="G615">
            <v>308.3</v>
          </cell>
          <cell r="H615">
            <v>206</v>
          </cell>
          <cell r="I615">
            <v>206</v>
          </cell>
          <cell r="J615">
            <v>0</v>
          </cell>
        </row>
        <row r="616">
          <cell r="A616" t="str">
            <v>6227072855</v>
          </cell>
          <cell r="B616">
            <v>62270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6227072870</v>
          </cell>
          <cell r="B617">
            <v>62270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6227076010</v>
          </cell>
          <cell r="B618">
            <v>62270</v>
          </cell>
          <cell r="C618">
            <v>76010</v>
          </cell>
          <cell r="D618" t="str">
            <v>Tenant Alterations</v>
          </cell>
          <cell r="E618">
            <v>10.68</v>
          </cell>
          <cell r="F618">
            <v>0</v>
          </cell>
          <cell r="G618">
            <v>10.68</v>
          </cell>
          <cell r="H618">
            <v>354.4</v>
          </cell>
          <cell r="I618">
            <v>354.4</v>
          </cell>
          <cell r="J618">
            <v>0</v>
          </cell>
        </row>
        <row r="619">
          <cell r="A619" t="str">
            <v>6227076040</v>
          </cell>
          <cell r="B619">
            <v>62270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6227076051</v>
          </cell>
          <cell r="B620">
            <v>62270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6227076054</v>
          </cell>
          <cell r="B621">
            <v>62270</v>
          </cell>
          <cell r="C621">
            <v>76054</v>
          </cell>
          <cell r="D621" t="str">
            <v>Bldg Maintenance &amp; Repair</v>
          </cell>
          <cell r="E621">
            <v>459.86</v>
          </cell>
          <cell r="F621">
            <v>10206.969999999999</v>
          </cell>
          <cell r="G621">
            <v>-9747.11</v>
          </cell>
          <cell r="H621">
            <v>11372.73</v>
          </cell>
          <cell r="I621">
            <v>11372.73</v>
          </cell>
          <cell r="J621">
            <v>0</v>
          </cell>
        </row>
        <row r="622">
          <cell r="A622" t="str">
            <v>6227076060</v>
          </cell>
          <cell r="B622">
            <v>62270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6227076071</v>
          </cell>
          <cell r="B623">
            <v>62270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6227076090</v>
          </cell>
          <cell r="B624">
            <v>62270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6227077001</v>
          </cell>
          <cell r="B625">
            <v>62270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6227077022</v>
          </cell>
          <cell r="B626">
            <v>62270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6227084200</v>
          </cell>
          <cell r="B627">
            <v>62270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6227084240</v>
          </cell>
          <cell r="B628">
            <v>62270</v>
          </cell>
          <cell r="C628">
            <v>84240</v>
          </cell>
          <cell r="D628" t="str">
            <v>Marketing Leasing</v>
          </cell>
          <cell r="E628">
            <v>50.66</v>
          </cell>
          <cell r="F628">
            <v>4347.5600000000004</v>
          </cell>
          <cell r="G628">
            <v>-4296.8999999999996</v>
          </cell>
          <cell r="H628">
            <v>7453</v>
          </cell>
          <cell r="I628">
            <v>7453</v>
          </cell>
          <cell r="J628">
            <v>0</v>
          </cell>
        </row>
        <row r="629">
          <cell r="A629" t="str">
            <v>6227084242</v>
          </cell>
          <cell r="B629">
            <v>62270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6227084243</v>
          </cell>
          <cell r="B630">
            <v>62270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6227084244</v>
          </cell>
          <cell r="B631">
            <v>62270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6227084265</v>
          </cell>
          <cell r="B632">
            <v>62270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6227088037</v>
          </cell>
          <cell r="B633">
            <v>62270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6227085016</v>
          </cell>
          <cell r="B634">
            <v>62270</v>
          </cell>
          <cell r="C634">
            <v>85016</v>
          </cell>
          <cell r="D634" t="str">
            <v>Prof Svc-Attorney Outside</v>
          </cell>
          <cell r="E634">
            <v>1152.74</v>
          </cell>
          <cell r="F634">
            <v>266.25</v>
          </cell>
          <cell r="G634">
            <v>886.49</v>
          </cell>
          <cell r="H634">
            <v>4412</v>
          </cell>
          <cell r="I634">
            <v>4412</v>
          </cell>
          <cell r="J634">
            <v>0</v>
          </cell>
        </row>
        <row r="635">
          <cell r="A635" t="str">
            <v>6227085022</v>
          </cell>
          <cell r="B635">
            <v>62270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1313.25</v>
          </cell>
          <cell r="G635">
            <v>-1313.25</v>
          </cell>
          <cell r="H635">
            <v>5760.12</v>
          </cell>
          <cell r="I635">
            <v>5760.12</v>
          </cell>
          <cell r="J635">
            <v>0</v>
          </cell>
        </row>
        <row r="636">
          <cell r="A636" t="str">
            <v>6227085065</v>
          </cell>
          <cell r="B636">
            <v>62270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6227085500</v>
          </cell>
          <cell r="B637">
            <v>62270</v>
          </cell>
          <cell r="C637">
            <v>85500</v>
          </cell>
          <cell r="D637" t="str">
            <v>Consulting Services</v>
          </cell>
          <cell r="E637">
            <v>50</v>
          </cell>
          <cell r="F637">
            <v>1201.8599999999999</v>
          </cell>
          <cell r="G637">
            <v>-1151.8599999999999</v>
          </cell>
          <cell r="H637">
            <v>6596.05</v>
          </cell>
          <cell r="I637">
            <v>6596.05</v>
          </cell>
          <cell r="J637">
            <v>0</v>
          </cell>
        </row>
        <row r="638">
          <cell r="A638" t="str">
            <v>6227085566</v>
          </cell>
          <cell r="B638">
            <v>62270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6227085581</v>
          </cell>
          <cell r="B639">
            <v>62270</v>
          </cell>
          <cell r="C639">
            <v>85581</v>
          </cell>
          <cell r="D639" t="str">
            <v>Bldg Admin- Salaries</v>
          </cell>
          <cell r="E639">
            <v>42100.32</v>
          </cell>
          <cell r="F639">
            <v>74405.52</v>
          </cell>
          <cell r="G639">
            <v>-32305.200000000001</v>
          </cell>
          <cell r="H639">
            <v>134068.20000000001</v>
          </cell>
          <cell r="I639">
            <v>134068.20000000001</v>
          </cell>
          <cell r="J639">
            <v>0</v>
          </cell>
        </row>
        <row r="640">
          <cell r="A640" t="str">
            <v>6227085583</v>
          </cell>
          <cell r="B640">
            <v>62270</v>
          </cell>
          <cell r="C640">
            <v>85583</v>
          </cell>
          <cell r="D640" t="str">
            <v>Bldg Admin-Office Exp.</v>
          </cell>
          <cell r="E640">
            <v>6739.15</v>
          </cell>
          <cell r="F640">
            <v>0</v>
          </cell>
          <cell r="G640">
            <v>6739.15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6227085530</v>
          </cell>
          <cell r="B641">
            <v>62270</v>
          </cell>
          <cell r="C641">
            <v>85530</v>
          </cell>
          <cell r="D641" t="str">
            <v>Bldg Admin - Office Exp</v>
          </cell>
          <cell r="E641">
            <v>6739.15</v>
          </cell>
          <cell r="F641">
            <v>0</v>
          </cell>
          <cell r="G641">
            <v>6739.15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6227086012</v>
          </cell>
          <cell r="B642">
            <v>62270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6227086037</v>
          </cell>
          <cell r="B643">
            <v>62270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6227083050</v>
          </cell>
          <cell r="B644">
            <v>62270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6227086510</v>
          </cell>
          <cell r="B645">
            <v>62270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6227086537</v>
          </cell>
          <cell r="B646">
            <v>62270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6227086566</v>
          </cell>
          <cell r="B647">
            <v>62270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6227086955</v>
          </cell>
          <cell r="B648">
            <v>62270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6227086985</v>
          </cell>
          <cell r="B649">
            <v>62270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6227086880</v>
          </cell>
          <cell r="B650">
            <v>62270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6227088710</v>
          </cell>
          <cell r="B651">
            <v>62270</v>
          </cell>
          <cell r="C651">
            <v>88710</v>
          </cell>
          <cell r="D651" t="str">
            <v>Losses-Bad Debts</v>
          </cell>
          <cell r="E651">
            <v>6316.44</v>
          </cell>
          <cell r="F651">
            <v>32864.400000000001</v>
          </cell>
          <cell r="G651">
            <v>-26547.96</v>
          </cell>
          <cell r="H651">
            <v>65728.639999999999</v>
          </cell>
          <cell r="I651">
            <v>65728.639999999999</v>
          </cell>
          <cell r="J651">
            <v>0</v>
          </cell>
        </row>
        <row r="652">
          <cell r="A652" t="str">
            <v>6227088711</v>
          </cell>
          <cell r="B652">
            <v>62270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6227088785</v>
          </cell>
          <cell r="B653">
            <v>62270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6227088847</v>
          </cell>
          <cell r="B654">
            <v>62270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6227088866</v>
          </cell>
          <cell r="B655">
            <v>62270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6227088870</v>
          </cell>
          <cell r="B656">
            <v>62270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6227088889</v>
          </cell>
          <cell r="B657">
            <v>62270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6227089776</v>
          </cell>
          <cell r="B658">
            <v>62270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6227089787</v>
          </cell>
          <cell r="B659">
            <v>62270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6227089510</v>
          </cell>
          <cell r="B660">
            <v>62270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681217</v>
          </cell>
          <cell r="G660">
            <v>-681217</v>
          </cell>
          <cell r="H660">
            <v>1146735</v>
          </cell>
          <cell r="I660">
            <v>1146735</v>
          </cell>
          <cell r="J660">
            <v>0</v>
          </cell>
        </row>
        <row r="661">
          <cell r="A661" t="str">
            <v>6227089511</v>
          </cell>
          <cell r="B661">
            <v>62270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6227089512</v>
          </cell>
          <cell r="B662">
            <v>62270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6227089528</v>
          </cell>
          <cell r="B663">
            <v>62270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6227089529</v>
          </cell>
          <cell r="B664">
            <v>62270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15610</v>
          </cell>
          <cell r="G664">
            <v>-15610</v>
          </cell>
          <cell r="H664">
            <v>26760</v>
          </cell>
          <cell r="I664">
            <v>26760</v>
          </cell>
          <cell r="J664">
            <v>0</v>
          </cell>
        </row>
        <row r="665">
          <cell r="A665" t="str">
            <v>6227089567</v>
          </cell>
          <cell r="B665">
            <v>62270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6227085058</v>
          </cell>
          <cell r="B666">
            <v>62270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6227086513</v>
          </cell>
          <cell r="B667">
            <v>62270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425.71</v>
          </cell>
          <cell r="G667">
            <v>-425.71</v>
          </cell>
          <cell r="H667">
            <v>674.36</v>
          </cell>
          <cell r="I667">
            <v>674.36</v>
          </cell>
          <cell r="J667">
            <v>0</v>
          </cell>
        </row>
        <row r="668">
          <cell r="A668" t="str">
            <v>6227086519</v>
          </cell>
          <cell r="B668">
            <v>62270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6227088770</v>
          </cell>
          <cell r="B669">
            <v>62270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6227088862</v>
          </cell>
          <cell r="B670">
            <v>62270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6227088874</v>
          </cell>
          <cell r="B671">
            <v>62270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6227089910</v>
          </cell>
          <cell r="B672">
            <v>62270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349248.29</v>
          </cell>
          <cell r="G672">
            <v>-349248.29</v>
          </cell>
          <cell r="H672">
            <v>595854.16</v>
          </cell>
          <cell r="I672">
            <v>595854.16</v>
          </cell>
          <cell r="J672">
            <v>0</v>
          </cell>
        </row>
        <row r="673">
          <cell r="A673" t="str">
            <v>6227089548</v>
          </cell>
          <cell r="B673">
            <v>62270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6232041010</v>
          </cell>
          <cell r="B674">
            <v>62320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6232041040</v>
          </cell>
          <cell r="B675">
            <v>62320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6232041050</v>
          </cell>
          <cell r="B676">
            <v>62320</v>
          </cell>
          <cell r="C676">
            <v>41050</v>
          </cell>
          <cell r="D676" t="str">
            <v>Rental Income - Fixed</v>
          </cell>
          <cell r="E676">
            <v>-1204249.24</v>
          </cell>
          <cell r="F676">
            <v>-1407684.87</v>
          </cell>
          <cell r="G676">
            <v>203435.63</v>
          </cell>
          <cell r="H676">
            <v>-2673566.12</v>
          </cell>
          <cell r="I676">
            <v>-2673566.12</v>
          </cell>
          <cell r="J676">
            <v>0</v>
          </cell>
        </row>
        <row r="677">
          <cell r="A677" t="str">
            <v>6232041074</v>
          </cell>
          <cell r="B677">
            <v>62320</v>
          </cell>
          <cell r="C677">
            <v>41074</v>
          </cell>
          <cell r="D677" t="str">
            <v>Rental Income - Percentage</v>
          </cell>
          <cell r="E677">
            <v>-319189.01</v>
          </cell>
          <cell r="F677">
            <v>-155942</v>
          </cell>
          <cell r="G677">
            <v>-163247.01</v>
          </cell>
          <cell r="H677">
            <v>-155942</v>
          </cell>
          <cell r="I677">
            <v>-155942</v>
          </cell>
          <cell r="J677">
            <v>0</v>
          </cell>
        </row>
        <row r="678">
          <cell r="A678" t="str">
            <v>6232041082</v>
          </cell>
          <cell r="B678">
            <v>62320</v>
          </cell>
          <cell r="C678">
            <v>41082</v>
          </cell>
          <cell r="D678" t="str">
            <v>Rental Income - Operating Exp</v>
          </cell>
          <cell r="E678">
            <v>-513654.75</v>
          </cell>
          <cell r="F678">
            <v>-516005.56</v>
          </cell>
          <cell r="G678">
            <v>2350.81</v>
          </cell>
          <cell r="H678">
            <v>-884580.96</v>
          </cell>
          <cell r="I678">
            <v>-884580.96</v>
          </cell>
          <cell r="J678">
            <v>0</v>
          </cell>
        </row>
        <row r="679">
          <cell r="A679" t="str">
            <v>6232044610</v>
          </cell>
          <cell r="B679">
            <v>62320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6232045071</v>
          </cell>
          <cell r="B680">
            <v>62320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6232045010</v>
          </cell>
          <cell r="B681">
            <v>62320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6232045046</v>
          </cell>
          <cell r="B682">
            <v>62320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6232045070</v>
          </cell>
          <cell r="B683">
            <v>62320</v>
          </cell>
          <cell r="C683">
            <v>45070</v>
          </cell>
          <cell r="D683" t="str">
            <v>Other Income</v>
          </cell>
          <cell r="E683">
            <v>-1977.16</v>
          </cell>
          <cell r="F683">
            <v>0</v>
          </cell>
          <cell r="G683">
            <v>-1977.16</v>
          </cell>
          <cell r="H683">
            <v>0</v>
          </cell>
          <cell r="I683">
            <v>0</v>
          </cell>
          <cell r="J683">
            <v>0</v>
          </cell>
        </row>
        <row r="684">
          <cell r="A684" t="str">
            <v>6232041060</v>
          </cell>
          <cell r="B684">
            <v>62320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43331.19</v>
          </cell>
          <cell r="G684">
            <v>-43331.19</v>
          </cell>
          <cell r="H684">
            <v>74282</v>
          </cell>
          <cell r="I684">
            <v>74282</v>
          </cell>
          <cell r="J684">
            <v>0</v>
          </cell>
        </row>
        <row r="685">
          <cell r="A685" t="str">
            <v>6232044870</v>
          </cell>
          <cell r="B685">
            <v>62320</v>
          </cell>
          <cell r="C685">
            <v>44870</v>
          </cell>
          <cell r="D685" t="str">
            <v>Late Fees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6232052542</v>
          </cell>
          <cell r="B686">
            <v>62320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6232072710</v>
          </cell>
          <cell r="B687">
            <v>62320</v>
          </cell>
          <cell r="C687">
            <v>72710</v>
          </cell>
          <cell r="D687" t="str">
            <v>Utilities - Electricity</v>
          </cell>
          <cell r="E687">
            <v>26225.23</v>
          </cell>
          <cell r="F687">
            <v>24567.02</v>
          </cell>
          <cell r="G687">
            <v>1658.21</v>
          </cell>
          <cell r="H687">
            <v>39613.370000000003</v>
          </cell>
          <cell r="I687">
            <v>39613.370000000003</v>
          </cell>
          <cell r="J687">
            <v>0</v>
          </cell>
        </row>
        <row r="688">
          <cell r="A688" t="str">
            <v>6232072740</v>
          </cell>
          <cell r="B688">
            <v>62320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6232072770</v>
          </cell>
          <cell r="B689">
            <v>62320</v>
          </cell>
          <cell r="C689">
            <v>72770</v>
          </cell>
          <cell r="D689" t="str">
            <v>Utilities - Water</v>
          </cell>
          <cell r="E689">
            <v>6875.21</v>
          </cell>
          <cell r="F689">
            <v>4230.67</v>
          </cell>
          <cell r="G689">
            <v>2644.54</v>
          </cell>
          <cell r="H689">
            <v>8984.7800000000007</v>
          </cell>
          <cell r="I689">
            <v>8984.7800000000007</v>
          </cell>
          <cell r="J689">
            <v>0</v>
          </cell>
        </row>
        <row r="690">
          <cell r="A690" t="str">
            <v>6232076000</v>
          </cell>
          <cell r="B690">
            <v>62320</v>
          </cell>
          <cell r="C690">
            <v>76000</v>
          </cell>
          <cell r="D690" t="str">
            <v>Bldg Maintenance &amp; Repair</v>
          </cell>
          <cell r="E690">
            <v>25133.919999999998</v>
          </cell>
          <cell r="F690">
            <v>28250.07</v>
          </cell>
          <cell r="G690">
            <v>-3116.15</v>
          </cell>
          <cell r="H690">
            <v>44528.47</v>
          </cell>
          <cell r="I690">
            <v>44528.47</v>
          </cell>
          <cell r="J690">
            <v>0</v>
          </cell>
        </row>
        <row r="691">
          <cell r="A691" t="str">
            <v>6232076020</v>
          </cell>
          <cell r="B691">
            <v>62320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6232076034</v>
          </cell>
          <cell r="B692">
            <v>62320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6232076050</v>
          </cell>
          <cell r="B693">
            <v>62320</v>
          </cell>
          <cell r="C693">
            <v>76050</v>
          </cell>
          <cell r="D693" t="str">
            <v>Cleaning Expense</v>
          </cell>
          <cell r="E693">
            <v>49048.83</v>
          </cell>
          <cell r="F693">
            <v>48423.41</v>
          </cell>
          <cell r="G693">
            <v>625.41999999999803</v>
          </cell>
          <cell r="H693">
            <v>82104.429999999993</v>
          </cell>
          <cell r="I693">
            <v>82104.429999999993</v>
          </cell>
          <cell r="J693">
            <v>0</v>
          </cell>
        </row>
        <row r="694">
          <cell r="A694" t="str">
            <v>6232076056</v>
          </cell>
          <cell r="B694">
            <v>62320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6232076070</v>
          </cell>
          <cell r="B695">
            <v>62320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6232076091</v>
          </cell>
          <cell r="B696">
            <v>62320</v>
          </cell>
          <cell r="C696">
            <v>76091</v>
          </cell>
          <cell r="D696" t="str">
            <v>Parking Maintenance</v>
          </cell>
          <cell r="E696">
            <v>37072.18</v>
          </cell>
          <cell r="F696">
            <v>44970.32</v>
          </cell>
          <cell r="G696">
            <v>-7898.14</v>
          </cell>
          <cell r="H696">
            <v>72494.570000000007</v>
          </cell>
          <cell r="I696">
            <v>72494.570000000007</v>
          </cell>
          <cell r="J696">
            <v>0</v>
          </cell>
        </row>
        <row r="697">
          <cell r="A697" t="str">
            <v>6232077000</v>
          </cell>
          <cell r="B697">
            <v>62320</v>
          </cell>
          <cell r="C697">
            <v>77000</v>
          </cell>
          <cell r="D697" t="str">
            <v>Grounds Maintenance</v>
          </cell>
          <cell r="E697">
            <v>49956.1</v>
          </cell>
          <cell r="F697">
            <v>85097.83</v>
          </cell>
          <cell r="G697">
            <v>-35141.730000000003</v>
          </cell>
          <cell r="H697">
            <v>113278.88</v>
          </cell>
          <cell r="I697">
            <v>113278.88</v>
          </cell>
          <cell r="J697">
            <v>0</v>
          </cell>
        </row>
        <row r="698">
          <cell r="A698" t="str">
            <v>6232077053</v>
          </cell>
          <cell r="B698">
            <v>62320</v>
          </cell>
          <cell r="C698">
            <v>77053</v>
          </cell>
          <cell r="D698" t="str">
            <v>Landscaping</v>
          </cell>
          <cell r="E698">
            <v>60427.28</v>
          </cell>
          <cell r="F698">
            <v>84710.7</v>
          </cell>
          <cell r="G698">
            <v>-24283.42</v>
          </cell>
          <cell r="H698">
            <v>116121.65</v>
          </cell>
          <cell r="I698">
            <v>116121.65</v>
          </cell>
          <cell r="J698">
            <v>0</v>
          </cell>
        </row>
        <row r="699">
          <cell r="A699" t="str">
            <v>6232078020</v>
          </cell>
          <cell r="B699">
            <v>62320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6232084264</v>
          </cell>
          <cell r="B700">
            <v>62320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6232085555</v>
          </cell>
          <cell r="B701">
            <v>62320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6232085584</v>
          </cell>
          <cell r="B702">
            <v>62320</v>
          </cell>
          <cell r="C702">
            <v>85584</v>
          </cell>
          <cell r="D702" t="str">
            <v>Bldg Admin-Office Costs</v>
          </cell>
          <cell r="E702">
            <v>4798.32</v>
          </cell>
          <cell r="F702">
            <v>8393</v>
          </cell>
          <cell r="G702">
            <v>-3594.68</v>
          </cell>
          <cell r="H702">
            <v>14388</v>
          </cell>
          <cell r="I702">
            <v>14388</v>
          </cell>
          <cell r="J702">
            <v>0</v>
          </cell>
        </row>
        <row r="703">
          <cell r="A703" t="str">
            <v>6232085582</v>
          </cell>
          <cell r="B703">
            <v>62320</v>
          </cell>
          <cell r="C703">
            <v>85582</v>
          </cell>
          <cell r="D703" t="str">
            <v>Bldg Admin-Salaries</v>
          </cell>
          <cell r="E703">
            <v>22073.14</v>
          </cell>
          <cell r="F703">
            <v>48712.52</v>
          </cell>
          <cell r="G703">
            <v>-26639.38</v>
          </cell>
          <cell r="H703">
            <v>88808.2</v>
          </cell>
          <cell r="I703">
            <v>88808.2</v>
          </cell>
          <cell r="J703">
            <v>0</v>
          </cell>
        </row>
        <row r="704">
          <cell r="A704" t="str">
            <v>6232086564</v>
          </cell>
          <cell r="B704">
            <v>62320</v>
          </cell>
          <cell r="C704">
            <v>86564</v>
          </cell>
          <cell r="D704" t="str">
            <v>Insurance</v>
          </cell>
          <cell r="E704">
            <v>40754</v>
          </cell>
          <cell r="F704">
            <v>30466.94</v>
          </cell>
          <cell r="G704">
            <v>10287.06</v>
          </cell>
          <cell r="H704">
            <v>52229</v>
          </cell>
          <cell r="I704">
            <v>52229</v>
          </cell>
          <cell r="J704">
            <v>0</v>
          </cell>
        </row>
        <row r="705">
          <cell r="A705" t="str">
            <v>6232088846</v>
          </cell>
          <cell r="B705">
            <v>62320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6232088890</v>
          </cell>
          <cell r="B706">
            <v>62320</v>
          </cell>
          <cell r="C706">
            <v>88890</v>
          </cell>
          <cell r="D706" t="str">
            <v>Security/Safety</v>
          </cell>
          <cell r="E706">
            <v>57159.02</v>
          </cell>
          <cell r="F706">
            <v>59722.25</v>
          </cell>
          <cell r="G706">
            <v>-2563.23</v>
          </cell>
          <cell r="H706">
            <v>102381</v>
          </cell>
          <cell r="I706">
            <v>102381</v>
          </cell>
          <cell r="J706">
            <v>0</v>
          </cell>
        </row>
        <row r="707">
          <cell r="A707" t="str">
            <v>6232089775</v>
          </cell>
          <cell r="B707">
            <v>62320</v>
          </cell>
          <cell r="C707">
            <v>89775</v>
          </cell>
          <cell r="D707" t="str">
            <v>Assmt Dist Taxes- Reimb</v>
          </cell>
          <cell r="E707">
            <v>20627.810000000001</v>
          </cell>
          <cell r="F707">
            <v>26980.94</v>
          </cell>
          <cell r="G707">
            <v>-6353.13</v>
          </cell>
          <cell r="H707">
            <v>46253</v>
          </cell>
          <cell r="I707">
            <v>46253</v>
          </cell>
          <cell r="J707">
            <v>0</v>
          </cell>
        </row>
        <row r="708">
          <cell r="A708" t="str">
            <v>6232089729</v>
          </cell>
          <cell r="B708">
            <v>62320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6232089786</v>
          </cell>
          <cell r="B709">
            <v>62320</v>
          </cell>
          <cell r="C709">
            <v>89786</v>
          </cell>
          <cell r="D709" t="str">
            <v>Property Tax Exp</v>
          </cell>
          <cell r="E709">
            <v>87060.75</v>
          </cell>
          <cell r="F709">
            <v>111971.44</v>
          </cell>
          <cell r="G709">
            <v>-24910.69</v>
          </cell>
          <cell r="H709">
            <v>191951</v>
          </cell>
          <cell r="I709">
            <v>191951</v>
          </cell>
          <cell r="J709">
            <v>0</v>
          </cell>
        </row>
        <row r="710">
          <cell r="A710" t="str">
            <v>6232071040</v>
          </cell>
          <cell r="B710">
            <v>62320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6232072701</v>
          </cell>
          <cell r="B711">
            <v>62320</v>
          </cell>
          <cell r="C711">
            <v>72701</v>
          </cell>
          <cell r="D711" t="str">
            <v>Utilities</v>
          </cell>
          <cell r="E711">
            <v>-450</v>
          </cell>
          <cell r="F711">
            <v>0</v>
          </cell>
          <cell r="G711">
            <v>-450</v>
          </cell>
          <cell r="H711">
            <v>424.36</v>
          </cell>
          <cell r="I711">
            <v>424.36</v>
          </cell>
          <cell r="J711">
            <v>0</v>
          </cell>
        </row>
        <row r="712">
          <cell r="A712" t="str">
            <v>6232072855</v>
          </cell>
          <cell r="B712">
            <v>62320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6232072870</v>
          </cell>
          <cell r="B713">
            <v>62320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6232076010</v>
          </cell>
          <cell r="B714">
            <v>62320</v>
          </cell>
          <cell r="C714">
            <v>76010</v>
          </cell>
          <cell r="D714" t="str">
            <v>Tenant Alterations</v>
          </cell>
          <cell r="E714">
            <v>684.09</v>
          </cell>
          <cell r="F714">
            <v>0</v>
          </cell>
          <cell r="G714">
            <v>684.09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6232076040</v>
          </cell>
          <cell r="B715">
            <v>62320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6232076051</v>
          </cell>
          <cell r="B716">
            <v>62320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6232076054</v>
          </cell>
          <cell r="B717">
            <v>62320</v>
          </cell>
          <cell r="C717">
            <v>76054</v>
          </cell>
          <cell r="D717" t="str">
            <v>Bldg Maintenance &amp; Repair</v>
          </cell>
          <cell r="E717">
            <v>7869.95</v>
          </cell>
          <cell r="F717">
            <v>435.43</v>
          </cell>
          <cell r="G717">
            <v>7434.52</v>
          </cell>
          <cell r="H717">
            <v>777.79</v>
          </cell>
          <cell r="I717">
            <v>777.79</v>
          </cell>
          <cell r="J717">
            <v>0</v>
          </cell>
        </row>
        <row r="718">
          <cell r="A718" t="str">
            <v>6232076060</v>
          </cell>
          <cell r="B718">
            <v>62320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6232076071</v>
          </cell>
          <cell r="B719">
            <v>62320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6232076090</v>
          </cell>
          <cell r="B720">
            <v>62320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6232077001</v>
          </cell>
          <cell r="B721">
            <v>62320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6232077022</v>
          </cell>
          <cell r="B722">
            <v>62320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6232084200</v>
          </cell>
          <cell r="B723">
            <v>62320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6232084240</v>
          </cell>
          <cell r="B724">
            <v>62320</v>
          </cell>
          <cell r="C724">
            <v>84240</v>
          </cell>
          <cell r="D724" t="str">
            <v>Marketing Leasing</v>
          </cell>
          <cell r="E724">
            <v>4957.62</v>
          </cell>
          <cell r="F724">
            <v>18484.02</v>
          </cell>
          <cell r="G724">
            <v>-13526.4</v>
          </cell>
          <cell r="H724">
            <v>33321.699999999997</v>
          </cell>
          <cell r="I724">
            <v>33321.699999999997</v>
          </cell>
          <cell r="J724">
            <v>0</v>
          </cell>
        </row>
        <row r="725">
          <cell r="A725" t="str">
            <v>6232084242</v>
          </cell>
          <cell r="B725">
            <v>62320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6232084243</v>
          </cell>
          <cell r="B726">
            <v>62320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-27397</v>
          </cell>
          <cell r="I726">
            <v>-27397</v>
          </cell>
          <cell r="J726">
            <v>0</v>
          </cell>
        </row>
        <row r="727">
          <cell r="A727" t="str">
            <v>6232084244</v>
          </cell>
          <cell r="B727">
            <v>62320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6232084265</v>
          </cell>
          <cell r="B728">
            <v>62320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6232088037</v>
          </cell>
          <cell r="B729">
            <v>62320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6232085016</v>
          </cell>
          <cell r="B730">
            <v>62320</v>
          </cell>
          <cell r="C730">
            <v>85016</v>
          </cell>
          <cell r="D730" t="str">
            <v>Prof Svc-Attorney Outside</v>
          </cell>
          <cell r="E730">
            <v>-736</v>
          </cell>
          <cell r="F730">
            <v>2317.2399999999998</v>
          </cell>
          <cell r="G730">
            <v>-3053.24</v>
          </cell>
          <cell r="H730">
            <v>2626.24</v>
          </cell>
          <cell r="I730">
            <v>2626.24</v>
          </cell>
          <cell r="J730">
            <v>0</v>
          </cell>
        </row>
        <row r="731">
          <cell r="A731" t="str">
            <v>6232085022</v>
          </cell>
          <cell r="B731">
            <v>62320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2572.27</v>
          </cell>
          <cell r="I731">
            <v>2572.27</v>
          </cell>
          <cell r="J731">
            <v>0</v>
          </cell>
        </row>
        <row r="732">
          <cell r="A732" t="str">
            <v>6232085065</v>
          </cell>
          <cell r="B732">
            <v>62320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6232085500</v>
          </cell>
          <cell r="B733">
            <v>62320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7205.89</v>
          </cell>
          <cell r="G733">
            <v>-7205.89</v>
          </cell>
          <cell r="H733">
            <v>7308.89</v>
          </cell>
          <cell r="I733">
            <v>7308.89</v>
          </cell>
          <cell r="J733">
            <v>0</v>
          </cell>
        </row>
        <row r="734">
          <cell r="A734" t="str">
            <v>6232085566</v>
          </cell>
          <cell r="B734">
            <v>62320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6232085581</v>
          </cell>
          <cell r="B735">
            <v>62320</v>
          </cell>
          <cell r="C735">
            <v>85581</v>
          </cell>
          <cell r="D735" t="str">
            <v>Bldg Admin- Salaries</v>
          </cell>
          <cell r="E735">
            <v>11192.44</v>
          </cell>
          <cell r="F735">
            <v>37667.019999999997</v>
          </cell>
          <cell r="G735">
            <v>-26474.58</v>
          </cell>
          <cell r="H735">
            <v>67774.7</v>
          </cell>
          <cell r="I735">
            <v>67774.7</v>
          </cell>
          <cell r="J735">
            <v>0</v>
          </cell>
        </row>
        <row r="736">
          <cell r="A736" t="str">
            <v>6232085583</v>
          </cell>
          <cell r="B736">
            <v>62320</v>
          </cell>
          <cell r="C736">
            <v>85583</v>
          </cell>
          <cell r="D736" t="str">
            <v>Bldg Admin-Office Exp.</v>
          </cell>
          <cell r="E736">
            <v>2689.07</v>
          </cell>
          <cell r="F736">
            <v>0</v>
          </cell>
          <cell r="G736">
            <v>2689.07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6232085530</v>
          </cell>
          <cell r="B737">
            <v>62320</v>
          </cell>
          <cell r="C737">
            <v>85530</v>
          </cell>
          <cell r="D737" t="str">
            <v>Bldg Admin - Office Exp</v>
          </cell>
          <cell r="E737">
            <v>2689.07</v>
          </cell>
          <cell r="F737">
            <v>0</v>
          </cell>
          <cell r="G737">
            <v>2689.07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6232086012</v>
          </cell>
          <cell r="B738">
            <v>62320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6232086037</v>
          </cell>
          <cell r="B739">
            <v>62320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6232083050</v>
          </cell>
          <cell r="B740">
            <v>62320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6232086510</v>
          </cell>
          <cell r="B741">
            <v>62320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6232086537</v>
          </cell>
          <cell r="B742">
            <v>62320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6232086566</v>
          </cell>
          <cell r="B743">
            <v>62320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6232086955</v>
          </cell>
          <cell r="B744">
            <v>62320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6232086985</v>
          </cell>
          <cell r="B745">
            <v>62320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6232086880</v>
          </cell>
          <cell r="B746">
            <v>62320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6232088710</v>
          </cell>
          <cell r="B747">
            <v>62320</v>
          </cell>
          <cell r="C747">
            <v>88710</v>
          </cell>
          <cell r="D747" t="str">
            <v>Losses-Bad Debts</v>
          </cell>
          <cell r="E747">
            <v>7134.02</v>
          </cell>
          <cell r="F747">
            <v>37140</v>
          </cell>
          <cell r="G747">
            <v>-30005.98</v>
          </cell>
          <cell r="H747">
            <v>74280</v>
          </cell>
          <cell r="I747">
            <v>74280</v>
          </cell>
          <cell r="J747">
            <v>0</v>
          </cell>
        </row>
        <row r="748">
          <cell r="A748" t="str">
            <v>6232088711</v>
          </cell>
          <cell r="B748">
            <v>62320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6232088785</v>
          </cell>
          <cell r="B749">
            <v>62320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6232088847</v>
          </cell>
          <cell r="B750">
            <v>62320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6232088866</v>
          </cell>
          <cell r="B751">
            <v>62320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6232088870</v>
          </cell>
          <cell r="B752">
            <v>62320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6232088889</v>
          </cell>
          <cell r="B753">
            <v>62320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6232089776</v>
          </cell>
          <cell r="B754">
            <v>62320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6232089787</v>
          </cell>
          <cell r="B755">
            <v>62320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6232089510</v>
          </cell>
          <cell r="B756">
            <v>62320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6232089511</v>
          </cell>
          <cell r="B757">
            <v>62320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6232089512</v>
          </cell>
          <cell r="B758">
            <v>62320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6232089528</v>
          </cell>
          <cell r="B759">
            <v>62320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6232089529</v>
          </cell>
          <cell r="B760">
            <v>62320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6232089567</v>
          </cell>
          <cell r="B761">
            <v>62320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6232085058</v>
          </cell>
          <cell r="B762">
            <v>62320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6232086513</v>
          </cell>
          <cell r="B763">
            <v>62320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7363.64</v>
          </cell>
          <cell r="G763">
            <v>-7363.64</v>
          </cell>
          <cell r="H763">
            <v>15893.1</v>
          </cell>
          <cell r="I763">
            <v>15893.1</v>
          </cell>
          <cell r="J763">
            <v>0</v>
          </cell>
        </row>
        <row r="764">
          <cell r="A764" t="str">
            <v>6232086519</v>
          </cell>
          <cell r="B764">
            <v>62320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6232088770</v>
          </cell>
          <cell r="B765">
            <v>62320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6232088862</v>
          </cell>
          <cell r="B766">
            <v>62320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6232088874</v>
          </cell>
          <cell r="B767">
            <v>62320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6232089910</v>
          </cell>
          <cell r="B768">
            <v>62320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560973.09</v>
          </cell>
          <cell r="G768">
            <v>-560973.09</v>
          </cell>
          <cell r="H768">
            <v>969670.88</v>
          </cell>
          <cell r="I768">
            <v>969670.88</v>
          </cell>
          <cell r="J768">
            <v>0</v>
          </cell>
        </row>
        <row r="769">
          <cell r="A769" t="str">
            <v>6232089548</v>
          </cell>
          <cell r="B769">
            <v>62320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6252641010</v>
          </cell>
          <cell r="B770">
            <v>62526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6252641040</v>
          </cell>
          <cell r="B771">
            <v>62526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6252641050</v>
          </cell>
          <cell r="B772">
            <v>62526</v>
          </cell>
          <cell r="C772">
            <v>41050</v>
          </cell>
          <cell r="D772" t="str">
            <v>Rental Income - Fixed</v>
          </cell>
          <cell r="E772">
            <v>-1044287.66</v>
          </cell>
          <cell r="F772">
            <v>-1021739.24</v>
          </cell>
          <cell r="G772">
            <v>-22548.42</v>
          </cell>
          <cell r="H772">
            <v>-1789624.49</v>
          </cell>
          <cell r="I772">
            <v>-1789624.49</v>
          </cell>
          <cell r="J772">
            <v>0</v>
          </cell>
        </row>
        <row r="773">
          <cell r="A773" t="str">
            <v>6252641074</v>
          </cell>
          <cell r="B773">
            <v>62526</v>
          </cell>
          <cell r="C773">
            <v>41074</v>
          </cell>
          <cell r="D773" t="str">
            <v>Rental Income - Percentage</v>
          </cell>
          <cell r="E773">
            <v>-1756.16</v>
          </cell>
          <cell r="F773">
            <v>0</v>
          </cell>
          <cell r="G773">
            <v>-1756.16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6252641082</v>
          </cell>
          <cell r="B774">
            <v>62526</v>
          </cell>
          <cell r="C774">
            <v>41082</v>
          </cell>
          <cell r="D774" t="str">
            <v>Rental Income - Operating Exp</v>
          </cell>
          <cell r="E774">
            <v>-418102.19</v>
          </cell>
          <cell r="F774">
            <v>-387431.45</v>
          </cell>
          <cell r="G774">
            <v>-30670.74</v>
          </cell>
          <cell r="H774">
            <v>-664168.19999999995</v>
          </cell>
          <cell r="I774">
            <v>-664168.19999999995</v>
          </cell>
          <cell r="J774">
            <v>0</v>
          </cell>
        </row>
        <row r="775">
          <cell r="A775" t="str">
            <v>6252644610</v>
          </cell>
          <cell r="B775">
            <v>62526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6252645071</v>
          </cell>
          <cell r="B776">
            <v>62526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6252645010</v>
          </cell>
          <cell r="B777">
            <v>62526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6252645046</v>
          </cell>
          <cell r="B778">
            <v>62526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6252645070</v>
          </cell>
          <cell r="B779">
            <v>62526</v>
          </cell>
          <cell r="C779">
            <v>45070</v>
          </cell>
          <cell r="D779" t="str">
            <v>Other Income</v>
          </cell>
          <cell r="E779">
            <v>-1322.13</v>
          </cell>
          <cell r="F779">
            <v>0</v>
          </cell>
          <cell r="G779">
            <v>-1322.13</v>
          </cell>
          <cell r="H779">
            <v>-61.8</v>
          </cell>
          <cell r="I779">
            <v>-61.8</v>
          </cell>
          <cell r="J779">
            <v>0</v>
          </cell>
        </row>
        <row r="780">
          <cell r="A780" t="str">
            <v>6252641060</v>
          </cell>
          <cell r="B780">
            <v>62526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21466.69</v>
          </cell>
          <cell r="G780">
            <v>-21466.69</v>
          </cell>
          <cell r="H780">
            <v>36800</v>
          </cell>
          <cell r="I780">
            <v>36800</v>
          </cell>
          <cell r="J780">
            <v>0</v>
          </cell>
        </row>
        <row r="781">
          <cell r="A781" t="str">
            <v>6252644870</v>
          </cell>
          <cell r="B781">
            <v>62526</v>
          </cell>
          <cell r="C781">
            <v>44870</v>
          </cell>
          <cell r="D781" t="str">
            <v>Late Fees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6252652542</v>
          </cell>
          <cell r="B782">
            <v>62526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6252672710</v>
          </cell>
          <cell r="B783">
            <v>62526</v>
          </cell>
          <cell r="C783">
            <v>72710</v>
          </cell>
          <cell r="D783" t="str">
            <v>Utilities - Electricity</v>
          </cell>
          <cell r="E783">
            <v>18831.77</v>
          </cell>
          <cell r="F783">
            <v>21458.880000000001</v>
          </cell>
          <cell r="G783">
            <v>-2627.11</v>
          </cell>
          <cell r="H783">
            <v>36075.870000000003</v>
          </cell>
          <cell r="I783">
            <v>36075.870000000003</v>
          </cell>
          <cell r="J783">
            <v>0</v>
          </cell>
        </row>
        <row r="784">
          <cell r="A784" t="str">
            <v>6252672740</v>
          </cell>
          <cell r="B784">
            <v>62526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6252672770</v>
          </cell>
          <cell r="B785">
            <v>62526</v>
          </cell>
          <cell r="C785">
            <v>72770</v>
          </cell>
          <cell r="D785" t="str">
            <v>Utilities - Water</v>
          </cell>
          <cell r="E785">
            <v>8756.2900000000009</v>
          </cell>
          <cell r="F785">
            <v>6626.49</v>
          </cell>
          <cell r="G785">
            <v>2129.8000000000002</v>
          </cell>
          <cell r="H785">
            <v>9892.92</v>
          </cell>
          <cell r="I785">
            <v>9892.92</v>
          </cell>
          <cell r="J785">
            <v>0</v>
          </cell>
        </row>
        <row r="786">
          <cell r="A786" t="str">
            <v>6252676000</v>
          </cell>
          <cell r="B786">
            <v>62526</v>
          </cell>
          <cell r="C786">
            <v>76000</v>
          </cell>
          <cell r="D786" t="str">
            <v>Bldg Maintenance &amp; Repair</v>
          </cell>
          <cell r="E786">
            <v>30056.66</v>
          </cell>
          <cell r="F786">
            <v>30782.91</v>
          </cell>
          <cell r="G786">
            <v>-726.25</v>
          </cell>
          <cell r="H786">
            <v>47192.08</v>
          </cell>
          <cell r="I786">
            <v>47192.08</v>
          </cell>
          <cell r="J786">
            <v>0</v>
          </cell>
        </row>
        <row r="787">
          <cell r="A787" t="str">
            <v>6252676020</v>
          </cell>
          <cell r="B787">
            <v>62526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6252676034</v>
          </cell>
          <cell r="B788">
            <v>62526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6252676050</v>
          </cell>
          <cell r="B789">
            <v>62526</v>
          </cell>
          <cell r="C789">
            <v>76050</v>
          </cell>
          <cell r="D789" t="str">
            <v>Cleaning Expense</v>
          </cell>
          <cell r="E789">
            <v>47425.36</v>
          </cell>
          <cell r="F789">
            <v>42610.5</v>
          </cell>
          <cell r="G789">
            <v>4814.8599999999997</v>
          </cell>
          <cell r="H789">
            <v>73798.12</v>
          </cell>
          <cell r="I789">
            <v>73798.12</v>
          </cell>
          <cell r="J789">
            <v>0</v>
          </cell>
        </row>
        <row r="790">
          <cell r="A790" t="str">
            <v>6252676056</v>
          </cell>
          <cell r="B790">
            <v>62526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6252676070</v>
          </cell>
          <cell r="B791">
            <v>62526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6252676091</v>
          </cell>
          <cell r="B792">
            <v>62526</v>
          </cell>
          <cell r="C792">
            <v>76091</v>
          </cell>
          <cell r="D792" t="str">
            <v>Parking Maintenance</v>
          </cell>
          <cell r="E792">
            <v>31613.08</v>
          </cell>
          <cell r="F792">
            <v>65872.94</v>
          </cell>
          <cell r="G792">
            <v>-34259.86</v>
          </cell>
          <cell r="H792">
            <v>90407.29</v>
          </cell>
          <cell r="I792">
            <v>90407.29</v>
          </cell>
          <cell r="J792">
            <v>0</v>
          </cell>
        </row>
        <row r="793">
          <cell r="A793" t="str">
            <v>6252677000</v>
          </cell>
          <cell r="B793">
            <v>62526</v>
          </cell>
          <cell r="C793">
            <v>77000</v>
          </cell>
          <cell r="D793" t="str">
            <v>Grounds Maintenance</v>
          </cell>
          <cell r="E793">
            <v>32276.25</v>
          </cell>
          <cell r="F793">
            <v>36260.589999999997</v>
          </cell>
          <cell r="G793">
            <v>-3984.34</v>
          </cell>
          <cell r="H793">
            <v>47531.49</v>
          </cell>
          <cell r="I793">
            <v>47531.49</v>
          </cell>
          <cell r="J793">
            <v>0</v>
          </cell>
        </row>
        <row r="794">
          <cell r="A794" t="str">
            <v>6252677053</v>
          </cell>
          <cell r="B794">
            <v>62526</v>
          </cell>
          <cell r="C794">
            <v>77053</v>
          </cell>
          <cell r="D794" t="str">
            <v>Landscaping</v>
          </cell>
          <cell r="E794">
            <v>28279.75</v>
          </cell>
          <cell r="F794">
            <v>41264.230000000003</v>
          </cell>
          <cell r="G794">
            <v>-12984.48</v>
          </cell>
          <cell r="H794">
            <v>100977.44</v>
          </cell>
          <cell r="I794">
            <v>100977.44</v>
          </cell>
          <cell r="J794">
            <v>0</v>
          </cell>
        </row>
        <row r="795">
          <cell r="A795" t="str">
            <v>6252678020</v>
          </cell>
          <cell r="B795">
            <v>62526</v>
          </cell>
          <cell r="C795">
            <v>78020</v>
          </cell>
          <cell r="D795" t="str">
            <v>Amortized CAM Exp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6252684264</v>
          </cell>
          <cell r="B796">
            <v>62526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6252685555</v>
          </cell>
          <cell r="B797">
            <v>62526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6252685584</v>
          </cell>
          <cell r="B798">
            <v>62526</v>
          </cell>
          <cell r="C798">
            <v>85584</v>
          </cell>
          <cell r="D798" t="str">
            <v>Bldg Admin-Office Costs</v>
          </cell>
          <cell r="E798">
            <v>2726.92</v>
          </cell>
          <cell r="F798">
            <v>3264.94</v>
          </cell>
          <cell r="G798">
            <v>-538.02</v>
          </cell>
          <cell r="H798">
            <v>5597</v>
          </cell>
          <cell r="I798">
            <v>5597</v>
          </cell>
          <cell r="J798">
            <v>0</v>
          </cell>
        </row>
        <row r="799">
          <cell r="A799" t="str">
            <v>6252685582</v>
          </cell>
          <cell r="B799">
            <v>62526</v>
          </cell>
          <cell r="C799">
            <v>85582</v>
          </cell>
          <cell r="D799" t="str">
            <v>Bldg Admin-Salaries</v>
          </cell>
          <cell r="E799">
            <v>10661.2</v>
          </cell>
          <cell r="F799">
            <v>18950</v>
          </cell>
          <cell r="G799">
            <v>-8288.7999999999993</v>
          </cell>
          <cell r="H799">
            <v>34548</v>
          </cell>
          <cell r="I799">
            <v>34548</v>
          </cell>
          <cell r="J799">
            <v>0</v>
          </cell>
        </row>
        <row r="800">
          <cell r="A800" t="str">
            <v>6252686564</v>
          </cell>
          <cell r="B800">
            <v>62526</v>
          </cell>
          <cell r="C800">
            <v>86564</v>
          </cell>
          <cell r="D800" t="str">
            <v>Insurance</v>
          </cell>
          <cell r="E800">
            <v>17451</v>
          </cell>
          <cell r="F800">
            <v>11755.31</v>
          </cell>
          <cell r="G800">
            <v>5695.69</v>
          </cell>
          <cell r="H800">
            <v>20152</v>
          </cell>
          <cell r="I800">
            <v>20152</v>
          </cell>
          <cell r="J800">
            <v>0</v>
          </cell>
        </row>
        <row r="801">
          <cell r="A801" t="str">
            <v>6252688846</v>
          </cell>
          <cell r="B801">
            <v>62526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6252688890</v>
          </cell>
          <cell r="B802">
            <v>62526</v>
          </cell>
          <cell r="C802">
            <v>88890</v>
          </cell>
          <cell r="D802" t="str">
            <v>Security/Safety</v>
          </cell>
          <cell r="E802">
            <v>2464.75</v>
          </cell>
          <cell r="F802">
            <v>5833.31</v>
          </cell>
          <cell r="G802">
            <v>-3368.56</v>
          </cell>
          <cell r="H802">
            <v>10000</v>
          </cell>
          <cell r="I802">
            <v>10000</v>
          </cell>
          <cell r="J802">
            <v>0</v>
          </cell>
        </row>
        <row r="803">
          <cell r="A803" t="str">
            <v>6252689775</v>
          </cell>
          <cell r="B803">
            <v>62526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6252689729</v>
          </cell>
          <cell r="B804">
            <v>62526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6252689786</v>
          </cell>
          <cell r="B805">
            <v>62526</v>
          </cell>
          <cell r="C805">
            <v>89786</v>
          </cell>
          <cell r="D805" t="str">
            <v>Property Tax Exp</v>
          </cell>
          <cell r="E805">
            <v>76237.56</v>
          </cell>
          <cell r="F805">
            <v>70956.06</v>
          </cell>
          <cell r="G805">
            <v>5281.5</v>
          </cell>
          <cell r="H805">
            <v>121639</v>
          </cell>
          <cell r="I805">
            <v>121639</v>
          </cell>
          <cell r="J805">
            <v>0</v>
          </cell>
        </row>
        <row r="806">
          <cell r="A806" t="str">
            <v>6252671040</v>
          </cell>
          <cell r="B806">
            <v>62526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6252672701</v>
          </cell>
          <cell r="B807">
            <v>62526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6252672855</v>
          </cell>
          <cell r="B808">
            <v>62526</v>
          </cell>
          <cell r="C808">
            <v>72855</v>
          </cell>
          <cell r="D808" t="str">
            <v>Rent Expense-Ground</v>
          </cell>
          <cell r="E808">
            <v>204166.69</v>
          </cell>
          <cell r="F808">
            <v>204166.69</v>
          </cell>
          <cell r="G808">
            <v>0</v>
          </cell>
          <cell r="H808">
            <v>350000</v>
          </cell>
          <cell r="I808">
            <v>350000</v>
          </cell>
          <cell r="J808">
            <v>0</v>
          </cell>
        </row>
        <row r="809">
          <cell r="A809" t="str">
            <v>6252672870</v>
          </cell>
          <cell r="B809">
            <v>62526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6252676010</v>
          </cell>
          <cell r="B810">
            <v>62526</v>
          </cell>
          <cell r="C810">
            <v>76010</v>
          </cell>
          <cell r="D810" t="str">
            <v>Tenant Alterations</v>
          </cell>
          <cell r="E810">
            <v>4.13</v>
          </cell>
          <cell r="F810">
            <v>0</v>
          </cell>
          <cell r="G810">
            <v>4.13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6252676040</v>
          </cell>
          <cell r="B811">
            <v>62526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6252676051</v>
          </cell>
          <cell r="B812">
            <v>62526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6252676054</v>
          </cell>
          <cell r="B813">
            <v>62526</v>
          </cell>
          <cell r="C813">
            <v>76054</v>
          </cell>
          <cell r="D813" t="str">
            <v>Bldg Maintenance &amp; Repair</v>
          </cell>
          <cell r="E813">
            <v>2440.61</v>
          </cell>
          <cell r="F813">
            <v>335.32</v>
          </cell>
          <cell r="G813">
            <v>2105.29</v>
          </cell>
          <cell r="H813">
            <v>541.86</v>
          </cell>
          <cell r="I813">
            <v>541.86</v>
          </cell>
          <cell r="J813">
            <v>0</v>
          </cell>
        </row>
        <row r="814">
          <cell r="A814" t="str">
            <v>6252676060</v>
          </cell>
          <cell r="B814">
            <v>62526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6252676071</v>
          </cell>
          <cell r="B815">
            <v>62526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6252676090</v>
          </cell>
          <cell r="B816">
            <v>62526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6252677001</v>
          </cell>
          <cell r="B817">
            <v>62526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6252677022</v>
          </cell>
          <cell r="B818">
            <v>62526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6252684200</v>
          </cell>
          <cell r="B819">
            <v>62526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6252684240</v>
          </cell>
          <cell r="B820">
            <v>62526</v>
          </cell>
          <cell r="C820">
            <v>84240</v>
          </cell>
          <cell r="D820" t="str">
            <v>Marketing Leasing</v>
          </cell>
          <cell r="E820">
            <v>2365.12</v>
          </cell>
          <cell r="F820">
            <v>9019.73</v>
          </cell>
          <cell r="G820">
            <v>-6654.61</v>
          </cell>
          <cell r="H820">
            <v>16280.3</v>
          </cell>
          <cell r="I820">
            <v>16280.3</v>
          </cell>
          <cell r="J820">
            <v>0</v>
          </cell>
        </row>
        <row r="821">
          <cell r="A821" t="str">
            <v>6252684242</v>
          </cell>
          <cell r="B821">
            <v>62526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6252684243</v>
          </cell>
          <cell r="B822">
            <v>62526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-12897</v>
          </cell>
          <cell r="I822">
            <v>-12897</v>
          </cell>
          <cell r="J822">
            <v>0</v>
          </cell>
        </row>
        <row r="823">
          <cell r="A823" t="str">
            <v>6252684244</v>
          </cell>
          <cell r="B823">
            <v>62526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6252684265</v>
          </cell>
          <cell r="B824">
            <v>62526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6252688037</v>
          </cell>
          <cell r="B825">
            <v>62526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6252685016</v>
          </cell>
          <cell r="B826">
            <v>62526</v>
          </cell>
          <cell r="C826">
            <v>85016</v>
          </cell>
          <cell r="D826" t="str">
            <v>Prof Svc-Attorney Outside</v>
          </cell>
          <cell r="E826">
            <v>368.5</v>
          </cell>
          <cell r="F826">
            <v>0</v>
          </cell>
          <cell r="G826">
            <v>368.5</v>
          </cell>
          <cell r="H826">
            <v>515</v>
          </cell>
          <cell r="I826">
            <v>515</v>
          </cell>
          <cell r="J826">
            <v>0</v>
          </cell>
        </row>
        <row r="827">
          <cell r="A827" t="str">
            <v>6252685022</v>
          </cell>
          <cell r="B827">
            <v>62526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1943.97</v>
          </cell>
          <cell r="I827">
            <v>1943.97</v>
          </cell>
          <cell r="J827">
            <v>0</v>
          </cell>
        </row>
        <row r="828">
          <cell r="A828" t="str">
            <v>6252685065</v>
          </cell>
          <cell r="B828">
            <v>62526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6252685500</v>
          </cell>
          <cell r="B829">
            <v>62526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6252685566</v>
          </cell>
          <cell r="B830">
            <v>62526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6252685581</v>
          </cell>
          <cell r="B831">
            <v>62526</v>
          </cell>
          <cell r="C831">
            <v>85581</v>
          </cell>
          <cell r="D831" t="str">
            <v>Bldg Admin- Salaries</v>
          </cell>
          <cell r="E831">
            <v>5440.4</v>
          </cell>
          <cell r="F831">
            <v>19477.52</v>
          </cell>
          <cell r="G831">
            <v>-14037.12</v>
          </cell>
          <cell r="H831">
            <v>34638.199999999997</v>
          </cell>
          <cell r="I831">
            <v>34638.199999999997</v>
          </cell>
          <cell r="J831">
            <v>0</v>
          </cell>
        </row>
        <row r="832">
          <cell r="A832" t="str">
            <v>6252685583</v>
          </cell>
          <cell r="B832">
            <v>62526</v>
          </cell>
          <cell r="C832">
            <v>85583</v>
          </cell>
          <cell r="D832" t="str">
            <v>Bldg Admin-Office Exp.</v>
          </cell>
          <cell r="E832">
            <v>1310.7</v>
          </cell>
          <cell r="F832">
            <v>0</v>
          </cell>
          <cell r="G832">
            <v>1310.7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6252685530</v>
          </cell>
          <cell r="B833">
            <v>62526</v>
          </cell>
          <cell r="C833">
            <v>85530</v>
          </cell>
          <cell r="D833" t="str">
            <v>Bldg Admin - Office Exp</v>
          </cell>
          <cell r="E833">
            <v>1310.7</v>
          </cell>
          <cell r="F833">
            <v>0</v>
          </cell>
          <cell r="G833">
            <v>1310.7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6252686012</v>
          </cell>
          <cell r="B834">
            <v>62526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6252686037</v>
          </cell>
          <cell r="B835">
            <v>62526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6252683050</v>
          </cell>
          <cell r="B836">
            <v>62526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6252686510</v>
          </cell>
          <cell r="B837">
            <v>62526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6252686537</v>
          </cell>
          <cell r="B838">
            <v>62526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6252686566</v>
          </cell>
          <cell r="B839">
            <v>62526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6252686955</v>
          </cell>
          <cell r="B840">
            <v>62526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6252686985</v>
          </cell>
          <cell r="B841">
            <v>62526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6252686880</v>
          </cell>
          <cell r="B842">
            <v>62526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6252688710</v>
          </cell>
          <cell r="B843">
            <v>62526</v>
          </cell>
          <cell r="C843">
            <v>88710</v>
          </cell>
          <cell r="D843" t="str">
            <v>Losses-Bad Debts</v>
          </cell>
          <cell r="E843">
            <v>-42637.52</v>
          </cell>
          <cell r="F843">
            <v>18400.400000000001</v>
          </cell>
          <cell r="G843">
            <v>-61037.919999999998</v>
          </cell>
          <cell r="H843">
            <v>36800.639999999999</v>
          </cell>
          <cell r="I843">
            <v>36800.639999999999</v>
          </cell>
          <cell r="J843">
            <v>0</v>
          </cell>
        </row>
        <row r="844">
          <cell r="A844" t="str">
            <v>6252688711</v>
          </cell>
          <cell r="B844">
            <v>62526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6252688785</v>
          </cell>
          <cell r="B845">
            <v>62526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6252688847</v>
          </cell>
          <cell r="B846">
            <v>62526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6252688866</v>
          </cell>
          <cell r="B847">
            <v>62526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6252688870</v>
          </cell>
          <cell r="B848">
            <v>62526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6252688889</v>
          </cell>
          <cell r="B849">
            <v>62526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6252689776</v>
          </cell>
          <cell r="B850">
            <v>62526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6252689787</v>
          </cell>
          <cell r="B851">
            <v>62526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6252689510</v>
          </cell>
          <cell r="B852">
            <v>62526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6252689511</v>
          </cell>
          <cell r="B853">
            <v>62526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6252689512</v>
          </cell>
          <cell r="B854">
            <v>62526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6252689528</v>
          </cell>
          <cell r="B855">
            <v>62526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6252689529</v>
          </cell>
          <cell r="B856">
            <v>62526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6252689567</v>
          </cell>
          <cell r="B857">
            <v>62526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6252685058</v>
          </cell>
          <cell r="B858">
            <v>62526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6252686513</v>
          </cell>
          <cell r="B859">
            <v>62526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3014.76</v>
          </cell>
          <cell r="G859">
            <v>-3014.76</v>
          </cell>
          <cell r="H859">
            <v>5245.62</v>
          </cell>
          <cell r="I859">
            <v>5245.62</v>
          </cell>
          <cell r="J859">
            <v>0</v>
          </cell>
        </row>
        <row r="860">
          <cell r="A860" t="str">
            <v>6252686519</v>
          </cell>
          <cell r="B860">
            <v>62526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6252688770</v>
          </cell>
          <cell r="B861">
            <v>62526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6252688862</v>
          </cell>
          <cell r="B862">
            <v>62526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6252688874</v>
          </cell>
          <cell r="B863">
            <v>62526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6252689910</v>
          </cell>
          <cell r="B864">
            <v>62526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160245.59</v>
          </cell>
          <cell r="G864">
            <v>-160245.59</v>
          </cell>
          <cell r="H864">
            <v>274706.71000000002</v>
          </cell>
          <cell r="I864">
            <v>274706.71000000002</v>
          </cell>
          <cell r="J864">
            <v>0</v>
          </cell>
        </row>
        <row r="865">
          <cell r="A865" t="str">
            <v>6252689548</v>
          </cell>
          <cell r="B865">
            <v>62526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</sheetData>
      <sheetData sheetId="11"/>
      <sheetData sheetId="12"/>
      <sheetData sheetId="1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roads"/>
      <sheetName val="Harvard Auto Place"/>
      <sheetName val="Westpark"/>
      <sheetName val="Harvard Place"/>
      <sheetName val="Corona Del Mar"/>
      <sheetName val="Corona Del Mar-forecast"/>
      <sheetName val="Crytal Cove"/>
      <sheetName val="Harbor View"/>
      <sheetName val="Newport Coast"/>
      <sheetName val="Newport Hills"/>
      <sheetName val="budget"/>
      <sheetName val="forecast"/>
      <sheetName val="variance"/>
      <sheetName val="Cherry Orch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6213541010</v>
          </cell>
          <cell r="B2">
            <v>62135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6213541040</v>
          </cell>
          <cell r="B3">
            <v>62135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6213541050</v>
          </cell>
          <cell r="B4">
            <v>62135</v>
          </cell>
          <cell r="C4">
            <v>41050</v>
          </cell>
          <cell r="D4" t="str">
            <v>Rental Income - Fixed</v>
          </cell>
          <cell r="E4">
            <v>-943197.85</v>
          </cell>
          <cell r="F4">
            <v>-948088.67</v>
          </cell>
          <cell r="G4">
            <v>4890.8200000000697</v>
          </cell>
          <cell r="H4">
            <v>-1637072.34</v>
          </cell>
          <cell r="I4">
            <v>-1637072.34</v>
          </cell>
          <cell r="J4">
            <v>0</v>
          </cell>
        </row>
        <row r="5">
          <cell r="A5" t="str">
            <v>6213541074</v>
          </cell>
          <cell r="B5">
            <v>62135</v>
          </cell>
          <cell r="C5">
            <v>41074</v>
          </cell>
          <cell r="D5" t="str">
            <v>Rental Income - Percentage</v>
          </cell>
          <cell r="E5">
            <v>-5496.32</v>
          </cell>
          <cell r="F5">
            <v>0</v>
          </cell>
          <cell r="G5">
            <v>-5496.32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6213541082</v>
          </cell>
          <cell r="B6">
            <v>62135</v>
          </cell>
          <cell r="C6">
            <v>41082</v>
          </cell>
          <cell r="D6" t="str">
            <v>Rental Income - Operating Exp</v>
          </cell>
          <cell r="E6">
            <v>-277302.01</v>
          </cell>
          <cell r="F6">
            <v>-254733.57</v>
          </cell>
          <cell r="G6">
            <v>-22568.44</v>
          </cell>
          <cell r="H6">
            <v>-436686.12</v>
          </cell>
          <cell r="I6">
            <v>-436686.12</v>
          </cell>
          <cell r="J6">
            <v>0</v>
          </cell>
        </row>
        <row r="7">
          <cell r="A7" t="str">
            <v>6213544610</v>
          </cell>
          <cell r="B7">
            <v>62135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6213545071</v>
          </cell>
          <cell r="B8">
            <v>62135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6213545010</v>
          </cell>
          <cell r="B9">
            <v>62135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6213545046</v>
          </cell>
          <cell r="B10">
            <v>62135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6213545070</v>
          </cell>
          <cell r="B11">
            <v>62135</v>
          </cell>
          <cell r="C11">
            <v>45070</v>
          </cell>
          <cell r="D11" t="str">
            <v>Other Income</v>
          </cell>
          <cell r="E11">
            <v>-6800.01</v>
          </cell>
          <cell r="F11">
            <v>0</v>
          </cell>
          <cell r="G11">
            <v>-6800.01</v>
          </cell>
          <cell r="H11">
            <v>-103</v>
          </cell>
          <cell r="I11">
            <v>-103</v>
          </cell>
          <cell r="J11">
            <v>0</v>
          </cell>
        </row>
        <row r="12">
          <cell r="A12" t="str">
            <v>6213541060</v>
          </cell>
          <cell r="B12">
            <v>62135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18145.189999999999</v>
          </cell>
          <cell r="G12">
            <v>-18145.189999999999</v>
          </cell>
          <cell r="H12">
            <v>31106</v>
          </cell>
          <cell r="I12">
            <v>31106</v>
          </cell>
          <cell r="J12">
            <v>0</v>
          </cell>
        </row>
        <row r="13">
          <cell r="A13" t="str">
            <v>6213544870</v>
          </cell>
          <cell r="B13">
            <v>62135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6213552542</v>
          </cell>
          <cell r="B14">
            <v>62135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6213572710</v>
          </cell>
          <cell r="B15">
            <v>62135</v>
          </cell>
          <cell r="C15">
            <v>72710</v>
          </cell>
          <cell r="D15" t="str">
            <v>Utilities - Electricity</v>
          </cell>
          <cell r="E15">
            <v>7918.81</v>
          </cell>
          <cell r="F15">
            <v>10284.700000000001</v>
          </cell>
          <cell r="G15">
            <v>-2365.89</v>
          </cell>
          <cell r="H15">
            <v>18729.75</v>
          </cell>
          <cell r="I15">
            <v>18729.75</v>
          </cell>
          <cell r="J15">
            <v>0</v>
          </cell>
        </row>
        <row r="16">
          <cell r="A16" t="str">
            <v>6213572740</v>
          </cell>
          <cell r="B16">
            <v>62135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6213572770</v>
          </cell>
          <cell r="B17">
            <v>62135</v>
          </cell>
          <cell r="C17">
            <v>72770</v>
          </cell>
          <cell r="D17" t="str">
            <v>Utilities - Water</v>
          </cell>
          <cell r="E17">
            <v>6550.14</v>
          </cell>
          <cell r="F17">
            <v>4104.51</v>
          </cell>
          <cell r="G17">
            <v>2445.63</v>
          </cell>
          <cell r="H17">
            <v>9675.6</v>
          </cell>
          <cell r="I17">
            <v>9675.6</v>
          </cell>
          <cell r="J17">
            <v>0</v>
          </cell>
        </row>
        <row r="18">
          <cell r="A18" t="str">
            <v>6213576000</v>
          </cell>
          <cell r="B18">
            <v>62135</v>
          </cell>
          <cell r="C18">
            <v>76000</v>
          </cell>
          <cell r="D18" t="str">
            <v>Bldg Maintenance &amp; Repair</v>
          </cell>
          <cell r="E18">
            <v>14051.27</v>
          </cell>
          <cell r="F18">
            <v>10360.469999999999</v>
          </cell>
          <cell r="G18">
            <v>3690.8</v>
          </cell>
          <cell r="H18">
            <v>39163.660000000003</v>
          </cell>
          <cell r="I18">
            <v>39163.660000000003</v>
          </cell>
          <cell r="J18">
            <v>0</v>
          </cell>
        </row>
        <row r="19">
          <cell r="A19" t="str">
            <v>6213576020</v>
          </cell>
          <cell r="B19">
            <v>62135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6213576034</v>
          </cell>
          <cell r="B20">
            <v>62135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6213576050</v>
          </cell>
          <cell r="B21">
            <v>62135</v>
          </cell>
          <cell r="C21">
            <v>76050</v>
          </cell>
          <cell r="D21" t="str">
            <v>Cleaning Expense</v>
          </cell>
          <cell r="E21">
            <v>18808.349999999999</v>
          </cell>
          <cell r="F21">
            <v>18381.490000000002</v>
          </cell>
          <cell r="G21">
            <v>426.859999999997</v>
          </cell>
          <cell r="H21">
            <v>31428.16</v>
          </cell>
          <cell r="I21">
            <v>31428.16</v>
          </cell>
          <cell r="J21">
            <v>0</v>
          </cell>
        </row>
        <row r="22">
          <cell r="A22" t="str">
            <v>6213576056</v>
          </cell>
          <cell r="B22">
            <v>62135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6213576070</v>
          </cell>
          <cell r="B23">
            <v>62135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6213576091</v>
          </cell>
          <cell r="B24">
            <v>62135</v>
          </cell>
          <cell r="C24">
            <v>76091</v>
          </cell>
          <cell r="D24" t="str">
            <v>Parking Maintenance</v>
          </cell>
          <cell r="E24">
            <v>17585</v>
          </cell>
          <cell r="F24">
            <v>18972.34</v>
          </cell>
          <cell r="G24">
            <v>-1387.34</v>
          </cell>
          <cell r="H24">
            <v>40763.08</v>
          </cell>
          <cell r="I24">
            <v>40763.08</v>
          </cell>
          <cell r="J24">
            <v>0</v>
          </cell>
        </row>
        <row r="25">
          <cell r="A25" t="str">
            <v>6213577000</v>
          </cell>
          <cell r="B25">
            <v>62135</v>
          </cell>
          <cell r="C25">
            <v>77000</v>
          </cell>
          <cell r="D25" t="str">
            <v>Grounds Maintenance</v>
          </cell>
          <cell r="E25">
            <v>26870.42</v>
          </cell>
          <cell r="F25">
            <v>35619.69</v>
          </cell>
          <cell r="G25">
            <v>-8749.27</v>
          </cell>
          <cell r="H25">
            <v>51270.38</v>
          </cell>
          <cell r="I25">
            <v>51270.38</v>
          </cell>
          <cell r="J25">
            <v>0</v>
          </cell>
        </row>
        <row r="26">
          <cell r="A26" t="str">
            <v>6213577053</v>
          </cell>
          <cell r="B26">
            <v>62135</v>
          </cell>
          <cell r="C26">
            <v>77053</v>
          </cell>
          <cell r="D26" t="str">
            <v>Landscaping</v>
          </cell>
          <cell r="E26">
            <v>25445</v>
          </cell>
          <cell r="F26">
            <v>25277.81</v>
          </cell>
          <cell r="G26">
            <v>167.189999999999</v>
          </cell>
          <cell r="H26">
            <v>40894.94</v>
          </cell>
          <cell r="I26">
            <v>40894.94</v>
          </cell>
          <cell r="J26">
            <v>0</v>
          </cell>
        </row>
        <row r="27">
          <cell r="A27" t="str">
            <v>6213578020</v>
          </cell>
          <cell r="B27">
            <v>62135</v>
          </cell>
          <cell r="C27">
            <v>78020</v>
          </cell>
          <cell r="D27" t="str">
            <v>Amortized CAM Exp</v>
          </cell>
          <cell r="E27">
            <v>13537.65</v>
          </cell>
          <cell r="F27">
            <v>10662.75</v>
          </cell>
          <cell r="G27">
            <v>2874.9</v>
          </cell>
          <cell r="H27">
            <v>18279</v>
          </cell>
          <cell r="I27">
            <v>18279</v>
          </cell>
          <cell r="J27">
            <v>0</v>
          </cell>
        </row>
        <row r="28">
          <cell r="A28" t="str">
            <v>6213584264</v>
          </cell>
          <cell r="B28">
            <v>62135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6213585555</v>
          </cell>
          <cell r="B29">
            <v>62135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6213585584</v>
          </cell>
          <cell r="B30">
            <v>62135</v>
          </cell>
          <cell r="C30">
            <v>85584</v>
          </cell>
          <cell r="D30" t="str">
            <v>Bldg Admin-Office Costs</v>
          </cell>
          <cell r="E30">
            <v>3160.78</v>
          </cell>
          <cell r="F30">
            <v>4711.5600000000004</v>
          </cell>
          <cell r="G30">
            <v>-1550.78</v>
          </cell>
          <cell r="H30">
            <v>8077</v>
          </cell>
          <cell r="I30">
            <v>8077</v>
          </cell>
          <cell r="J30">
            <v>0</v>
          </cell>
        </row>
        <row r="31">
          <cell r="A31" t="str">
            <v>6213585582</v>
          </cell>
          <cell r="B31">
            <v>62135</v>
          </cell>
          <cell r="C31">
            <v>85582</v>
          </cell>
          <cell r="D31" t="str">
            <v>Bldg Admin-Salaries</v>
          </cell>
          <cell r="E31">
            <v>15023.08</v>
          </cell>
          <cell r="F31">
            <v>26596</v>
          </cell>
          <cell r="G31">
            <v>-11572.92</v>
          </cell>
          <cell r="H31">
            <v>48460</v>
          </cell>
          <cell r="I31">
            <v>48460</v>
          </cell>
          <cell r="J31">
            <v>0</v>
          </cell>
        </row>
        <row r="32">
          <cell r="A32" t="str">
            <v>6213586564</v>
          </cell>
          <cell r="B32">
            <v>62135</v>
          </cell>
          <cell r="C32">
            <v>86564</v>
          </cell>
          <cell r="D32" t="str">
            <v>Insurance</v>
          </cell>
          <cell r="E32">
            <v>15820</v>
          </cell>
          <cell r="F32">
            <v>15813</v>
          </cell>
          <cell r="G32">
            <v>7</v>
          </cell>
          <cell r="H32">
            <v>27108</v>
          </cell>
          <cell r="I32">
            <v>27108</v>
          </cell>
          <cell r="J32">
            <v>0</v>
          </cell>
        </row>
        <row r="33">
          <cell r="A33" t="str">
            <v>6213588846</v>
          </cell>
          <cell r="B33">
            <v>62135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6213588890</v>
          </cell>
          <cell r="B34">
            <v>62135</v>
          </cell>
          <cell r="C34">
            <v>88890</v>
          </cell>
          <cell r="D34" t="str">
            <v>Security/Safety</v>
          </cell>
          <cell r="E34">
            <v>20955.8</v>
          </cell>
          <cell r="F34">
            <v>1853.34</v>
          </cell>
          <cell r="G34">
            <v>19102.46</v>
          </cell>
          <cell r="H34">
            <v>2976.06</v>
          </cell>
          <cell r="I34">
            <v>2976.06</v>
          </cell>
          <cell r="J34">
            <v>0</v>
          </cell>
        </row>
        <row r="35">
          <cell r="A35" t="str">
            <v>6213589775</v>
          </cell>
          <cell r="B35">
            <v>62135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6213589729</v>
          </cell>
          <cell r="B36">
            <v>62135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6213589786</v>
          </cell>
          <cell r="B37">
            <v>62135</v>
          </cell>
          <cell r="C37">
            <v>89786</v>
          </cell>
          <cell r="D37" t="str">
            <v>Property Tax Exp</v>
          </cell>
          <cell r="E37">
            <v>53911.06</v>
          </cell>
          <cell r="F37">
            <v>53257.19</v>
          </cell>
          <cell r="G37">
            <v>653.869999999995</v>
          </cell>
          <cell r="H37">
            <v>91298</v>
          </cell>
          <cell r="I37">
            <v>91298</v>
          </cell>
          <cell r="J37">
            <v>0</v>
          </cell>
        </row>
        <row r="38">
          <cell r="A38" t="str">
            <v>6213571040</v>
          </cell>
          <cell r="B38">
            <v>62135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6213572701</v>
          </cell>
          <cell r="B39">
            <v>62135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51.5</v>
          </cell>
          <cell r="I39">
            <v>51.5</v>
          </cell>
          <cell r="J39">
            <v>0</v>
          </cell>
        </row>
        <row r="40">
          <cell r="A40" t="str">
            <v>6213572855</v>
          </cell>
          <cell r="B40">
            <v>62135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6213572870</v>
          </cell>
          <cell r="B41">
            <v>62135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6213576010</v>
          </cell>
          <cell r="B42">
            <v>62135</v>
          </cell>
          <cell r="C42">
            <v>76010</v>
          </cell>
          <cell r="D42" t="str">
            <v>Tenant Alterations</v>
          </cell>
          <cell r="E42">
            <v>2.78</v>
          </cell>
          <cell r="F42">
            <v>0</v>
          </cell>
          <cell r="G42">
            <v>2.78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6213576040</v>
          </cell>
          <cell r="B43">
            <v>62135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6213576051</v>
          </cell>
          <cell r="B44">
            <v>62135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6213576054</v>
          </cell>
          <cell r="B45">
            <v>62135</v>
          </cell>
          <cell r="C45">
            <v>76054</v>
          </cell>
          <cell r="D45" t="str">
            <v>Bldg Maintenance &amp; Repair</v>
          </cell>
          <cell r="E45">
            <v>219.85</v>
          </cell>
          <cell r="F45">
            <v>831.11</v>
          </cell>
          <cell r="G45">
            <v>-611.26</v>
          </cell>
          <cell r="H45">
            <v>75837.59</v>
          </cell>
          <cell r="I45">
            <v>75837.59</v>
          </cell>
          <cell r="J45">
            <v>0</v>
          </cell>
        </row>
        <row r="46">
          <cell r="A46" t="str">
            <v>6213576060</v>
          </cell>
          <cell r="B46">
            <v>62135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6213576071</v>
          </cell>
          <cell r="B47">
            <v>62135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6213576090</v>
          </cell>
          <cell r="B48">
            <v>62135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6213577001</v>
          </cell>
          <cell r="B49">
            <v>62135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6213577022</v>
          </cell>
          <cell r="B50">
            <v>62135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6213584200</v>
          </cell>
          <cell r="B51">
            <v>62135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6213584240</v>
          </cell>
          <cell r="B52">
            <v>62135</v>
          </cell>
          <cell r="C52">
            <v>84240</v>
          </cell>
          <cell r="D52" t="str">
            <v>Marketing Leasing</v>
          </cell>
          <cell r="E52">
            <v>13.89</v>
          </cell>
          <cell r="F52">
            <v>1124.06</v>
          </cell>
          <cell r="G52">
            <v>-1110.17</v>
          </cell>
          <cell r="H52">
            <v>1927</v>
          </cell>
          <cell r="I52">
            <v>1927</v>
          </cell>
          <cell r="J52">
            <v>0</v>
          </cell>
        </row>
        <row r="53">
          <cell r="A53" t="str">
            <v>6213584242</v>
          </cell>
          <cell r="B53">
            <v>62135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6213584243</v>
          </cell>
          <cell r="B54">
            <v>62135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6213584244</v>
          </cell>
          <cell r="B55">
            <v>62135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6213584265</v>
          </cell>
          <cell r="B56">
            <v>62135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6213588037</v>
          </cell>
          <cell r="B57">
            <v>62135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6213585016</v>
          </cell>
          <cell r="B58">
            <v>62135</v>
          </cell>
          <cell r="C58">
            <v>85016</v>
          </cell>
          <cell r="D58" t="str">
            <v>Prof Svc-Attorney Outside</v>
          </cell>
          <cell r="E58">
            <v>956.97</v>
          </cell>
          <cell r="F58">
            <v>1000</v>
          </cell>
          <cell r="G58">
            <v>-43.03</v>
          </cell>
          <cell r="H58">
            <v>2210</v>
          </cell>
          <cell r="I58">
            <v>2210</v>
          </cell>
          <cell r="J58">
            <v>0</v>
          </cell>
        </row>
        <row r="59">
          <cell r="A59" t="str">
            <v>6213585022</v>
          </cell>
          <cell r="B59">
            <v>62135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2121.13</v>
          </cell>
          <cell r="I59">
            <v>2121.13</v>
          </cell>
          <cell r="J59">
            <v>0</v>
          </cell>
        </row>
        <row r="60">
          <cell r="A60" t="str">
            <v>6213585065</v>
          </cell>
          <cell r="B60">
            <v>62135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6213585500</v>
          </cell>
          <cell r="B61">
            <v>62135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208.58</v>
          </cell>
          <cell r="G61">
            <v>-208.58</v>
          </cell>
          <cell r="H61">
            <v>1238.58</v>
          </cell>
          <cell r="I61">
            <v>1238.58</v>
          </cell>
          <cell r="J61">
            <v>0</v>
          </cell>
        </row>
        <row r="62">
          <cell r="A62" t="str">
            <v>6213585566</v>
          </cell>
          <cell r="B62">
            <v>62135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6213585581</v>
          </cell>
          <cell r="B63">
            <v>62135</v>
          </cell>
          <cell r="C63">
            <v>85581</v>
          </cell>
          <cell r="D63" t="str">
            <v>Bldg Admin- Salaries</v>
          </cell>
          <cell r="E63">
            <v>10976.55</v>
          </cell>
          <cell r="F63">
            <v>21915.52</v>
          </cell>
          <cell r="G63">
            <v>-10938.97</v>
          </cell>
          <cell r="H63">
            <v>39336.199999999997</v>
          </cell>
          <cell r="I63">
            <v>39336.199999999997</v>
          </cell>
          <cell r="J63">
            <v>0</v>
          </cell>
        </row>
        <row r="64">
          <cell r="A64" t="str">
            <v>6213585583</v>
          </cell>
          <cell r="B64">
            <v>62135</v>
          </cell>
          <cell r="C64">
            <v>85583</v>
          </cell>
          <cell r="D64" t="str">
            <v>Bldg Admin-Office Exp.</v>
          </cell>
          <cell r="E64">
            <v>1757.04</v>
          </cell>
          <cell r="F64">
            <v>0</v>
          </cell>
          <cell r="G64">
            <v>1757.04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6213585530</v>
          </cell>
          <cell r="B65">
            <v>62135</v>
          </cell>
          <cell r="C65">
            <v>85530</v>
          </cell>
          <cell r="D65" t="str">
            <v>Bldg Admin - Office Exp</v>
          </cell>
          <cell r="E65">
            <v>1757.04</v>
          </cell>
          <cell r="F65">
            <v>0</v>
          </cell>
          <cell r="G65">
            <v>1757.04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6213586012</v>
          </cell>
          <cell r="B66">
            <v>62135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6213586037</v>
          </cell>
          <cell r="B67">
            <v>62135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6213583050</v>
          </cell>
          <cell r="B68">
            <v>62135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6213586510</v>
          </cell>
          <cell r="B69">
            <v>62135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6213586537</v>
          </cell>
          <cell r="B70">
            <v>62135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6213586566</v>
          </cell>
          <cell r="B71">
            <v>62135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6213586955</v>
          </cell>
          <cell r="B72">
            <v>62135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6213586985</v>
          </cell>
          <cell r="B73">
            <v>62135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6213586880</v>
          </cell>
          <cell r="B74">
            <v>62135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6213588710</v>
          </cell>
          <cell r="B75">
            <v>62135</v>
          </cell>
          <cell r="C75">
            <v>88710</v>
          </cell>
          <cell r="D75" t="str">
            <v>Losses-Bad Debts</v>
          </cell>
          <cell r="E75">
            <v>-6129.39</v>
          </cell>
          <cell r="F75">
            <v>15554.4</v>
          </cell>
          <cell r="G75">
            <v>-21683.79</v>
          </cell>
          <cell r="H75">
            <v>31108.639999999999</v>
          </cell>
          <cell r="I75">
            <v>31108.639999999999</v>
          </cell>
          <cell r="J75">
            <v>0</v>
          </cell>
        </row>
        <row r="76">
          <cell r="A76" t="str">
            <v>6213588711</v>
          </cell>
          <cell r="B76">
            <v>62135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6213588785</v>
          </cell>
          <cell r="B77">
            <v>62135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6213588847</v>
          </cell>
          <cell r="B78">
            <v>62135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6213588866</v>
          </cell>
          <cell r="B79">
            <v>62135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6213588870</v>
          </cell>
          <cell r="B80">
            <v>62135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6213588889</v>
          </cell>
          <cell r="B81">
            <v>62135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6213589776</v>
          </cell>
          <cell r="B82">
            <v>62135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6213589787</v>
          </cell>
          <cell r="B83">
            <v>62135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6213589510</v>
          </cell>
          <cell r="B84">
            <v>62135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6213589511</v>
          </cell>
          <cell r="B85">
            <v>62135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6213589512</v>
          </cell>
          <cell r="B86">
            <v>62135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6213589528</v>
          </cell>
          <cell r="B87">
            <v>62135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6213589529</v>
          </cell>
          <cell r="B88">
            <v>62135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6213589567</v>
          </cell>
          <cell r="B89">
            <v>62135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6213585058</v>
          </cell>
          <cell r="B90">
            <v>62135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6213586513</v>
          </cell>
          <cell r="B91">
            <v>62135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937.41</v>
          </cell>
          <cell r="G91">
            <v>-937.41</v>
          </cell>
          <cell r="H91">
            <v>1576.11</v>
          </cell>
          <cell r="I91">
            <v>1576.11</v>
          </cell>
          <cell r="J91">
            <v>0</v>
          </cell>
        </row>
        <row r="92">
          <cell r="A92" t="str">
            <v>6213586519</v>
          </cell>
          <cell r="B92">
            <v>62135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6213588770</v>
          </cell>
          <cell r="B93">
            <v>62135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6213588862</v>
          </cell>
          <cell r="B94">
            <v>62135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6213588874</v>
          </cell>
          <cell r="B95">
            <v>62135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6213589910</v>
          </cell>
          <cell r="B96">
            <v>62135</v>
          </cell>
          <cell r="C96">
            <v>89910</v>
          </cell>
          <cell r="D96" t="str">
            <v>Depreciation</v>
          </cell>
          <cell r="E96">
            <v>0</v>
          </cell>
          <cell r="F96">
            <v>54451.96</v>
          </cell>
          <cell r="G96">
            <v>-54451.96</v>
          </cell>
          <cell r="H96">
            <v>93118.59</v>
          </cell>
          <cell r="I96">
            <v>93118.59</v>
          </cell>
          <cell r="J96">
            <v>0</v>
          </cell>
        </row>
        <row r="97">
          <cell r="A97" t="str">
            <v>6213589548</v>
          </cell>
          <cell r="B97">
            <v>62135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6216041010</v>
          </cell>
          <cell r="B98">
            <v>62160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6216041040</v>
          </cell>
          <cell r="B99">
            <v>62160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6216041050</v>
          </cell>
          <cell r="B100">
            <v>62160</v>
          </cell>
          <cell r="C100">
            <v>41050</v>
          </cell>
          <cell r="D100" t="str">
            <v>Rental Income - Fixed</v>
          </cell>
          <cell r="E100">
            <v>-1097678.2</v>
          </cell>
          <cell r="F100">
            <v>-1099196.74</v>
          </cell>
          <cell r="G100">
            <v>1518.54000000004</v>
          </cell>
          <cell r="H100">
            <v>-1881369.24</v>
          </cell>
          <cell r="I100">
            <v>-1881369.24</v>
          </cell>
          <cell r="J100">
            <v>0</v>
          </cell>
        </row>
        <row r="101">
          <cell r="A101" t="str">
            <v>6216041074</v>
          </cell>
          <cell r="B101">
            <v>62160</v>
          </cell>
          <cell r="C101">
            <v>41074</v>
          </cell>
          <cell r="D101" t="str">
            <v>Rental Income - Percentage</v>
          </cell>
          <cell r="E101">
            <v>-64988.99</v>
          </cell>
          <cell r="F101">
            <v>-56053</v>
          </cell>
          <cell r="G101">
            <v>-8935.99</v>
          </cell>
          <cell r="H101">
            <v>-56053</v>
          </cell>
          <cell r="I101">
            <v>-56053</v>
          </cell>
          <cell r="J101">
            <v>0</v>
          </cell>
        </row>
        <row r="102">
          <cell r="A102" t="str">
            <v>6216041082</v>
          </cell>
          <cell r="B102">
            <v>62160</v>
          </cell>
          <cell r="C102">
            <v>41082</v>
          </cell>
          <cell r="D102" t="str">
            <v>Rental Income - Operating Exp</v>
          </cell>
          <cell r="E102">
            <v>-86847.41</v>
          </cell>
          <cell r="F102">
            <v>-228998.63</v>
          </cell>
          <cell r="G102">
            <v>142151.22</v>
          </cell>
          <cell r="H102">
            <v>-392569.08</v>
          </cell>
          <cell r="I102">
            <v>-392569.08</v>
          </cell>
          <cell r="J102">
            <v>0</v>
          </cell>
        </row>
        <row r="103">
          <cell r="A103" t="str">
            <v>6216044610</v>
          </cell>
          <cell r="B103">
            <v>62160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6216045071</v>
          </cell>
          <cell r="B104">
            <v>62160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6216045010</v>
          </cell>
          <cell r="B105">
            <v>62160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6216045046</v>
          </cell>
          <cell r="B106">
            <v>62160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6216045070</v>
          </cell>
          <cell r="B107">
            <v>62160</v>
          </cell>
          <cell r="C107">
            <v>45070</v>
          </cell>
          <cell r="D107" t="str">
            <v>Other Income</v>
          </cell>
          <cell r="E107">
            <v>-313.07</v>
          </cell>
          <cell r="F107">
            <v>-671.56</v>
          </cell>
          <cell r="G107">
            <v>358.49</v>
          </cell>
          <cell r="H107">
            <v>-958</v>
          </cell>
          <cell r="I107">
            <v>-958</v>
          </cell>
          <cell r="J107">
            <v>0</v>
          </cell>
        </row>
        <row r="108">
          <cell r="A108" t="str">
            <v>6216041060</v>
          </cell>
          <cell r="B108">
            <v>62160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13591.69</v>
          </cell>
          <cell r="G108">
            <v>-13591.69</v>
          </cell>
          <cell r="H108">
            <v>23300</v>
          </cell>
          <cell r="I108">
            <v>23300</v>
          </cell>
          <cell r="J108">
            <v>0</v>
          </cell>
        </row>
        <row r="109">
          <cell r="A109" t="str">
            <v>6216044870</v>
          </cell>
          <cell r="B109">
            <v>62160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6216052542</v>
          </cell>
          <cell r="B110">
            <v>62160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6216072710</v>
          </cell>
          <cell r="B111">
            <v>62160</v>
          </cell>
          <cell r="C111">
            <v>72710</v>
          </cell>
          <cell r="D111" t="str">
            <v>Utilities - Electricity</v>
          </cell>
          <cell r="E111">
            <v>4654.42</v>
          </cell>
          <cell r="F111">
            <v>6837</v>
          </cell>
          <cell r="G111">
            <v>-2182.58</v>
          </cell>
          <cell r="H111">
            <v>10665.01</v>
          </cell>
          <cell r="I111">
            <v>10665.01</v>
          </cell>
          <cell r="J111">
            <v>0</v>
          </cell>
        </row>
        <row r="112">
          <cell r="A112" t="str">
            <v>6216072740</v>
          </cell>
          <cell r="B112">
            <v>62160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6216072770</v>
          </cell>
          <cell r="B113">
            <v>62160</v>
          </cell>
          <cell r="C113">
            <v>72770</v>
          </cell>
          <cell r="D113" t="str">
            <v>Utilities - Water</v>
          </cell>
          <cell r="E113">
            <v>2418.89</v>
          </cell>
          <cell r="F113">
            <v>1846.79</v>
          </cell>
          <cell r="G113">
            <v>572.1</v>
          </cell>
          <cell r="H113">
            <v>2947.3</v>
          </cell>
          <cell r="I113">
            <v>2947.3</v>
          </cell>
          <cell r="J113">
            <v>0</v>
          </cell>
        </row>
        <row r="114">
          <cell r="A114" t="str">
            <v>6216076000</v>
          </cell>
          <cell r="B114">
            <v>62160</v>
          </cell>
          <cell r="C114">
            <v>76000</v>
          </cell>
          <cell r="D114" t="str">
            <v>Bldg Maintenance &amp; Repair</v>
          </cell>
          <cell r="E114">
            <v>15286.39</v>
          </cell>
          <cell r="F114">
            <v>11934.92</v>
          </cell>
          <cell r="G114">
            <v>3351.47</v>
          </cell>
          <cell r="H114">
            <v>18893.93</v>
          </cell>
          <cell r="I114">
            <v>18893.93</v>
          </cell>
          <cell r="J114">
            <v>0</v>
          </cell>
        </row>
        <row r="115">
          <cell r="A115" t="str">
            <v>6216076020</v>
          </cell>
          <cell r="B115">
            <v>62160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6216076034</v>
          </cell>
          <cell r="B116">
            <v>62160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6216076050</v>
          </cell>
          <cell r="B117">
            <v>62160</v>
          </cell>
          <cell r="C117">
            <v>76050</v>
          </cell>
          <cell r="D117" t="str">
            <v>Cleaning Expense</v>
          </cell>
          <cell r="E117">
            <v>23860.240000000002</v>
          </cell>
          <cell r="F117">
            <v>25373.99</v>
          </cell>
          <cell r="G117">
            <v>-1513.75</v>
          </cell>
          <cell r="H117">
            <v>37474.94</v>
          </cell>
          <cell r="I117">
            <v>37474.94</v>
          </cell>
          <cell r="J117">
            <v>0</v>
          </cell>
        </row>
        <row r="118">
          <cell r="A118" t="str">
            <v>6216076056</v>
          </cell>
          <cell r="B118">
            <v>62160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6216076070</v>
          </cell>
          <cell r="B119">
            <v>62160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6216076091</v>
          </cell>
          <cell r="B120">
            <v>62160</v>
          </cell>
          <cell r="C120">
            <v>76091</v>
          </cell>
          <cell r="D120" t="str">
            <v>Parking Maintenance</v>
          </cell>
          <cell r="E120">
            <v>24143.02</v>
          </cell>
          <cell r="F120">
            <v>17723.490000000002</v>
          </cell>
          <cell r="G120">
            <v>6419.53</v>
          </cell>
          <cell r="H120">
            <v>34403.480000000003</v>
          </cell>
          <cell r="I120">
            <v>34403.480000000003</v>
          </cell>
          <cell r="J120">
            <v>0</v>
          </cell>
        </row>
        <row r="121">
          <cell r="A121" t="str">
            <v>6216077000</v>
          </cell>
          <cell r="B121">
            <v>62160</v>
          </cell>
          <cell r="C121">
            <v>77000</v>
          </cell>
          <cell r="D121" t="str">
            <v>Grounds Maintenance</v>
          </cell>
          <cell r="E121">
            <v>21332.84</v>
          </cell>
          <cell r="F121">
            <v>27857.56</v>
          </cell>
          <cell r="G121">
            <v>-6524.72</v>
          </cell>
          <cell r="H121">
            <v>42805.83</v>
          </cell>
          <cell r="I121">
            <v>42805.83</v>
          </cell>
          <cell r="J121">
            <v>0</v>
          </cell>
        </row>
        <row r="122">
          <cell r="A122" t="str">
            <v>6216077053</v>
          </cell>
          <cell r="B122">
            <v>62160</v>
          </cell>
          <cell r="C122">
            <v>77053</v>
          </cell>
          <cell r="D122" t="str">
            <v>Landscaping</v>
          </cell>
          <cell r="E122">
            <v>16771.830000000002</v>
          </cell>
          <cell r="F122">
            <v>11630.55</v>
          </cell>
          <cell r="G122">
            <v>5141.28</v>
          </cell>
          <cell r="H122">
            <v>35884.699999999997</v>
          </cell>
          <cell r="I122">
            <v>35884.699999999997</v>
          </cell>
          <cell r="J122">
            <v>0</v>
          </cell>
        </row>
        <row r="123">
          <cell r="A123" t="str">
            <v>6216078020</v>
          </cell>
          <cell r="B123">
            <v>62160</v>
          </cell>
          <cell r="C123">
            <v>78020</v>
          </cell>
          <cell r="D123" t="str">
            <v>Amortized CAM Exp</v>
          </cell>
          <cell r="E123">
            <v>9722.23</v>
          </cell>
          <cell r="F123">
            <v>9722.44</v>
          </cell>
          <cell r="G123">
            <v>-0.21000000000094601</v>
          </cell>
          <cell r="H123">
            <v>16667</v>
          </cell>
          <cell r="I123">
            <v>16667</v>
          </cell>
          <cell r="J123">
            <v>0</v>
          </cell>
        </row>
        <row r="124">
          <cell r="A124" t="str">
            <v>6216084264</v>
          </cell>
          <cell r="B124">
            <v>62160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6216085555</v>
          </cell>
          <cell r="B125">
            <v>62160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6216085584</v>
          </cell>
          <cell r="B126">
            <v>62160</v>
          </cell>
          <cell r="C126">
            <v>85584</v>
          </cell>
          <cell r="D126" t="str">
            <v>Bldg Admin-Office Costs</v>
          </cell>
          <cell r="E126">
            <v>3173.53</v>
          </cell>
          <cell r="F126">
            <v>4808.4399999999996</v>
          </cell>
          <cell r="G126">
            <v>-1634.91</v>
          </cell>
          <cell r="H126">
            <v>8243</v>
          </cell>
          <cell r="I126">
            <v>8243</v>
          </cell>
          <cell r="J126">
            <v>0</v>
          </cell>
        </row>
        <row r="127">
          <cell r="A127" t="str">
            <v>6216085582</v>
          </cell>
          <cell r="B127">
            <v>62160</v>
          </cell>
          <cell r="C127">
            <v>85582</v>
          </cell>
          <cell r="D127" t="str">
            <v>Bldg Admin-Salaries</v>
          </cell>
          <cell r="E127">
            <v>15210.7</v>
          </cell>
          <cell r="F127">
            <v>27910.52</v>
          </cell>
          <cell r="G127">
            <v>-12699.82</v>
          </cell>
          <cell r="H127">
            <v>50883.199999999997</v>
          </cell>
          <cell r="I127">
            <v>50883.199999999997</v>
          </cell>
          <cell r="J127">
            <v>0</v>
          </cell>
        </row>
        <row r="128">
          <cell r="A128" t="str">
            <v>6216086564</v>
          </cell>
          <cell r="B128">
            <v>62160</v>
          </cell>
          <cell r="C128">
            <v>86564</v>
          </cell>
          <cell r="D128" t="str">
            <v>Insurance</v>
          </cell>
          <cell r="E128">
            <v>16044</v>
          </cell>
          <cell r="F128">
            <v>15986.25</v>
          </cell>
          <cell r="G128">
            <v>57.75</v>
          </cell>
          <cell r="H128">
            <v>27405</v>
          </cell>
          <cell r="I128">
            <v>27405</v>
          </cell>
          <cell r="J128">
            <v>0</v>
          </cell>
        </row>
        <row r="129">
          <cell r="A129" t="str">
            <v>6216088846</v>
          </cell>
          <cell r="B129">
            <v>62160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6216088890</v>
          </cell>
          <cell r="B130">
            <v>62160</v>
          </cell>
          <cell r="C130">
            <v>88890</v>
          </cell>
          <cell r="D130" t="str">
            <v>Security/Safety</v>
          </cell>
          <cell r="E130">
            <v>7722</v>
          </cell>
          <cell r="F130">
            <v>8796.48</v>
          </cell>
          <cell r="G130">
            <v>-1074.48</v>
          </cell>
          <cell r="H130">
            <v>12936.92</v>
          </cell>
          <cell r="I130">
            <v>12936.92</v>
          </cell>
          <cell r="J130">
            <v>0</v>
          </cell>
        </row>
        <row r="131">
          <cell r="A131" t="str">
            <v>6216089775</v>
          </cell>
          <cell r="B131">
            <v>62160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6216089729</v>
          </cell>
          <cell r="B132">
            <v>62160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6216089786</v>
          </cell>
          <cell r="B133">
            <v>62160</v>
          </cell>
          <cell r="C133">
            <v>89786</v>
          </cell>
          <cell r="D133" t="str">
            <v>Property Tax Exp</v>
          </cell>
          <cell r="E133">
            <v>54195.19</v>
          </cell>
          <cell r="F133">
            <v>52192</v>
          </cell>
          <cell r="G133">
            <v>2003.19</v>
          </cell>
          <cell r="H133">
            <v>89472</v>
          </cell>
          <cell r="I133">
            <v>89472</v>
          </cell>
          <cell r="J133">
            <v>0</v>
          </cell>
        </row>
        <row r="134">
          <cell r="A134" t="str">
            <v>6216071040</v>
          </cell>
          <cell r="B134">
            <v>62160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6216072701</v>
          </cell>
          <cell r="B135">
            <v>62160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432.32</v>
          </cell>
          <cell r="G135">
            <v>-432.32</v>
          </cell>
          <cell r="H135">
            <v>530.36</v>
          </cell>
          <cell r="I135">
            <v>530.36</v>
          </cell>
          <cell r="J135">
            <v>0</v>
          </cell>
        </row>
        <row r="136">
          <cell r="A136" t="str">
            <v>6216072855</v>
          </cell>
          <cell r="B136">
            <v>62160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6216072870</v>
          </cell>
          <cell r="B137">
            <v>62160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6216076010</v>
          </cell>
          <cell r="B138">
            <v>62160</v>
          </cell>
          <cell r="C138">
            <v>76010</v>
          </cell>
          <cell r="D138" t="str">
            <v>Tenant Alterations</v>
          </cell>
          <cell r="E138">
            <v>1502.82</v>
          </cell>
          <cell r="F138">
            <v>0</v>
          </cell>
          <cell r="G138">
            <v>1502.82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6216076040</v>
          </cell>
          <cell r="B139">
            <v>62160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6216076051</v>
          </cell>
          <cell r="B140">
            <v>62160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6216076054</v>
          </cell>
          <cell r="B141">
            <v>62160</v>
          </cell>
          <cell r="C141">
            <v>76054</v>
          </cell>
          <cell r="D141" t="str">
            <v>Bldg Maintenance &amp; Repair</v>
          </cell>
          <cell r="E141">
            <v>29.59</v>
          </cell>
          <cell r="F141">
            <v>1.61</v>
          </cell>
          <cell r="G141">
            <v>27.98</v>
          </cell>
          <cell r="H141">
            <v>309.08999999999997</v>
          </cell>
          <cell r="I141">
            <v>309.08999999999997</v>
          </cell>
          <cell r="J141">
            <v>0</v>
          </cell>
        </row>
        <row r="142">
          <cell r="A142" t="str">
            <v>6216076060</v>
          </cell>
          <cell r="B142">
            <v>62160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6216076071</v>
          </cell>
          <cell r="B143">
            <v>62160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87540</v>
          </cell>
          <cell r="G143">
            <v>-87540</v>
          </cell>
          <cell r="H143">
            <v>87540</v>
          </cell>
          <cell r="I143">
            <v>87540</v>
          </cell>
          <cell r="J143">
            <v>0</v>
          </cell>
        </row>
        <row r="144">
          <cell r="A144" t="str">
            <v>6216076090</v>
          </cell>
          <cell r="B144">
            <v>62160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6216077001</v>
          </cell>
          <cell r="B145">
            <v>62160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6216077022</v>
          </cell>
          <cell r="B146">
            <v>62160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6216084200</v>
          </cell>
          <cell r="B147">
            <v>62160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6216084240</v>
          </cell>
          <cell r="B148">
            <v>62160</v>
          </cell>
          <cell r="C148">
            <v>84240</v>
          </cell>
          <cell r="D148" t="str">
            <v>Marketing Leasing</v>
          </cell>
          <cell r="E148">
            <v>13.32</v>
          </cell>
          <cell r="F148">
            <v>1146.81</v>
          </cell>
          <cell r="G148">
            <v>-1133.49</v>
          </cell>
          <cell r="H148">
            <v>1966</v>
          </cell>
          <cell r="I148">
            <v>1966</v>
          </cell>
          <cell r="J148">
            <v>0</v>
          </cell>
        </row>
        <row r="149">
          <cell r="A149" t="str">
            <v>6216084242</v>
          </cell>
          <cell r="B149">
            <v>62160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6216084243</v>
          </cell>
          <cell r="B150">
            <v>62160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6216084244</v>
          </cell>
          <cell r="B151">
            <v>62160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91.19</v>
          </cell>
          <cell r="G151">
            <v>-91.19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6216084265</v>
          </cell>
          <cell r="B152">
            <v>62160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6216088037</v>
          </cell>
          <cell r="B153">
            <v>62160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6216085016</v>
          </cell>
          <cell r="B154">
            <v>62160</v>
          </cell>
          <cell r="C154">
            <v>85016</v>
          </cell>
          <cell r="D154" t="str">
            <v>Prof Svc-Attorney Outside</v>
          </cell>
          <cell r="E154">
            <v>304</v>
          </cell>
          <cell r="F154">
            <v>1423.47</v>
          </cell>
          <cell r="G154">
            <v>-1119.47</v>
          </cell>
          <cell r="H154">
            <v>2453.4699999999998</v>
          </cell>
          <cell r="I154">
            <v>2453.4699999999998</v>
          </cell>
          <cell r="J154">
            <v>0</v>
          </cell>
        </row>
        <row r="155">
          <cell r="A155" t="str">
            <v>6216085022</v>
          </cell>
          <cell r="B155">
            <v>62160</v>
          </cell>
          <cell r="C155">
            <v>85022</v>
          </cell>
          <cell r="D155" t="str">
            <v>Prof Svc-Audit/Acctng</v>
          </cell>
          <cell r="E155">
            <v>347.58</v>
          </cell>
          <cell r="F155">
            <v>0</v>
          </cell>
          <cell r="G155">
            <v>347.58</v>
          </cell>
          <cell r="H155">
            <v>2133.4899999999998</v>
          </cell>
          <cell r="I155">
            <v>2133.4899999999998</v>
          </cell>
          <cell r="J155">
            <v>0</v>
          </cell>
        </row>
        <row r="156">
          <cell r="A156" t="str">
            <v>6216085065</v>
          </cell>
          <cell r="B156">
            <v>62160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6216085500</v>
          </cell>
          <cell r="B157">
            <v>62160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145</v>
          </cell>
          <cell r="G157">
            <v>-145</v>
          </cell>
          <cell r="H157">
            <v>345</v>
          </cell>
          <cell r="I157">
            <v>345</v>
          </cell>
          <cell r="J157">
            <v>0</v>
          </cell>
        </row>
        <row r="158">
          <cell r="A158" t="str">
            <v>6216085566</v>
          </cell>
          <cell r="B158">
            <v>62160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6216085581</v>
          </cell>
          <cell r="B159">
            <v>62160</v>
          </cell>
          <cell r="C159">
            <v>85581</v>
          </cell>
          <cell r="D159" t="str">
            <v>Bldg Admin- Salaries</v>
          </cell>
          <cell r="E159">
            <v>11113.9</v>
          </cell>
          <cell r="F159">
            <v>23981.98</v>
          </cell>
          <cell r="G159">
            <v>-12868.08</v>
          </cell>
          <cell r="H159">
            <v>42947.3</v>
          </cell>
          <cell r="I159">
            <v>42947.3</v>
          </cell>
          <cell r="J159">
            <v>0</v>
          </cell>
        </row>
        <row r="160">
          <cell r="A160" t="str">
            <v>6216085583</v>
          </cell>
          <cell r="B160">
            <v>62160</v>
          </cell>
          <cell r="C160">
            <v>85583</v>
          </cell>
          <cell r="D160" t="str">
            <v>Bldg Admin-Office Exp.</v>
          </cell>
          <cell r="E160">
            <v>1908.34</v>
          </cell>
          <cell r="F160">
            <v>0</v>
          </cell>
          <cell r="G160">
            <v>1908.34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6216085530</v>
          </cell>
          <cell r="B161">
            <v>62160</v>
          </cell>
          <cell r="C161">
            <v>85530</v>
          </cell>
          <cell r="D161" t="str">
            <v>Bldg Admin - Office Exp</v>
          </cell>
          <cell r="E161">
            <v>1908.34</v>
          </cell>
          <cell r="F161">
            <v>0</v>
          </cell>
          <cell r="G161">
            <v>1908.34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6216086012</v>
          </cell>
          <cell r="B162">
            <v>62160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6216086037</v>
          </cell>
          <cell r="B163">
            <v>62160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6216083050</v>
          </cell>
          <cell r="B164">
            <v>62160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6216086510</v>
          </cell>
          <cell r="B165">
            <v>62160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6216086537</v>
          </cell>
          <cell r="B166">
            <v>62160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6216086566</v>
          </cell>
          <cell r="B167">
            <v>62160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6216086955</v>
          </cell>
          <cell r="B168">
            <v>62160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6216086985</v>
          </cell>
          <cell r="B169">
            <v>62160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6216086880</v>
          </cell>
          <cell r="B170">
            <v>62160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6216088710</v>
          </cell>
          <cell r="B171">
            <v>62160</v>
          </cell>
          <cell r="C171">
            <v>88710</v>
          </cell>
          <cell r="D171" t="str">
            <v>Losses-Bad Debts</v>
          </cell>
          <cell r="E171">
            <v>13976.76</v>
          </cell>
          <cell r="F171">
            <v>11654.4</v>
          </cell>
          <cell r="G171">
            <v>2322.36</v>
          </cell>
          <cell r="H171">
            <v>23308.639999999999</v>
          </cell>
          <cell r="I171">
            <v>23308.639999999999</v>
          </cell>
          <cell r="J171">
            <v>0</v>
          </cell>
        </row>
        <row r="172">
          <cell r="A172" t="str">
            <v>6216088711</v>
          </cell>
          <cell r="B172">
            <v>62160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6216088785</v>
          </cell>
          <cell r="B173">
            <v>62160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6216088847</v>
          </cell>
          <cell r="B174">
            <v>62160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6216088866</v>
          </cell>
          <cell r="B175">
            <v>62160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6216088870</v>
          </cell>
          <cell r="B176">
            <v>62160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6216088889</v>
          </cell>
          <cell r="B177">
            <v>62160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6216089776</v>
          </cell>
          <cell r="B178">
            <v>62160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6216089787</v>
          </cell>
          <cell r="B179">
            <v>62160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6216089510</v>
          </cell>
          <cell r="B180">
            <v>62160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6216089511</v>
          </cell>
          <cell r="B181">
            <v>62160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6216089512</v>
          </cell>
          <cell r="B182">
            <v>62160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6216089528</v>
          </cell>
          <cell r="B183">
            <v>62160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6216089529</v>
          </cell>
          <cell r="B184">
            <v>62160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6216089567</v>
          </cell>
          <cell r="B185">
            <v>62160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6216085058</v>
          </cell>
          <cell r="B186">
            <v>62160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6216086513</v>
          </cell>
          <cell r="B187">
            <v>62160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1000.65</v>
          </cell>
          <cell r="G187">
            <v>-1000.65</v>
          </cell>
          <cell r="H187">
            <v>1715.4</v>
          </cell>
          <cell r="I187">
            <v>1715.4</v>
          </cell>
          <cell r="J187">
            <v>0</v>
          </cell>
        </row>
        <row r="188">
          <cell r="A188" t="str">
            <v>6216086519</v>
          </cell>
          <cell r="B188">
            <v>62160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6216088770</v>
          </cell>
          <cell r="B189">
            <v>62160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6216088862</v>
          </cell>
          <cell r="B190">
            <v>62160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6216088874</v>
          </cell>
          <cell r="B191">
            <v>62160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6216089910</v>
          </cell>
          <cell r="B192">
            <v>62160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68641.69</v>
          </cell>
          <cell r="G192">
            <v>-68641.69</v>
          </cell>
          <cell r="H192">
            <v>117671.45</v>
          </cell>
          <cell r="I192">
            <v>117671.45</v>
          </cell>
          <cell r="J192">
            <v>0</v>
          </cell>
        </row>
        <row r="193">
          <cell r="A193" t="str">
            <v>6216089548</v>
          </cell>
          <cell r="B193">
            <v>62160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6219741010</v>
          </cell>
          <cell r="B194">
            <v>62197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6219741040</v>
          </cell>
          <cell r="B195">
            <v>62197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6219741050</v>
          </cell>
          <cell r="B196">
            <v>62197</v>
          </cell>
          <cell r="C196">
            <v>41050</v>
          </cell>
          <cell r="D196" t="str">
            <v>Rental Income - Fixed</v>
          </cell>
          <cell r="E196">
            <v>-2436463.85</v>
          </cell>
          <cell r="F196">
            <v>-2577358.63</v>
          </cell>
          <cell r="G196">
            <v>140894.78</v>
          </cell>
          <cell r="H196">
            <v>-4536471.82</v>
          </cell>
          <cell r="I196">
            <v>-4536471.82</v>
          </cell>
          <cell r="J196">
            <v>0</v>
          </cell>
        </row>
        <row r="197">
          <cell r="A197" t="str">
            <v>6219741074</v>
          </cell>
          <cell r="B197">
            <v>62197</v>
          </cell>
          <cell r="C197">
            <v>41074</v>
          </cell>
          <cell r="D197" t="str">
            <v>Rental Income - Percentage</v>
          </cell>
          <cell r="E197">
            <v>-15357.81</v>
          </cell>
          <cell r="F197">
            <v>-31017</v>
          </cell>
          <cell r="G197">
            <v>15659.19</v>
          </cell>
          <cell r="H197">
            <v>-53172</v>
          </cell>
          <cell r="I197">
            <v>-53172</v>
          </cell>
          <cell r="J197">
            <v>0</v>
          </cell>
        </row>
        <row r="198">
          <cell r="A198" t="str">
            <v>6219741082</v>
          </cell>
          <cell r="B198">
            <v>62197</v>
          </cell>
          <cell r="C198">
            <v>41082</v>
          </cell>
          <cell r="D198" t="str">
            <v>Rental Income - Operating Exp</v>
          </cell>
          <cell r="E198">
            <v>-659816.09</v>
          </cell>
          <cell r="F198">
            <v>-888004.18</v>
          </cell>
          <cell r="G198">
            <v>228188.09</v>
          </cell>
          <cell r="H198">
            <v>-1522292.88</v>
          </cell>
          <cell r="I198">
            <v>-1522292.88</v>
          </cell>
          <cell r="J198">
            <v>0</v>
          </cell>
        </row>
        <row r="199">
          <cell r="A199" t="str">
            <v>6219744610</v>
          </cell>
          <cell r="B199">
            <v>62197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6219745071</v>
          </cell>
          <cell r="B200">
            <v>62197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6219745010</v>
          </cell>
          <cell r="B201">
            <v>62197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6219745046</v>
          </cell>
          <cell r="B202">
            <v>62197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6219745070</v>
          </cell>
          <cell r="B203">
            <v>62197</v>
          </cell>
          <cell r="C203">
            <v>45070</v>
          </cell>
          <cell r="D203" t="str">
            <v>Other Income</v>
          </cell>
          <cell r="E203">
            <v>-59312.34</v>
          </cell>
          <cell r="F203">
            <v>-21813.19</v>
          </cell>
          <cell r="G203">
            <v>-37499.15</v>
          </cell>
          <cell r="H203">
            <v>-22072.07</v>
          </cell>
          <cell r="I203">
            <v>-22072.07</v>
          </cell>
          <cell r="J203">
            <v>0</v>
          </cell>
        </row>
        <row r="204">
          <cell r="A204" t="str">
            <v>6219741060</v>
          </cell>
          <cell r="B204">
            <v>62197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228480</v>
          </cell>
          <cell r="G204">
            <v>-228480</v>
          </cell>
          <cell r="H204">
            <v>391680</v>
          </cell>
          <cell r="I204">
            <v>391680</v>
          </cell>
          <cell r="J204">
            <v>0</v>
          </cell>
        </row>
        <row r="205">
          <cell r="A205" t="str">
            <v>6219744870</v>
          </cell>
          <cell r="B205">
            <v>62197</v>
          </cell>
          <cell r="C205">
            <v>44870</v>
          </cell>
          <cell r="D205" t="str">
            <v>Late Fees</v>
          </cell>
          <cell r="E205">
            <v>-750</v>
          </cell>
          <cell r="F205">
            <v>0</v>
          </cell>
          <cell r="G205">
            <v>-750</v>
          </cell>
          <cell r="H205">
            <v>-750</v>
          </cell>
          <cell r="I205">
            <v>-750</v>
          </cell>
          <cell r="J205">
            <v>0</v>
          </cell>
        </row>
        <row r="206">
          <cell r="A206" t="str">
            <v>6219752542</v>
          </cell>
          <cell r="B206">
            <v>62197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6219772710</v>
          </cell>
          <cell r="B207">
            <v>62197</v>
          </cell>
          <cell r="C207">
            <v>72710</v>
          </cell>
          <cell r="D207" t="str">
            <v>Utilities - Electricity</v>
          </cell>
          <cell r="E207">
            <v>13922.66</v>
          </cell>
          <cell r="F207">
            <v>34137.93</v>
          </cell>
          <cell r="G207">
            <v>-20215.27</v>
          </cell>
          <cell r="H207">
            <v>61652.97</v>
          </cell>
          <cell r="I207">
            <v>61652.97</v>
          </cell>
          <cell r="J207">
            <v>0</v>
          </cell>
        </row>
        <row r="208">
          <cell r="A208" t="str">
            <v>6219772740</v>
          </cell>
          <cell r="B208">
            <v>62197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6219772770</v>
          </cell>
          <cell r="B209">
            <v>62197</v>
          </cell>
          <cell r="C209">
            <v>72770</v>
          </cell>
          <cell r="D209" t="str">
            <v>Utilities - Water</v>
          </cell>
          <cell r="E209">
            <v>9579.7900000000009</v>
          </cell>
          <cell r="F209">
            <v>12247.84</v>
          </cell>
          <cell r="G209">
            <v>-2668.05</v>
          </cell>
          <cell r="H209">
            <v>23078.89</v>
          </cell>
          <cell r="I209">
            <v>23078.89</v>
          </cell>
          <cell r="J209">
            <v>0</v>
          </cell>
        </row>
        <row r="210">
          <cell r="A210" t="str">
            <v>6219776000</v>
          </cell>
          <cell r="B210">
            <v>62197</v>
          </cell>
          <cell r="C210">
            <v>76000</v>
          </cell>
          <cell r="D210" t="str">
            <v>Bldg Maintenance &amp; Repair</v>
          </cell>
          <cell r="E210">
            <v>28204.5</v>
          </cell>
          <cell r="F210">
            <v>50675.85</v>
          </cell>
          <cell r="G210">
            <v>-22471.35</v>
          </cell>
          <cell r="H210">
            <v>93635.76</v>
          </cell>
          <cell r="I210">
            <v>93635.76</v>
          </cell>
          <cell r="J210">
            <v>0</v>
          </cell>
        </row>
        <row r="211">
          <cell r="A211" t="str">
            <v>6219776020</v>
          </cell>
          <cell r="B211">
            <v>62197</v>
          </cell>
          <cell r="C211">
            <v>76020</v>
          </cell>
          <cell r="D211" t="str">
            <v>Food Court Expense</v>
          </cell>
          <cell r="E211">
            <v>9870</v>
          </cell>
          <cell r="F211">
            <v>12079.84</v>
          </cell>
          <cell r="G211">
            <v>-2209.84</v>
          </cell>
          <cell r="H211">
            <v>20340.439999999999</v>
          </cell>
          <cell r="I211">
            <v>20340.439999999999</v>
          </cell>
          <cell r="J211">
            <v>0</v>
          </cell>
        </row>
        <row r="212">
          <cell r="A212" t="str">
            <v>6219776034</v>
          </cell>
          <cell r="B212">
            <v>62197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6219776050</v>
          </cell>
          <cell r="B213">
            <v>62197</v>
          </cell>
          <cell r="C213">
            <v>76050</v>
          </cell>
          <cell r="D213" t="str">
            <v>Cleaning Expense</v>
          </cell>
          <cell r="E213">
            <v>63150.1</v>
          </cell>
          <cell r="F213">
            <v>59884.39</v>
          </cell>
          <cell r="G213">
            <v>3265.71</v>
          </cell>
          <cell r="H213">
            <v>109484.91</v>
          </cell>
          <cell r="I213">
            <v>109484.91</v>
          </cell>
          <cell r="J213">
            <v>0</v>
          </cell>
        </row>
        <row r="214">
          <cell r="A214" t="str">
            <v>6219776056</v>
          </cell>
          <cell r="B214">
            <v>62197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6219776070</v>
          </cell>
          <cell r="B215">
            <v>62197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6219776091</v>
          </cell>
          <cell r="B216">
            <v>62197</v>
          </cell>
          <cell r="C216">
            <v>76091</v>
          </cell>
          <cell r="D216" t="str">
            <v>Parking Maintenance</v>
          </cell>
          <cell r="E216">
            <v>31871.14</v>
          </cell>
          <cell r="F216">
            <v>30783.19</v>
          </cell>
          <cell r="G216">
            <v>1087.95</v>
          </cell>
          <cell r="H216">
            <v>57426.7</v>
          </cell>
          <cell r="I216">
            <v>57426.7</v>
          </cell>
          <cell r="J216">
            <v>0</v>
          </cell>
        </row>
        <row r="217">
          <cell r="A217" t="str">
            <v>6219777000</v>
          </cell>
          <cell r="B217">
            <v>62197</v>
          </cell>
          <cell r="C217">
            <v>77000</v>
          </cell>
          <cell r="D217" t="str">
            <v>Grounds Maintenance</v>
          </cell>
          <cell r="E217">
            <v>32687.58</v>
          </cell>
          <cell r="F217">
            <v>33049.760000000002</v>
          </cell>
          <cell r="G217">
            <v>-362.18</v>
          </cell>
          <cell r="H217">
            <v>60496.83</v>
          </cell>
          <cell r="I217">
            <v>60496.83</v>
          </cell>
          <cell r="J217">
            <v>0</v>
          </cell>
        </row>
        <row r="218">
          <cell r="A218" t="str">
            <v>6219777053</v>
          </cell>
          <cell r="B218">
            <v>62197</v>
          </cell>
          <cell r="C218">
            <v>77053</v>
          </cell>
          <cell r="D218" t="str">
            <v>Landscaping</v>
          </cell>
          <cell r="E218">
            <v>60294</v>
          </cell>
          <cell r="F218">
            <v>92278.82</v>
          </cell>
          <cell r="G218">
            <v>-31984.82</v>
          </cell>
          <cell r="H218">
            <v>122670.74</v>
          </cell>
          <cell r="I218">
            <v>122670.74</v>
          </cell>
          <cell r="J218">
            <v>0</v>
          </cell>
        </row>
        <row r="219">
          <cell r="A219" t="str">
            <v>6219778020</v>
          </cell>
          <cell r="B219">
            <v>62197</v>
          </cell>
          <cell r="C219">
            <v>78020</v>
          </cell>
          <cell r="D219" t="str">
            <v>Amortized CAM Exp</v>
          </cell>
          <cell r="E219">
            <v>37916.68</v>
          </cell>
          <cell r="F219">
            <v>37916.69</v>
          </cell>
          <cell r="G219">
            <v>-1.0000000002037299E-2</v>
          </cell>
          <cell r="H219">
            <v>65000</v>
          </cell>
          <cell r="I219">
            <v>65000</v>
          </cell>
          <cell r="J219">
            <v>0</v>
          </cell>
        </row>
        <row r="220">
          <cell r="A220" t="str">
            <v>6219784264</v>
          </cell>
          <cell r="B220">
            <v>62197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6219785555</v>
          </cell>
          <cell r="B221">
            <v>62197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6219785584</v>
          </cell>
          <cell r="B222">
            <v>62197</v>
          </cell>
          <cell r="C222">
            <v>85584</v>
          </cell>
          <cell r="D222" t="str">
            <v>Bldg Admin-Office Costs</v>
          </cell>
          <cell r="E222">
            <v>14371.74</v>
          </cell>
          <cell r="F222">
            <v>21519.75</v>
          </cell>
          <cell r="G222">
            <v>-7148.01</v>
          </cell>
          <cell r="H222">
            <v>36891</v>
          </cell>
          <cell r="I222">
            <v>36891</v>
          </cell>
          <cell r="J222">
            <v>0</v>
          </cell>
        </row>
        <row r="223">
          <cell r="A223" t="str">
            <v>6219785582</v>
          </cell>
          <cell r="B223">
            <v>62197</v>
          </cell>
          <cell r="C223">
            <v>85582</v>
          </cell>
          <cell r="D223" t="str">
            <v>Bldg Admin-Salaries</v>
          </cell>
          <cell r="E223">
            <v>69084.47</v>
          </cell>
          <cell r="F223">
            <v>103366.52</v>
          </cell>
          <cell r="G223">
            <v>-34282.050000000003</v>
          </cell>
          <cell r="H223">
            <v>187665.2</v>
          </cell>
          <cell r="I223">
            <v>187665.2</v>
          </cell>
          <cell r="J223">
            <v>0</v>
          </cell>
        </row>
        <row r="224">
          <cell r="A224" t="str">
            <v>6219786564</v>
          </cell>
          <cell r="B224">
            <v>62197</v>
          </cell>
          <cell r="C224">
            <v>86564</v>
          </cell>
          <cell r="D224" t="str">
            <v>Insurance</v>
          </cell>
          <cell r="E224">
            <v>45507.199999999997</v>
          </cell>
          <cell r="F224">
            <v>43104.81</v>
          </cell>
          <cell r="G224">
            <v>2402.39</v>
          </cell>
          <cell r="H224">
            <v>73894</v>
          </cell>
          <cell r="I224">
            <v>73894</v>
          </cell>
          <cell r="J224">
            <v>0</v>
          </cell>
        </row>
        <row r="225">
          <cell r="A225" t="str">
            <v>6219788846</v>
          </cell>
          <cell r="B225">
            <v>62197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6219788890</v>
          </cell>
          <cell r="B226">
            <v>62197</v>
          </cell>
          <cell r="C226">
            <v>88890</v>
          </cell>
          <cell r="D226" t="str">
            <v>Security/Safety</v>
          </cell>
          <cell r="E226">
            <v>29465.759999999998</v>
          </cell>
          <cell r="F226">
            <v>30512</v>
          </cell>
          <cell r="G226">
            <v>-1046.24</v>
          </cell>
          <cell r="H226">
            <v>53626.86</v>
          </cell>
          <cell r="I226">
            <v>53626.86</v>
          </cell>
          <cell r="J226">
            <v>0</v>
          </cell>
        </row>
        <row r="227">
          <cell r="A227" t="str">
            <v>6219789775</v>
          </cell>
          <cell r="B227">
            <v>62197</v>
          </cell>
          <cell r="C227">
            <v>89775</v>
          </cell>
          <cell r="D227" t="str">
            <v>Assmt Dist Taxes- Reimb</v>
          </cell>
          <cell r="E227">
            <v>54310.69</v>
          </cell>
          <cell r="F227">
            <v>72414.44</v>
          </cell>
          <cell r="G227">
            <v>-18103.75</v>
          </cell>
          <cell r="H227">
            <v>124139</v>
          </cell>
          <cell r="I227">
            <v>124139</v>
          </cell>
          <cell r="J227">
            <v>0</v>
          </cell>
        </row>
        <row r="228">
          <cell r="A228" t="str">
            <v>6219789729</v>
          </cell>
          <cell r="B228">
            <v>62197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6219789786</v>
          </cell>
          <cell r="B229">
            <v>62197</v>
          </cell>
          <cell r="C229">
            <v>89786</v>
          </cell>
          <cell r="D229" t="str">
            <v>Property Tax Exp</v>
          </cell>
          <cell r="E229">
            <v>111788.18</v>
          </cell>
          <cell r="F229">
            <v>109134.69</v>
          </cell>
          <cell r="G229">
            <v>2653.4899999999898</v>
          </cell>
          <cell r="H229">
            <v>187088</v>
          </cell>
          <cell r="I229">
            <v>187088</v>
          </cell>
          <cell r="J229">
            <v>0</v>
          </cell>
        </row>
        <row r="230">
          <cell r="A230" t="str">
            <v>6219771040</v>
          </cell>
          <cell r="B230">
            <v>62197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6219772701</v>
          </cell>
          <cell r="B231">
            <v>62197</v>
          </cell>
          <cell r="C231">
            <v>72701</v>
          </cell>
          <cell r="D231" t="str">
            <v>Utilities</v>
          </cell>
          <cell r="E231">
            <v>1441.94</v>
          </cell>
          <cell r="F231">
            <v>1873.33</v>
          </cell>
          <cell r="G231">
            <v>-431.39</v>
          </cell>
          <cell r="H231">
            <v>2224</v>
          </cell>
          <cell r="I231">
            <v>2224</v>
          </cell>
          <cell r="J231">
            <v>0</v>
          </cell>
        </row>
        <row r="232">
          <cell r="A232" t="str">
            <v>6219772855</v>
          </cell>
          <cell r="B232">
            <v>62197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6219772870</v>
          </cell>
          <cell r="B233">
            <v>62197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6219776010</v>
          </cell>
          <cell r="B234">
            <v>62197</v>
          </cell>
          <cell r="C234">
            <v>76010</v>
          </cell>
          <cell r="D234" t="str">
            <v>Tenant Alterations</v>
          </cell>
          <cell r="E234">
            <v>128.28</v>
          </cell>
          <cell r="F234">
            <v>1996.14</v>
          </cell>
          <cell r="G234">
            <v>-1867.86</v>
          </cell>
          <cell r="H234">
            <v>2305.14</v>
          </cell>
          <cell r="I234">
            <v>2305.14</v>
          </cell>
          <cell r="J234">
            <v>0</v>
          </cell>
        </row>
        <row r="235">
          <cell r="A235" t="str">
            <v>6219776040</v>
          </cell>
          <cell r="B235">
            <v>62197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6219776051</v>
          </cell>
          <cell r="B236">
            <v>62197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6219776054</v>
          </cell>
          <cell r="B237">
            <v>62197</v>
          </cell>
          <cell r="C237">
            <v>76054</v>
          </cell>
          <cell r="D237" t="str">
            <v>Bldg Maintenance &amp; Repair</v>
          </cell>
          <cell r="E237">
            <v>1801.71</v>
          </cell>
          <cell r="F237">
            <v>38682.47</v>
          </cell>
          <cell r="G237">
            <v>-36880.76</v>
          </cell>
          <cell r="H237">
            <v>55152.24</v>
          </cell>
          <cell r="I237">
            <v>55152.24</v>
          </cell>
          <cell r="J237">
            <v>0</v>
          </cell>
        </row>
        <row r="238">
          <cell r="A238" t="str">
            <v>6219776060</v>
          </cell>
          <cell r="B238">
            <v>62197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6219776071</v>
          </cell>
          <cell r="B239">
            <v>62197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19625</v>
          </cell>
          <cell r="G239">
            <v>-19625</v>
          </cell>
          <cell r="H239">
            <v>40250</v>
          </cell>
          <cell r="I239">
            <v>40250</v>
          </cell>
          <cell r="J239">
            <v>0</v>
          </cell>
        </row>
        <row r="240">
          <cell r="A240" t="str">
            <v>6219776090</v>
          </cell>
          <cell r="B240">
            <v>62197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6219777001</v>
          </cell>
          <cell r="B241">
            <v>62197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6219777022</v>
          </cell>
          <cell r="B242">
            <v>62197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6219784200</v>
          </cell>
          <cell r="B243">
            <v>62197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6219784240</v>
          </cell>
          <cell r="B244">
            <v>62197</v>
          </cell>
          <cell r="C244">
            <v>84240</v>
          </cell>
          <cell r="D244" t="str">
            <v>Marketing Leasing</v>
          </cell>
          <cell r="E244">
            <v>6826.58</v>
          </cell>
          <cell r="F244">
            <v>18867.79</v>
          </cell>
          <cell r="G244">
            <v>-12041.21</v>
          </cell>
          <cell r="H244">
            <v>33706.800000000003</v>
          </cell>
          <cell r="I244">
            <v>33706.800000000003</v>
          </cell>
          <cell r="J244">
            <v>0</v>
          </cell>
        </row>
        <row r="245">
          <cell r="A245" t="str">
            <v>6219784242</v>
          </cell>
          <cell r="B245">
            <v>62197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6219784243</v>
          </cell>
          <cell r="B246">
            <v>62197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-24587.84</v>
          </cell>
          <cell r="I246">
            <v>-24587.84</v>
          </cell>
          <cell r="J246">
            <v>0</v>
          </cell>
        </row>
        <row r="247">
          <cell r="A247" t="str">
            <v>6219784244</v>
          </cell>
          <cell r="B247">
            <v>62197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6219784265</v>
          </cell>
          <cell r="B248">
            <v>62197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6219788037</v>
          </cell>
          <cell r="B249">
            <v>62197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6219785016</v>
          </cell>
          <cell r="B250">
            <v>62197</v>
          </cell>
          <cell r="C250">
            <v>85016</v>
          </cell>
          <cell r="D250" t="str">
            <v>Prof Svc-Attorney Outside</v>
          </cell>
          <cell r="E250">
            <v>5991.19</v>
          </cell>
          <cell r="F250">
            <v>1345.63</v>
          </cell>
          <cell r="G250">
            <v>4645.5600000000004</v>
          </cell>
          <cell r="H250">
            <v>9508.3799999999992</v>
          </cell>
          <cell r="I250">
            <v>9508.3799999999992</v>
          </cell>
          <cell r="J250">
            <v>0</v>
          </cell>
        </row>
        <row r="251">
          <cell r="A251" t="str">
            <v>6219785022</v>
          </cell>
          <cell r="B251">
            <v>62197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1042.8800000000001</v>
          </cell>
          <cell r="G251">
            <v>-1042.8800000000001</v>
          </cell>
          <cell r="H251">
            <v>6563.01</v>
          </cell>
          <cell r="I251">
            <v>6563.01</v>
          </cell>
          <cell r="J251">
            <v>0</v>
          </cell>
        </row>
        <row r="252">
          <cell r="A252" t="str">
            <v>6219785065</v>
          </cell>
          <cell r="B252">
            <v>62197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6219785500</v>
          </cell>
          <cell r="B253">
            <v>62197</v>
          </cell>
          <cell r="C253">
            <v>85500</v>
          </cell>
          <cell r="D253" t="str">
            <v>Consulting Services</v>
          </cell>
          <cell r="E253">
            <v>150</v>
          </cell>
          <cell r="F253">
            <v>1429.41</v>
          </cell>
          <cell r="G253">
            <v>-1279.4100000000001</v>
          </cell>
          <cell r="H253">
            <v>2270.2399999999998</v>
          </cell>
          <cell r="I253">
            <v>2270.2399999999998</v>
          </cell>
          <cell r="J253">
            <v>0</v>
          </cell>
        </row>
        <row r="254">
          <cell r="A254" t="str">
            <v>6219785566</v>
          </cell>
          <cell r="B254">
            <v>62197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6219785581</v>
          </cell>
          <cell r="B255">
            <v>62197</v>
          </cell>
          <cell r="C255">
            <v>85581</v>
          </cell>
          <cell r="D255" t="str">
            <v>Bldg Admin- Salaries</v>
          </cell>
          <cell r="E255">
            <v>42808.58</v>
          </cell>
          <cell r="F255">
            <v>76734.02</v>
          </cell>
          <cell r="G255">
            <v>-33925.440000000002</v>
          </cell>
          <cell r="H255">
            <v>138985.70000000001</v>
          </cell>
          <cell r="I255">
            <v>138985.70000000001</v>
          </cell>
          <cell r="J255">
            <v>0</v>
          </cell>
        </row>
        <row r="256">
          <cell r="A256" t="str">
            <v>6219785583</v>
          </cell>
          <cell r="B256">
            <v>62197</v>
          </cell>
          <cell r="C256">
            <v>85583</v>
          </cell>
          <cell r="D256" t="str">
            <v>Bldg Admin-Office Exp.</v>
          </cell>
          <cell r="E256">
            <v>8080.26</v>
          </cell>
          <cell r="F256">
            <v>0</v>
          </cell>
          <cell r="G256">
            <v>8080.26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6219785530</v>
          </cell>
          <cell r="B257">
            <v>62197</v>
          </cell>
          <cell r="C257">
            <v>85530</v>
          </cell>
          <cell r="D257" t="str">
            <v>Bldg Admin - Office Exp</v>
          </cell>
          <cell r="E257">
            <v>8080.26</v>
          </cell>
          <cell r="F257">
            <v>0</v>
          </cell>
          <cell r="G257">
            <v>8080.26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6219786012</v>
          </cell>
          <cell r="B258">
            <v>62197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6219786037</v>
          </cell>
          <cell r="B259">
            <v>62197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6219783050</v>
          </cell>
          <cell r="B260">
            <v>62197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6219786510</v>
          </cell>
          <cell r="B261">
            <v>62197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6219786537</v>
          </cell>
          <cell r="B262">
            <v>62197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6219786566</v>
          </cell>
          <cell r="B263">
            <v>62197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6219786955</v>
          </cell>
          <cell r="B264">
            <v>62197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6219786985</v>
          </cell>
          <cell r="B265">
            <v>62197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6219786880</v>
          </cell>
          <cell r="B266">
            <v>62197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6219788710</v>
          </cell>
          <cell r="B267">
            <v>62197</v>
          </cell>
          <cell r="C267">
            <v>88710</v>
          </cell>
          <cell r="D267" t="str">
            <v>Losses-Bad Debts</v>
          </cell>
          <cell r="E267">
            <v>36890.879999999997</v>
          </cell>
          <cell r="F267">
            <v>30674</v>
          </cell>
          <cell r="G267">
            <v>6216.88</v>
          </cell>
          <cell r="H267">
            <v>61348</v>
          </cell>
          <cell r="I267">
            <v>61348</v>
          </cell>
          <cell r="J267">
            <v>0</v>
          </cell>
        </row>
        <row r="268">
          <cell r="A268" t="str">
            <v>6219788711</v>
          </cell>
          <cell r="B268">
            <v>62197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6219788785</v>
          </cell>
          <cell r="B269">
            <v>62197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6219788847</v>
          </cell>
          <cell r="B270">
            <v>62197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6219788866</v>
          </cell>
          <cell r="B271">
            <v>62197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6219788870</v>
          </cell>
          <cell r="B272">
            <v>62197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6219788889</v>
          </cell>
          <cell r="B273">
            <v>62197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6219789776</v>
          </cell>
          <cell r="B274">
            <v>62197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6219789787</v>
          </cell>
          <cell r="B275">
            <v>62197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6219789510</v>
          </cell>
          <cell r="B276">
            <v>62197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712901</v>
          </cell>
          <cell r="G276">
            <v>-712901</v>
          </cell>
          <cell r="H276">
            <v>1200071</v>
          </cell>
          <cell r="I276">
            <v>1200071</v>
          </cell>
          <cell r="J276">
            <v>0</v>
          </cell>
        </row>
        <row r="277">
          <cell r="A277" t="str">
            <v>6219789511</v>
          </cell>
          <cell r="B277">
            <v>62197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6219789512</v>
          </cell>
          <cell r="B278">
            <v>62197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6219789528</v>
          </cell>
          <cell r="B279">
            <v>62197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6219789529</v>
          </cell>
          <cell r="B280">
            <v>62197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16338</v>
          </cell>
          <cell r="G280">
            <v>-16338</v>
          </cell>
          <cell r="H280">
            <v>28008</v>
          </cell>
          <cell r="I280">
            <v>28008</v>
          </cell>
          <cell r="J280">
            <v>0</v>
          </cell>
        </row>
        <row r="281">
          <cell r="A281" t="str">
            <v>6219789567</v>
          </cell>
          <cell r="B281">
            <v>62197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6219785058</v>
          </cell>
          <cell r="B282">
            <v>62197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6219786513</v>
          </cell>
          <cell r="B283">
            <v>62197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2136.04</v>
          </cell>
          <cell r="G283">
            <v>-2136.04</v>
          </cell>
          <cell r="H283">
            <v>6344.69</v>
          </cell>
          <cell r="I283">
            <v>6344.69</v>
          </cell>
          <cell r="J283">
            <v>0</v>
          </cell>
        </row>
        <row r="284">
          <cell r="A284" t="str">
            <v>6219786519</v>
          </cell>
          <cell r="B284">
            <v>62197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6219788770</v>
          </cell>
          <cell r="B285">
            <v>62197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6219788862</v>
          </cell>
          <cell r="B286">
            <v>62197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6219788874</v>
          </cell>
          <cell r="B287">
            <v>62197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6219789910</v>
          </cell>
          <cell r="B288">
            <v>62197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237630.18</v>
          </cell>
          <cell r="G288">
            <v>-237630.18</v>
          </cell>
          <cell r="H288">
            <v>418959.38</v>
          </cell>
          <cell r="I288">
            <v>418959.38</v>
          </cell>
          <cell r="J288">
            <v>0</v>
          </cell>
        </row>
        <row r="289">
          <cell r="A289" t="str">
            <v>6219789548</v>
          </cell>
          <cell r="B289">
            <v>62197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-2053561.89</v>
          </cell>
          <cell r="F292">
            <v>-2057392.19</v>
          </cell>
          <cell r="G292">
            <v>3830.3000000000502</v>
          </cell>
          <cell r="H292">
            <v>-3599476.8</v>
          </cell>
          <cell r="I292">
            <v>-3599476.8</v>
          </cell>
          <cell r="J292">
            <v>0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-848382.26</v>
          </cell>
          <cell r="F293">
            <v>-729576</v>
          </cell>
          <cell r="G293">
            <v>-118806.26</v>
          </cell>
          <cell r="H293">
            <v>-744677</v>
          </cell>
          <cell r="I293">
            <v>-744677</v>
          </cell>
          <cell r="J293">
            <v>0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-616735.75</v>
          </cell>
          <cell r="F294">
            <v>-667187.5</v>
          </cell>
          <cell r="G294">
            <v>50451.75</v>
          </cell>
          <cell r="H294">
            <v>-1143750</v>
          </cell>
          <cell r="I294">
            <v>-1143750</v>
          </cell>
          <cell r="J294">
            <v>0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-36331.22</v>
          </cell>
          <cell r="F299">
            <v>-274.05</v>
          </cell>
          <cell r="G299">
            <v>-36057.17</v>
          </cell>
          <cell r="H299">
            <v>-454.41</v>
          </cell>
          <cell r="I299">
            <v>-454.41</v>
          </cell>
          <cell r="J299">
            <v>0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32012.75</v>
          </cell>
          <cell r="G300">
            <v>-32012.75</v>
          </cell>
          <cell r="H300">
            <v>54879</v>
          </cell>
          <cell r="I300">
            <v>54879</v>
          </cell>
          <cell r="J300">
            <v>0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14582.89</v>
          </cell>
          <cell r="F303">
            <v>16855.830000000002</v>
          </cell>
          <cell r="G303">
            <v>-2272.94</v>
          </cell>
          <cell r="H303">
            <v>28424.9</v>
          </cell>
          <cell r="I303">
            <v>28424.9</v>
          </cell>
          <cell r="J303">
            <v>0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25986.69</v>
          </cell>
          <cell r="F305">
            <v>22067.23</v>
          </cell>
          <cell r="G305">
            <v>3919.46</v>
          </cell>
          <cell r="H305">
            <v>37959.879999999997</v>
          </cell>
          <cell r="I305">
            <v>37959.879999999997</v>
          </cell>
          <cell r="J305">
            <v>0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21191.89</v>
          </cell>
          <cell r="F306">
            <v>23104.89</v>
          </cell>
          <cell r="G306">
            <v>-1913</v>
          </cell>
          <cell r="H306">
            <v>43624.87</v>
          </cell>
          <cell r="I306">
            <v>43624.87</v>
          </cell>
          <cell r="J306">
            <v>0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39091.11</v>
          </cell>
          <cell r="F309">
            <v>38932.46</v>
          </cell>
          <cell r="G309">
            <v>158.650000000001</v>
          </cell>
          <cell r="H309">
            <v>68062.720000000001</v>
          </cell>
          <cell r="I309">
            <v>68062.720000000001</v>
          </cell>
          <cell r="J309">
            <v>0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30653</v>
          </cell>
          <cell r="F312">
            <v>28056.37</v>
          </cell>
          <cell r="G312">
            <v>2596.63</v>
          </cell>
          <cell r="H312">
            <v>52388.73</v>
          </cell>
          <cell r="I312">
            <v>52388.73</v>
          </cell>
          <cell r="J312">
            <v>0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36069.33</v>
          </cell>
          <cell r="F313">
            <v>40958.32</v>
          </cell>
          <cell r="G313">
            <v>-4888.99</v>
          </cell>
          <cell r="H313">
            <v>65694.600000000006</v>
          </cell>
          <cell r="I313">
            <v>65694.600000000006</v>
          </cell>
          <cell r="J313">
            <v>0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37493.050000000003</v>
          </cell>
          <cell r="F314">
            <v>42598.34</v>
          </cell>
          <cell r="G314">
            <v>-5105.28999999999</v>
          </cell>
          <cell r="H314">
            <v>74286.95</v>
          </cell>
          <cell r="I314">
            <v>74286.95</v>
          </cell>
          <cell r="J314">
            <v>0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25764.080000000002</v>
          </cell>
          <cell r="F315">
            <v>25764.06</v>
          </cell>
          <cell r="G315">
            <v>2.0000000000436599E-2</v>
          </cell>
          <cell r="H315">
            <v>44167</v>
          </cell>
          <cell r="I315">
            <v>44167</v>
          </cell>
          <cell r="J315">
            <v>0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4658.16</v>
          </cell>
          <cell r="F318">
            <v>7079.31</v>
          </cell>
          <cell r="G318">
            <v>-2421.15</v>
          </cell>
          <cell r="H318">
            <v>12136</v>
          </cell>
          <cell r="I318">
            <v>12136</v>
          </cell>
          <cell r="J318">
            <v>0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22382.75</v>
          </cell>
          <cell r="F319">
            <v>41091.480000000003</v>
          </cell>
          <cell r="G319">
            <v>-18708.73</v>
          </cell>
          <cell r="H319">
            <v>74913.8</v>
          </cell>
          <cell r="I319">
            <v>74913.8</v>
          </cell>
          <cell r="J319">
            <v>0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29470</v>
          </cell>
          <cell r="F320">
            <v>28200.69</v>
          </cell>
          <cell r="G320">
            <v>1269.31</v>
          </cell>
          <cell r="H320">
            <v>48344</v>
          </cell>
          <cell r="I320">
            <v>48344</v>
          </cell>
          <cell r="J320">
            <v>0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99043.46</v>
          </cell>
          <cell r="F322">
            <v>54667.02</v>
          </cell>
          <cell r="G322">
            <v>44376.44</v>
          </cell>
          <cell r="H322">
            <v>63000.33</v>
          </cell>
          <cell r="I322">
            <v>63000.33</v>
          </cell>
          <cell r="J322">
            <v>0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86094.75</v>
          </cell>
          <cell r="F323">
            <v>97234.06</v>
          </cell>
          <cell r="G323">
            <v>-11139.31</v>
          </cell>
          <cell r="H323">
            <v>166687</v>
          </cell>
          <cell r="I323">
            <v>166687</v>
          </cell>
          <cell r="J323">
            <v>0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173172.93</v>
          </cell>
          <cell r="F325">
            <v>167150.62</v>
          </cell>
          <cell r="G325">
            <v>6022.31</v>
          </cell>
          <cell r="H325">
            <v>286544</v>
          </cell>
          <cell r="I325">
            <v>286544</v>
          </cell>
          <cell r="J325">
            <v>0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226.9</v>
          </cell>
          <cell r="F327">
            <v>0</v>
          </cell>
          <cell r="G327">
            <v>226.9</v>
          </cell>
          <cell r="H327">
            <v>59.73</v>
          </cell>
          <cell r="I327">
            <v>59.73</v>
          </cell>
          <cell r="J327">
            <v>0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5308.5</v>
          </cell>
          <cell r="F330">
            <v>0</v>
          </cell>
          <cell r="G330">
            <v>5308.5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1255.42</v>
          </cell>
          <cell r="F333">
            <v>11960.88</v>
          </cell>
          <cell r="G333">
            <v>-10705.46</v>
          </cell>
          <cell r="H333">
            <v>20930.95</v>
          </cell>
          <cell r="I333">
            <v>20930.95</v>
          </cell>
          <cell r="J333">
            <v>0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5340.76</v>
          </cell>
          <cell r="F340">
            <v>20916.25</v>
          </cell>
          <cell r="G340">
            <v>-15575.49</v>
          </cell>
          <cell r="H340">
            <v>37763.5</v>
          </cell>
          <cell r="I340">
            <v>37763.5</v>
          </cell>
          <cell r="J340">
            <v>0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-33946</v>
          </cell>
          <cell r="J342">
            <v>0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14781.72</v>
          </cell>
          <cell r="F346">
            <v>513.28</v>
          </cell>
          <cell r="G346">
            <v>14268.44</v>
          </cell>
          <cell r="H346">
            <v>1028.28</v>
          </cell>
          <cell r="I346">
            <v>1028.28</v>
          </cell>
          <cell r="J346">
            <v>0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-675</v>
          </cell>
          <cell r="F347">
            <v>0</v>
          </cell>
          <cell r="G347">
            <v>-675</v>
          </cell>
          <cell r="H347">
            <v>5089.59</v>
          </cell>
          <cell r="I347">
            <v>5089.59</v>
          </cell>
          <cell r="J347">
            <v>0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206</v>
          </cell>
          <cell r="J349">
            <v>0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11032.89</v>
          </cell>
          <cell r="F351">
            <v>40577.980000000003</v>
          </cell>
          <cell r="G351">
            <v>-29545.09</v>
          </cell>
          <cell r="H351">
            <v>72269.3</v>
          </cell>
          <cell r="I351">
            <v>72269.3</v>
          </cell>
          <cell r="J351">
            <v>0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2855</v>
          </cell>
          <cell r="F352">
            <v>0</v>
          </cell>
          <cell r="G352">
            <v>2855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2855</v>
          </cell>
          <cell r="F353">
            <v>0</v>
          </cell>
          <cell r="G353">
            <v>2855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16516.53</v>
          </cell>
          <cell r="F363">
            <v>27442</v>
          </cell>
          <cell r="G363">
            <v>-10925.47</v>
          </cell>
          <cell r="H363">
            <v>54884</v>
          </cell>
          <cell r="I363">
            <v>54884</v>
          </cell>
          <cell r="J363">
            <v>0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398301</v>
          </cell>
          <cell r="G372">
            <v>-398301</v>
          </cell>
          <cell r="H372">
            <v>407051</v>
          </cell>
          <cell r="I372">
            <v>407051</v>
          </cell>
          <cell r="J372">
            <v>0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968.48</v>
          </cell>
          <cell r="G379">
            <v>-968.48</v>
          </cell>
          <cell r="H379">
            <v>2294.64</v>
          </cell>
          <cell r="I379">
            <v>2294.64</v>
          </cell>
          <cell r="J379">
            <v>0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371421.86</v>
          </cell>
          <cell r="G384">
            <v>-371421.86</v>
          </cell>
          <cell r="H384">
            <v>641254.89</v>
          </cell>
          <cell r="I384">
            <v>641254.89</v>
          </cell>
          <cell r="J384">
            <v>0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6226041010</v>
          </cell>
          <cell r="B386">
            <v>62260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6226041040</v>
          </cell>
          <cell r="B387">
            <v>62260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6226041050</v>
          </cell>
          <cell r="B388">
            <v>62260</v>
          </cell>
          <cell r="C388">
            <v>41050</v>
          </cell>
          <cell r="D388" t="str">
            <v>Rental Income - Fixed</v>
          </cell>
          <cell r="E388">
            <v>-1586632.44</v>
          </cell>
          <cell r="F388">
            <v>-1586442.36</v>
          </cell>
          <cell r="G388">
            <v>-190.07999999984199</v>
          </cell>
          <cell r="H388">
            <v>-2732224.88</v>
          </cell>
          <cell r="I388">
            <v>-2732224.88</v>
          </cell>
          <cell r="J388">
            <v>0</v>
          </cell>
        </row>
        <row r="389">
          <cell r="A389" t="str">
            <v>6226041074</v>
          </cell>
          <cell r="B389">
            <v>62260</v>
          </cell>
          <cell r="C389">
            <v>41074</v>
          </cell>
          <cell r="D389" t="str">
            <v>Rental Income - Percentage</v>
          </cell>
          <cell r="E389">
            <v>-2315.42</v>
          </cell>
          <cell r="F389">
            <v>0</v>
          </cell>
          <cell r="G389">
            <v>-2315.42</v>
          </cell>
          <cell r="H389">
            <v>0</v>
          </cell>
          <cell r="I389">
            <v>0</v>
          </cell>
          <cell r="J389">
            <v>0</v>
          </cell>
        </row>
        <row r="390">
          <cell r="A390" t="str">
            <v>6226041082</v>
          </cell>
          <cell r="B390">
            <v>62260</v>
          </cell>
          <cell r="C390">
            <v>41082</v>
          </cell>
          <cell r="D390" t="str">
            <v>Rental Income - Operating Exp</v>
          </cell>
          <cell r="E390">
            <v>-381005.79</v>
          </cell>
          <cell r="F390">
            <v>-436729.3</v>
          </cell>
          <cell r="G390">
            <v>55723.51</v>
          </cell>
          <cell r="H390">
            <v>-748678.8</v>
          </cell>
          <cell r="I390">
            <v>-748678.8</v>
          </cell>
          <cell r="J390">
            <v>0</v>
          </cell>
        </row>
        <row r="391">
          <cell r="A391" t="str">
            <v>6226044610</v>
          </cell>
          <cell r="B391">
            <v>62260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6226045071</v>
          </cell>
          <cell r="B392">
            <v>62260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6226045010</v>
          </cell>
          <cell r="B393">
            <v>62260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6226045046</v>
          </cell>
          <cell r="B394">
            <v>62260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6226045070</v>
          </cell>
          <cell r="B395">
            <v>62260</v>
          </cell>
          <cell r="C395">
            <v>45070</v>
          </cell>
          <cell r="D395" t="str">
            <v>Other Income</v>
          </cell>
          <cell r="E395">
            <v>1624</v>
          </cell>
          <cell r="F395">
            <v>0</v>
          </cell>
          <cell r="G395">
            <v>1624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6226041060</v>
          </cell>
          <cell r="B396">
            <v>62260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20304.060000000001</v>
          </cell>
          <cell r="G396">
            <v>-20304.060000000001</v>
          </cell>
          <cell r="H396">
            <v>34807</v>
          </cell>
          <cell r="I396">
            <v>34807</v>
          </cell>
          <cell r="J396">
            <v>0</v>
          </cell>
        </row>
        <row r="397">
          <cell r="A397" t="str">
            <v>6226044870</v>
          </cell>
          <cell r="B397">
            <v>62260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6226052542</v>
          </cell>
          <cell r="B398">
            <v>62260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6226072710</v>
          </cell>
          <cell r="B399">
            <v>62260</v>
          </cell>
          <cell r="C399">
            <v>72710</v>
          </cell>
          <cell r="D399" t="str">
            <v>Utilities - Electricity</v>
          </cell>
          <cell r="E399">
            <v>13426.34</v>
          </cell>
          <cell r="F399">
            <v>13704.29</v>
          </cell>
          <cell r="G399">
            <v>-277.95000000000101</v>
          </cell>
          <cell r="H399">
            <v>24494.6</v>
          </cell>
          <cell r="I399">
            <v>24494.6</v>
          </cell>
          <cell r="J399">
            <v>0</v>
          </cell>
        </row>
        <row r="400">
          <cell r="A400" t="str">
            <v>6226072740</v>
          </cell>
          <cell r="B400">
            <v>62260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6226072770</v>
          </cell>
          <cell r="B401">
            <v>62260</v>
          </cell>
          <cell r="C401">
            <v>72770</v>
          </cell>
          <cell r="D401" t="str">
            <v>Utilities - Water</v>
          </cell>
          <cell r="E401">
            <v>9203.9699999999993</v>
          </cell>
          <cell r="F401">
            <v>7390.69</v>
          </cell>
          <cell r="G401">
            <v>1813.28</v>
          </cell>
          <cell r="H401">
            <v>14244.5</v>
          </cell>
          <cell r="I401">
            <v>14244.5</v>
          </cell>
          <cell r="J401">
            <v>0</v>
          </cell>
        </row>
        <row r="402">
          <cell r="A402" t="str">
            <v>6226076000</v>
          </cell>
          <cell r="B402">
            <v>62260</v>
          </cell>
          <cell r="C402">
            <v>76000</v>
          </cell>
          <cell r="D402" t="str">
            <v>Bldg Maintenance &amp; Repair</v>
          </cell>
          <cell r="E402">
            <v>27656.85</v>
          </cell>
          <cell r="F402">
            <v>28839.58</v>
          </cell>
          <cell r="G402">
            <v>-1182.73</v>
          </cell>
          <cell r="H402">
            <v>51753.04</v>
          </cell>
          <cell r="I402">
            <v>51753.04</v>
          </cell>
          <cell r="J402">
            <v>0</v>
          </cell>
        </row>
        <row r="403">
          <cell r="A403" t="str">
            <v>6226076020</v>
          </cell>
          <cell r="B403">
            <v>62260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6226076034</v>
          </cell>
          <cell r="B404">
            <v>62260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6226076050</v>
          </cell>
          <cell r="B405">
            <v>62260</v>
          </cell>
          <cell r="C405">
            <v>76050</v>
          </cell>
          <cell r="D405" t="str">
            <v>Cleaning Expense</v>
          </cell>
          <cell r="E405">
            <v>56687.09</v>
          </cell>
          <cell r="F405">
            <v>58344.04</v>
          </cell>
          <cell r="G405">
            <v>-1656.95</v>
          </cell>
          <cell r="H405">
            <v>98091.58</v>
          </cell>
          <cell r="I405">
            <v>98091.58</v>
          </cell>
          <cell r="J405">
            <v>0</v>
          </cell>
        </row>
        <row r="406">
          <cell r="A406" t="str">
            <v>6226076056</v>
          </cell>
          <cell r="B406">
            <v>62260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6226076070</v>
          </cell>
          <cell r="B407">
            <v>62260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6226076091</v>
          </cell>
          <cell r="B408">
            <v>62260</v>
          </cell>
          <cell r="C408">
            <v>76091</v>
          </cell>
          <cell r="D408" t="str">
            <v>Parking Maintenance</v>
          </cell>
          <cell r="E408">
            <v>30078.6</v>
          </cell>
          <cell r="F408">
            <v>29313.74</v>
          </cell>
          <cell r="G408">
            <v>764.85999999999694</v>
          </cell>
          <cell r="H408">
            <v>56086.86</v>
          </cell>
          <cell r="I408">
            <v>56086.86</v>
          </cell>
          <cell r="J408">
            <v>0</v>
          </cell>
        </row>
        <row r="409">
          <cell r="A409" t="str">
            <v>6226077000</v>
          </cell>
          <cell r="B409">
            <v>62260</v>
          </cell>
          <cell r="C409">
            <v>77000</v>
          </cell>
          <cell r="D409" t="str">
            <v>Grounds Maintenance</v>
          </cell>
          <cell r="E409">
            <v>24688.15</v>
          </cell>
          <cell r="F409">
            <v>41894.050000000003</v>
          </cell>
          <cell r="G409">
            <v>-17205.900000000001</v>
          </cell>
          <cell r="H409">
            <v>56614.26</v>
          </cell>
          <cell r="I409">
            <v>56614.26</v>
          </cell>
          <cell r="J409">
            <v>0</v>
          </cell>
        </row>
        <row r="410">
          <cell r="A410" t="str">
            <v>6226077053</v>
          </cell>
          <cell r="B410">
            <v>62260</v>
          </cell>
          <cell r="C410">
            <v>77053</v>
          </cell>
          <cell r="D410" t="str">
            <v>Landscaping</v>
          </cell>
          <cell r="E410">
            <v>33980.5</v>
          </cell>
          <cell r="F410">
            <v>38817.42</v>
          </cell>
          <cell r="G410">
            <v>-4836.92</v>
          </cell>
          <cell r="H410">
            <v>59158.53</v>
          </cell>
          <cell r="I410">
            <v>59158.53</v>
          </cell>
          <cell r="J410">
            <v>0</v>
          </cell>
        </row>
        <row r="411">
          <cell r="A411" t="str">
            <v>6226078020</v>
          </cell>
          <cell r="B411">
            <v>62260</v>
          </cell>
          <cell r="C411">
            <v>78020</v>
          </cell>
          <cell r="D411" t="str">
            <v>Amortized CAM Exp</v>
          </cell>
          <cell r="E411">
            <v>29409.49</v>
          </cell>
          <cell r="F411">
            <v>29409.94</v>
          </cell>
          <cell r="G411">
            <v>-0.44999999999709001</v>
          </cell>
          <cell r="H411">
            <v>50417</v>
          </cell>
          <cell r="I411">
            <v>50417</v>
          </cell>
          <cell r="J411">
            <v>0</v>
          </cell>
        </row>
        <row r="412">
          <cell r="A412" t="str">
            <v>6226084264</v>
          </cell>
          <cell r="B412">
            <v>62260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6226085555</v>
          </cell>
          <cell r="B413">
            <v>62260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6226085584</v>
          </cell>
          <cell r="B414">
            <v>62260</v>
          </cell>
          <cell r="C414">
            <v>85584</v>
          </cell>
          <cell r="D414" t="str">
            <v>Bldg Admin-Office Costs</v>
          </cell>
          <cell r="E414">
            <v>4309.49</v>
          </cell>
          <cell r="F414">
            <v>6532.19</v>
          </cell>
          <cell r="G414">
            <v>-2222.6999999999998</v>
          </cell>
          <cell r="H414">
            <v>11198</v>
          </cell>
          <cell r="I414">
            <v>11198</v>
          </cell>
          <cell r="J414">
            <v>0</v>
          </cell>
        </row>
        <row r="415">
          <cell r="A415" t="str">
            <v>6226085582</v>
          </cell>
          <cell r="B415">
            <v>62260</v>
          </cell>
          <cell r="C415">
            <v>85582</v>
          </cell>
          <cell r="D415" t="str">
            <v>Bldg Admin-Salaries</v>
          </cell>
          <cell r="E415">
            <v>19727.169999999998</v>
          </cell>
          <cell r="F415">
            <v>32990.5</v>
          </cell>
          <cell r="G415">
            <v>-13263.33</v>
          </cell>
          <cell r="H415">
            <v>60039.5</v>
          </cell>
          <cell r="I415">
            <v>60039.5</v>
          </cell>
          <cell r="J415">
            <v>0</v>
          </cell>
        </row>
        <row r="416">
          <cell r="A416" t="str">
            <v>6226086564</v>
          </cell>
          <cell r="B416">
            <v>62260</v>
          </cell>
          <cell r="C416">
            <v>86564</v>
          </cell>
          <cell r="D416" t="str">
            <v>Insurance</v>
          </cell>
          <cell r="E416">
            <v>22771</v>
          </cell>
          <cell r="F416">
            <v>22972.81</v>
          </cell>
          <cell r="G416">
            <v>-201.810000000001</v>
          </cell>
          <cell r="H416">
            <v>39382</v>
          </cell>
          <cell r="I416">
            <v>39382</v>
          </cell>
          <cell r="J416">
            <v>0</v>
          </cell>
        </row>
        <row r="417">
          <cell r="A417" t="str">
            <v>6226088846</v>
          </cell>
          <cell r="B417">
            <v>62260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6226088890</v>
          </cell>
          <cell r="B418">
            <v>62260</v>
          </cell>
          <cell r="C418">
            <v>88890</v>
          </cell>
          <cell r="D418" t="str">
            <v>Security/Safety</v>
          </cell>
          <cell r="E418">
            <v>12956.72</v>
          </cell>
          <cell r="F418">
            <v>8484.0400000000009</v>
          </cell>
          <cell r="G418">
            <v>4472.68</v>
          </cell>
          <cell r="H418">
            <v>16543.77</v>
          </cell>
          <cell r="I418">
            <v>16543.77</v>
          </cell>
          <cell r="J418">
            <v>0</v>
          </cell>
        </row>
        <row r="419">
          <cell r="A419" t="str">
            <v>6226089775</v>
          </cell>
          <cell r="B419">
            <v>62260</v>
          </cell>
          <cell r="C419">
            <v>89775</v>
          </cell>
          <cell r="D419" t="str">
            <v>Assmt Dist Taxes- Reimb</v>
          </cell>
          <cell r="E419">
            <v>21582.19</v>
          </cell>
          <cell r="F419">
            <v>28776.44</v>
          </cell>
          <cell r="G419">
            <v>-7194.25</v>
          </cell>
          <cell r="H419">
            <v>49331</v>
          </cell>
          <cell r="I419">
            <v>49331</v>
          </cell>
          <cell r="J419">
            <v>0</v>
          </cell>
        </row>
        <row r="420">
          <cell r="A420" t="str">
            <v>6226089729</v>
          </cell>
          <cell r="B420">
            <v>62260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6226089786</v>
          </cell>
          <cell r="B421">
            <v>62260</v>
          </cell>
          <cell r="C421">
            <v>89786</v>
          </cell>
          <cell r="D421" t="str">
            <v>Property Tax Exp</v>
          </cell>
          <cell r="E421">
            <v>68052.25</v>
          </cell>
          <cell r="F421">
            <v>68609.38</v>
          </cell>
          <cell r="G421">
            <v>-557.130000000005</v>
          </cell>
          <cell r="H421">
            <v>117616</v>
          </cell>
          <cell r="I421">
            <v>117616</v>
          </cell>
          <cell r="J421">
            <v>0</v>
          </cell>
        </row>
        <row r="422">
          <cell r="A422" t="str">
            <v>6226071040</v>
          </cell>
          <cell r="B422">
            <v>62260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6226072701</v>
          </cell>
          <cell r="B423">
            <v>62260</v>
          </cell>
          <cell r="C423">
            <v>72701</v>
          </cell>
          <cell r="D423" t="str">
            <v>Utilities</v>
          </cell>
          <cell r="E423">
            <v>0</v>
          </cell>
          <cell r="F423">
            <v>0</v>
          </cell>
          <cell r="G423">
            <v>0</v>
          </cell>
          <cell r="H423">
            <v>123.6</v>
          </cell>
          <cell r="I423">
            <v>123.6</v>
          </cell>
          <cell r="J423">
            <v>0</v>
          </cell>
        </row>
        <row r="424">
          <cell r="A424" t="str">
            <v>6226072855</v>
          </cell>
          <cell r="B424">
            <v>62260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6226072870</v>
          </cell>
          <cell r="B425">
            <v>62260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6226076010</v>
          </cell>
          <cell r="B426">
            <v>62260</v>
          </cell>
          <cell r="C426">
            <v>76010</v>
          </cell>
          <cell r="D426" t="str">
            <v>Tenant Alterations</v>
          </cell>
          <cell r="E426">
            <v>105.12</v>
          </cell>
          <cell r="F426">
            <v>0</v>
          </cell>
          <cell r="G426">
            <v>105.12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6226076040</v>
          </cell>
          <cell r="B427">
            <v>62260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6226076051</v>
          </cell>
          <cell r="B428">
            <v>62260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6226076054</v>
          </cell>
          <cell r="B429">
            <v>62260</v>
          </cell>
          <cell r="C429">
            <v>76054</v>
          </cell>
          <cell r="D429" t="str">
            <v>Bldg Maintenance &amp; Repair</v>
          </cell>
          <cell r="E429">
            <v>1678.03</v>
          </cell>
          <cell r="F429">
            <v>7782.86</v>
          </cell>
          <cell r="G429">
            <v>-6104.83</v>
          </cell>
          <cell r="H429">
            <v>10497.31</v>
          </cell>
          <cell r="I429">
            <v>10497.31</v>
          </cell>
          <cell r="J429">
            <v>0</v>
          </cell>
        </row>
        <row r="430">
          <cell r="A430" t="str">
            <v>6226076060</v>
          </cell>
          <cell r="B430">
            <v>62260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6226076071</v>
          </cell>
          <cell r="B431">
            <v>62260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6226076090</v>
          </cell>
          <cell r="B432">
            <v>62260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6226077001</v>
          </cell>
          <cell r="B433">
            <v>62260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6226077022</v>
          </cell>
          <cell r="B434">
            <v>62260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6226084200</v>
          </cell>
          <cell r="B435">
            <v>62260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6226084240</v>
          </cell>
          <cell r="B436">
            <v>62260</v>
          </cell>
          <cell r="C436">
            <v>84240</v>
          </cell>
          <cell r="D436" t="str">
            <v>Marketing Leasing</v>
          </cell>
          <cell r="E436">
            <v>18.100000000000001</v>
          </cell>
          <cell r="F436">
            <v>1558.06</v>
          </cell>
          <cell r="G436">
            <v>-1539.96</v>
          </cell>
          <cell r="H436">
            <v>2671</v>
          </cell>
          <cell r="I436">
            <v>2671</v>
          </cell>
          <cell r="J436">
            <v>0</v>
          </cell>
        </row>
        <row r="437">
          <cell r="A437" t="str">
            <v>6226084242</v>
          </cell>
          <cell r="B437">
            <v>62260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6226084243</v>
          </cell>
          <cell r="B438">
            <v>62260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6226084244</v>
          </cell>
          <cell r="B439">
            <v>62260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6226084265</v>
          </cell>
          <cell r="B440">
            <v>62260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6226088037</v>
          </cell>
          <cell r="B441">
            <v>62260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6226085016</v>
          </cell>
          <cell r="B442">
            <v>62260</v>
          </cell>
          <cell r="C442">
            <v>85016</v>
          </cell>
          <cell r="D442" t="str">
            <v>Prof Svc-Attorney Outside</v>
          </cell>
          <cell r="E442">
            <v>3521.58</v>
          </cell>
          <cell r="F442">
            <v>0</v>
          </cell>
          <cell r="G442">
            <v>3521.58</v>
          </cell>
          <cell r="H442">
            <v>2121.8000000000002</v>
          </cell>
          <cell r="I442">
            <v>2121.8000000000002</v>
          </cell>
          <cell r="J442">
            <v>0</v>
          </cell>
        </row>
        <row r="443">
          <cell r="A443" t="str">
            <v>6226085022</v>
          </cell>
          <cell r="B443">
            <v>62260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1675.14</v>
          </cell>
          <cell r="I443">
            <v>1675.14</v>
          </cell>
          <cell r="J443">
            <v>0</v>
          </cell>
        </row>
        <row r="444">
          <cell r="A444" t="str">
            <v>6226085065</v>
          </cell>
          <cell r="B444">
            <v>62260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6226085500</v>
          </cell>
          <cell r="B445">
            <v>62260</v>
          </cell>
          <cell r="C445">
            <v>85500</v>
          </cell>
          <cell r="D445" t="str">
            <v>Consulting Services</v>
          </cell>
          <cell r="E445">
            <v>50</v>
          </cell>
          <cell r="F445">
            <v>1742.76</v>
          </cell>
          <cell r="G445">
            <v>-1692.76</v>
          </cell>
          <cell r="H445">
            <v>3802.76</v>
          </cell>
          <cell r="I445">
            <v>3802.76</v>
          </cell>
          <cell r="J445">
            <v>0</v>
          </cell>
        </row>
        <row r="446">
          <cell r="A446" t="str">
            <v>6226085566</v>
          </cell>
          <cell r="B446">
            <v>62260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6226085581</v>
          </cell>
          <cell r="B447">
            <v>62260</v>
          </cell>
          <cell r="C447">
            <v>85581</v>
          </cell>
          <cell r="D447" t="str">
            <v>Bldg Admin- Salaries</v>
          </cell>
          <cell r="E447">
            <v>15090.31</v>
          </cell>
          <cell r="F447">
            <v>32473.5</v>
          </cell>
          <cell r="G447">
            <v>-17383.189999999999</v>
          </cell>
          <cell r="H447">
            <v>58005.5</v>
          </cell>
          <cell r="I447">
            <v>58005.5</v>
          </cell>
          <cell r="J447">
            <v>0</v>
          </cell>
        </row>
        <row r="448">
          <cell r="A448" t="str">
            <v>6226085583</v>
          </cell>
          <cell r="B448">
            <v>62260</v>
          </cell>
          <cell r="C448">
            <v>85583</v>
          </cell>
          <cell r="D448" t="str">
            <v>Bldg Admin-Office Exp.</v>
          </cell>
          <cell r="E448">
            <v>2415.5700000000002</v>
          </cell>
          <cell r="F448">
            <v>0</v>
          </cell>
          <cell r="G448">
            <v>2415.5700000000002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6226085530</v>
          </cell>
          <cell r="B449">
            <v>62260</v>
          </cell>
          <cell r="C449">
            <v>85530</v>
          </cell>
          <cell r="D449" t="str">
            <v>Bldg Admin - Office Exp</v>
          </cell>
          <cell r="E449">
            <v>2415.5700000000002</v>
          </cell>
          <cell r="F449">
            <v>0</v>
          </cell>
          <cell r="G449">
            <v>2415.5700000000002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6226086012</v>
          </cell>
          <cell r="B450">
            <v>62260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6226086037</v>
          </cell>
          <cell r="B451">
            <v>62260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6226083050</v>
          </cell>
          <cell r="B452">
            <v>62260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6226086510</v>
          </cell>
          <cell r="B453">
            <v>62260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6226086537</v>
          </cell>
          <cell r="B454">
            <v>62260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6226086566</v>
          </cell>
          <cell r="B455">
            <v>62260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6226086955</v>
          </cell>
          <cell r="B456">
            <v>62260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6226086985</v>
          </cell>
          <cell r="B457">
            <v>62260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6226086880</v>
          </cell>
          <cell r="B458">
            <v>62260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6226088710</v>
          </cell>
          <cell r="B459">
            <v>62260</v>
          </cell>
          <cell r="C459">
            <v>88710</v>
          </cell>
          <cell r="D459" t="str">
            <v>Losses-Bad Debts</v>
          </cell>
          <cell r="E459">
            <v>34894.730000000003</v>
          </cell>
          <cell r="F459">
            <v>17404.400000000001</v>
          </cell>
          <cell r="G459">
            <v>17490.330000000002</v>
          </cell>
          <cell r="H459">
            <v>34808.639999999999</v>
          </cell>
          <cell r="I459">
            <v>34808.639999999999</v>
          </cell>
          <cell r="J459">
            <v>0</v>
          </cell>
        </row>
        <row r="460">
          <cell r="A460" t="str">
            <v>6226088711</v>
          </cell>
          <cell r="B460">
            <v>62260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6226088785</v>
          </cell>
          <cell r="B461">
            <v>62260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6226088847</v>
          </cell>
          <cell r="B462">
            <v>62260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6226088866</v>
          </cell>
          <cell r="B463">
            <v>62260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6226088870</v>
          </cell>
          <cell r="B464">
            <v>62260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6226088889</v>
          </cell>
          <cell r="B465">
            <v>62260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6226089776</v>
          </cell>
          <cell r="B466">
            <v>62260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6226089787</v>
          </cell>
          <cell r="B467">
            <v>62260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6226089510</v>
          </cell>
          <cell r="B468">
            <v>62260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6226089511</v>
          </cell>
          <cell r="B469">
            <v>62260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6226089512</v>
          </cell>
          <cell r="B470">
            <v>62260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6226089528</v>
          </cell>
          <cell r="B471">
            <v>62260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6226089529</v>
          </cell>
          <cell r="B472">
            <v>62260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6226089567</v>
          </cell>
          <cell r="B473">
            <v>62260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6226085058</v>
          </cell>
          <cell r="B474">
            <v>62260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6226086513</v>
          </cell>
          <cell r="B475">
            <v>62260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46.38</v>
          </cell>
          <cell r="G475">
            <v>-46.38</v>
          </cell>
          <cell r="H475">
            <v>292.10000000000002</v>
          </cell>
          <cell r="I475">
            <v>292.10000000000002</v>
          </cell>
          <cell r="J475">
            <v>0</v>
          </cell>
        </row>
        <row r="476">
          <cell r="A476" t="str">
            <v>6226086519</v>
          </cell>
          <cell r="B476">
            <v>62260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6226088770</v>
          </cell>
          <cell r="B477">
            <v>62260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6226088862</v>
          </cell>
          <cell r="B478">
            <v>62260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6226088874</v>
          </cell>
          <cell r="B479">
            <v>62260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6226089910</v>
          </cell>
          <cell r="B480">
            <v>62260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165201.64000000001</v>
          </cell>
          <cell r="G480">
            <v>-165201.64000000001</v>
          </cell>
          <cell r="H480">
            <v>283546.27</v>
          </cell>
          <cell r="I480">
            <v>283546.27</v>
          </cell>
          <cell r="J480">
            <v>0</v>
          </cell>
        </row>
        <row r="481">
          <cell r="A481" t="str">
            <v>6226089548</v>
          </cell>
          <cell r="B481">
            <v>62260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6226141010</v>
          </cell>
          <cell r="B482">
            <v>62261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6226141040</v>
          </cell>
          <cell r="B483">
            <v>62261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6226141050</v>
          </cell>
          <cell r="B484">
            <v>62261</v>
          </cell>
          <cell r="C484">
            <v>41050</v>
          </cell>
          <cell r="D484" t="str">
            <v>Rental Income - Fixed</v>
          </cell>
          <cell r="E484">
            <v>-304830.33</v>
          </cell>
          <cell r="F484">
            <v>-304830.33</v>
          </cell>
          <cell r="G484">
            <v>0</v>
          </cell>
          <cell r="H484">
            <v>-522566.28</v>
          </cell>
          <cell r="I484">
            <v>-522566.28</v>
          </cell>
          <cell r="J484">
            <v>0</v>
          </cell>
        </row>
        <row r="485">
          <cell r="A485" t="str">
            <v>6226141074</v>
          </cell>
          <cell r="B485">
            <v>62261</v>
          </cell>
          <cell r="C485">
            <v>41074</v>
          </cell>
          <cell r="D485" t="str">
            <v>Rental Income - Percentage</v>
          </cell>
          <cell r="E485">
            <v>-6396</v>
          </cell>
          <cell r="F485">
            <v>0</v>
          </cell>
          <cell r="G485">
            <v>-6396</v>
          </cell>
          <cell r="H485">
            <v>0</v>
          </cell>
          <cell r="I485">
            <v>0</v>
          </cell>
          <cell r="J485">
            <v>0</v>
          </cell>
        </row>
        <row r="486">
          <cell r="A486" t="str">
            <v>6226141082</v>
          </cell>
          <cell r="B486">
            <v>62261</v>
          </cell>
          <cell r="C486">
            <v>41082</v>
          </cell>
          <cell r="D486" t="str">
            <v>Rental Income - Operating Exp</v>
          </cell>
          <cell r="E486">
            <v>-100481.53</v>
          </cell>
          <cell r="F486">
            <v>-92523.69</v>
          </cell>
          <cell r="G486">
            <v>-7957.84</v>
          </cell>
          <cell r="H486">
            <v>-158612.04</v>
          </cell>
          <cell r="I486">
            <v>-158612.04</v>
          </cell>
          <cell r="J486">
            <v>0</v>
          </cell>
        </row>
        <row r="487">
          <cell r="A487" t="str">
            <v>6226144610</v>
          </cell>
          <cell r="B487">
            <v>62261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6226145071</v>
          </cell>
          <cell r="B488">
            <v>62261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6226145010</v>
          </cell>
          <cell r="B489">
            <v>62261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6226145046</v>
          </cell>
          <cell r="B490">
            <v>62261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6226145070</v>
          </cell>
          <cell r="B491">
            <v>62261</v>
          </cell>
          <cell r="C491">
            <v>45070</v>
          </cell>
          <cell r="D491" t="str">
            <v>Other Income</v>
          </cell>
          <cell r="E491">
            <v>-169518.83</v>
          </cell>
          <cell r="F491">
            <v>0</v>
          </cell>
          <cell r="G491">
            <v>-169518.83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6226141060</v>
          </cell>
          <cell r="B492">
            <v>62261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6226144870</v>
          </cell>
          <cell r="B493">
            <v>62261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6226152542</v>
          </cell>
          <cell r="B494">
            <v>62261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6226172710</v>
          </cell>
          <cell r="B495">
            <v>62261</v>
          </cell>
          <cell r="C495">
            <v>72710</v>
          </cell>
          <cell r="D495" t="str">
            <v>Utilities - Electricity</v>
          </cell>
          <cell r="E495">
            <v>1342.82</v>
          </cell>
          <cell r="F495">
            <v>1243.58</v>
          </cell>
          <cell r="G495">
            <v>99.24</v>
          </cell>
          <cell r="H495">
            <v>2592</v>
          </cell>
          <cell r="I495">
            <v>2592</v>
          </cell>
          <cell r="J495">
            <v>0</v>
          </cell>
        </row>
        <row r="496">
          <cell r="A496" t="str">
            <v>6226172740</v>
          </cell>
          <cell r="B496">
            <v>62261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6226172770</v>
          </cell>
          <cell r="B497">
            <v>62261</v>
          </cell>
          <cell r="C497">
            <v>72770</v>
          </cell>
          <cell r="D497" t="str">
            <v>Utilities - Water</v>
          </cell>
          <cell r="E497">
            <v>1421.47</v>
          </cell>
          <cell r="F497">
            <v>292.97000000000003</v>
          </cell>
          <cell r="G497">
            <v>1128.5</v>
          </cell>
          <cell r="H497">
            <v>1865.29</v>
          </cell>
          <cell r="I497">
            <v>1865.29</v>
          </cell>
          <cell r="J497">
            <v>0</v>
          </cell>
        </row>
        <row r="498">
          <cell r="A498" t="str">
            <v>6226176000</v>
          </cell>
          <cell r="B498">
            <v>62261</v>
          </cell>
          <cell r="C498">
            <v>76000</v>
          </cell>
          <cell r="D498" t="str">
            <v>Bldg Maintenance &amp; Repair</v>
          </cell>
          <cell r="E498">
            <v>575.37</v>
          </cell>
          <cell r="F498">
            <v>1275.8</v>
          </cell>
          <cell r="G498">
            <v>-700.43</v>
          </cell>
          <cell r="H498">
            <v>2413.15</v>
          </cell>
          <cell r="I498">
            <v>2413.15</v>
          </cell>
          <cell r="J498">
            <v>0</v>
          </cell>
        </row>
        <row r="499">
          <cell r="A499" t="str">
            <v>6226176020</v>
          </cell>
          <cell r="B499">
            <v>62261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6226176034</v>
          </cell>
          <cell r="B500">
            <v>62261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6226176050</v>
          </cell>
          <cell r="B501">
            <v>62261</v>
          </cell>
          <cell r="C501">
            <v>76050</v>
          </cell>
          <cell r="D501" t="str">
            <v>Cleaning Expense</v>
          </cell>
          <cell r="E501">
            <v>80</v>
          </cell>
          <cell r="F501">
            <v>655.20000000000005</v>
          </cell>
          <cell r="G501">
            <v>-575.20000000000005</v>
          </cell>
          <cell r="H501">
            <v>655.20000000000005</v>
          </cell>
          <cell r="I501">
            <v>655.20000000000005</v>
          </cell>
          <cell r="J501">
            <v>0</v>
          </cell>
        </row>
        <row r="502">
          <cell r="A502" t="str">
            <v>6226176056</v>
          </cell>
          <cell r="B502">
            <v>62261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6226176070</v>
          </cell>
          <cell r="B503">
            <v>62261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6226176091</v>
          </cell>
          <cell r="B504">
            <v>62261</v>
          </cell>
          <cell r="C504">
            <v>76091</v>
          </cell>
          <cell r="D504" t="str">
            <v>Parking Maintenance</v>
          </cell>
          <cell r="E504">
            <v>5090.25</v>
          </cell>
          <cell r="F504">
            <v>11871.94</v>
          </cell>
          <cell r="G504">
            <v>-6781.69</v>
          </cell>
          <cell r="H504">
            <v>19139.62</v>
          </cell>
          <cell r="I504">
            <v>19139.62</v>
          </cell>
          <cell r="J504">
            <v>0</v>
          </cell>
        </row>
        <row r="505">
          <cell r="A505" t="str">
            <v>6226177000</v>
          </cell>
          <cell r="B505">
            <v>62261</v>
          </cell>
          <cell r="C505">
            <v>77000</v>
          </cell>
          <cell r="D505" t="str">
            <v>Grounds Maintenance</v>
          </cell>
          <cell r="E505">
            <v>9420.75</v>
          </cell>
          <cell r="F505">
            <v>12575.69</v>
          </cell>
          <cell r="G505">
            <v>-3154.94</v>
          </cell>
          <cell r="H505">
            <v>14304.24</v>
          </cell>
          <cell r="I505">
            <v>14304.24</v>
          </cell>
          <cell r="J505">
            <v>0</v>
          </cell>
        </row>
        <row r="506">
          <cell r="A506" t="str">
            <v>6226177053</v>
          </cell>
          <cell r="B506">
            <v>62261</v>
          </cell>
          <cell r="C506">
            <v>77053</v>
          </cell>
          <cell r="D506" t="str">
            <v>Landscaping</v>
          </cell>
          <cell r="E506">
            <v>12525.28</v>
          </cell>
          <cell r="F506">
            <v>13086.05</v>
          </cell>
          <cell r="G506">
            <v>-560.76999999999896</v>
          </cell>
          <cell r="H506">
            <v>26119.47</v>
          </cell>
          <cell r="I506">
            <v>26119.47</v>
          </cell>
          <cell r="J506">
            <v>0</v>
          </cell>
        </row>
        <row r="507">
          <cell r="A507" t="str">
            <v>6226178020</v>
          </cell>
          <cell r="B507">
            <v>62261</v>
          </cell>
          <cell r="C507">
            <v>78020</v>
          </cell>
          <cell r="D507" t="str">
            <v>Amortized CAM Exp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6226184264</v>
          </cell>
          <cell r="B508">
            <v>62261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6226185555</v>
          </cell>
          <cell r="B509">
            <v>62261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6226185584</v>
          </cell>
          <cell r="B510">
            <v>62261</v>
          </cell>
          <cell r="C510">
            <v>85584</v>
          </cell>
          <cell r="D510" t="str">
            <v>Bldg Admin-Office Costs</v>
          </cell>
          <cell r="E510">
            <v>957.65</v>
          </cell>
          <cell r="F510">
            <v>1449.56</v>
          </cell>
          <cell r="G510">
            <v>-491.91</v>
          </cell>
          <cell r="H510">
            <v>2485</v>
          </cell>
          <cell r="I510">
            <v>2485</v>
          </cell>
          <cell r="J510">
            <v>0</v>
          </cell>
        </row>
        <row r="511">
          <cell r="A511" t="str">
            <v>6226185582</v>
          </cell>
          <cell r="B511">
            <v>62261</v>
          </cell>
          <cell r="C511">
            <v>85582</v>
          </cell>
          <cell r="D511" t="str">
            <v>Bldg Admin-Salaries</v>
          </cell>
          <cell r="E511">
            <v>4374.66</v>
          </cell>
          <cell r="F511">
            <v>7319.48</v>
          </cell>
          <cell r="G511">
            <v>-2944.82</v>
          </cell>
          <cell r="H511">
            <v>13320.8</v>
          </cell>
          <cell r="I511">
            <v>13320.8</v>
          </cell>
          <cell r="J511">
            <v>0</v>
          </cell>
        </row>
        <row r="512">
          <cell r="A512" t="str">
            <v>6226186564</v>
          </cell>
          <cell r="B512">
            <v>62261</v>
          </cell>
          <cell r="C512">
            <v>86564</v>
          </cell>
          <cell r="D512" t="str">
            <v>Insurance</v>
          </cell>
          <cell r="E512">
            <v>2072</v>
          </cell>
          <cell r="F512">
            <v>1422.75</v>
          </cell>
          <cell r="G512">
            <v>649.25</v>
          </cell>
          <cell r="H512">
            <v>2439</v>
          </cell>
          <cell r="I512">
            <v>2439</v>
          </cell>
          <cell r="J512">
            <v>0</v>
          </cell>
        </row>
        <row r="513">
          <cell r="A513" t="str">
            <v>6226188846</v>
          </cell>
          <cell r="B513">
            <v>62261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6226188890</v>
          </cell>
          <cell r="B514">
            <v>62261</v>
          </cell>
          <cell r="C514">
            <v>88890</v>
          </cell>
          <cell r="D514" t="str">
            <v>Security/Safety</v>
          </cell>
          <cell r="E514">
            <v>1911.1</v>
          </cell>
          <cell r="F514">
            <v>1634.68</v>
          </cell>
          <cell r="G514">
            <v>276.42</v>
          </cell>
          <cell r="H514">
            <v>2945.1</v>
          </cell>
          <cell r="I514">
            <v>2945.1</v>
          </cell>
          <cell r="J514">
            <v>0</v>
          </cell>
        </row>
        <row r="515">
          <cell r="A515" t="str">
            <v>6226189775</v>
          </cell>
          <cell r="B515">
            <v>62261</v>
          </cell>
          <cell r="C515">
            <v>89775</v>
          </cell>
          <cell r="D515" t="str">
            <v>Assmt Dist Taxes- Reimb</v>
          </cell>
          <cell r="E515">
            <v>9000.81</v>
          </cell>
          <cell r="F515">
            <v>12000.94</v>
          </cell>
          <cell r="G515">
            <v>-3000.13</v>
          </cell>
          <cell r="H515">
            <v>20573</v>
          </cell>
          <cell r="I515">
            <v>20573</v>
          </cell>
          <cell r="J515">
            <v>0</v>
          </cell>
        </row>
        <row r="516">
          <cell r="A516" t="str">
            <v>6226189729</v>
          </cell>
          <cell r="B516">
            <v>62261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6226189786</v>
          </cell>
          <cell r="B517">
            <v>62261</v>
          </cell>
          <cell r="C517">
            <v>89786</v>
          </cell>
          <cell r="D517" t="str">
            <v>Property Tax Exp</v>
          </cell>
          <cell r="E517">
            <v>18718</v>
          </cell>
          <cell r="F517">
            <v>18819.5</v>
          </cell>
          <cell r="G517">
            <v>-101.5</v>
          </cell>
          <cell r="H517">
            <v>32262</v>
          </cell>
          <cell r="I517">
            <v>32262</v>
          </cell>
          <cell r="J517">
            <v>0</v>
          </cell>
        </row>
        <row r="518">
          <cell r="A518" t="str">
            <v>6226171040</v>
          </cell>
          <cell r="B518">
            <v>62261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6226172701</v>
          </cell>
          <cell r="B519">
            <v>62261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6226172855</v>
          </cell>
          <cell r="B520">
            <v>62261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6226172870</v>
          </cell>
          <cell r="B521">
            <v>62261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6226176010</v>
          </cell>
          <cell r="B522">
            <v>62261</v>
          </cell>
          <cell r="C522">
            <v>76010</v>
          </cell>
          <cell r="D522" t="str">
            <v>Tenant Alterations</v>
          </cell>
          <cell r="E522">
            <v>0.85</v>
          </cell>
          <cell r="F522">
            <v>0</v>
          </cell>
          <cell r="G522">
            <v>0.85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6226176040</v>
          </cell>
          <cell r="B523">
            <v>62261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6226176051</v>
          </cell>
          <cell r="B524">
            <v>62261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6226176054</v>
          </cell>
          <cell r="B525">
            <v>62261</v>
          </cell>
          <cell r="C525">
            <v>76054</v>
          </cell>
          <cell r="D525" t="str">
            <v>Bldg Maintenance &amp; Repair</v>
          </cell>
          <cell r="E525">
            <v>3.65</v>
          </cell>
          <cell r="F525">
            <v>0.49</v>
          </cell>
          <cell r="G525">
            <v>3.16</v>
          </cell>
          <cell r="H525">
            <v>2.36</v>
          </cell>
          <cell r="I525">
            <v>2.36</v>
          </cell>
          <cell r="J525">
            <v>0</v>
          </cell>
        </row>
        <row r="526">
          <cell r="A526" t="str">
            <v>6226176060</v>
          </cell>
          <cell r="B526">
            <v>62261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6226176071</v>
          </cell>
          <cell r="B527">
            <v>62261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6226176090</v>
          </cell>
          <cell r="B528">
            <v>62261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6226177001</v>
          </cell>
          <cell r="B529">
            <v>62261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6226177022</v>
          </cell>
          <cell r="B530">
            <v>62261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6226184200</v>
          </cell>
          <cell r="B531">
            <v>62261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6226184240</v>
          </cell>
          <cell r="B532">
            <v>62261</v>
          </cell>
          <cell r="C532">
            <v>84240</v>
          </cell>
          <cell r="D532" t="str">
            <v>Marketing Leasing</v>
          </cell>
          <cell r="E532">
            <v>4.05</v>
          </cell>
          <cell r="F532">
            <v>345.94</v>
          </cell>
          <cell r="G532">
            <v>-341.89</v>
          </cell>
          <cell r="H532">
            <v>593</v>
          </cell>
          <cell r="I532">
            <v>593</v>
          </cell>
          <cell r="J532">
            <v>0</v>
          </cell>
        </row>
        <row r="533">
          <cell r="A533" t="str">
            <v>6226184242</v>
          </cell>
          <cell r="B533">
            <v>62261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6226184243</v>
          </cell>
          <cell r="B534">
            <v>62261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6226184244</v>
          </cell>
          <cell r="B535">
            <v>62261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6226184265</v>
          </cell>
          <cell r="B536">
            <v>62261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6226188037</v>
          </cell>
          <cell r="B537">
            <v>62261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6226185016</v>
          </cell>
          <cell r="B538">
            <v>62261</v>
          </cell>
          <cell r="C538">
            <v>85016</v>
          </cell>
          <cell r="D538" t="str">
            <v>Prof Svc-Attorney Outside</v>
          </cell>
          <cell r="E538">
            <v>3277</v>
          </cell>
          <cell r="F538">
            <v>1882.84</v>
          </cell>
          <cell r="G538">
            <v>1394.16</v>
          </cell>
          <cell r="H538">
            <v>7032.84</v>
          </cell>
          <cell r="I538">
            <v>7032.84</v>
          </cell>
          <cell r="J538">
            <v>0</v>
          </cell>
        </row>
        <row r="539">
          <cell r="A539" t="str">
            <v>6226185022</v>
          </cell>
          <cell r="B539">
            <v>62261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1051.99</v>
          </cell>
          <cell r="I539">
            <v>1051.99</v>
          </cell>
          <cell r="J539">
            <v>0</v>
          </cell>
        </row>
        <row r="540">
          <cell r="A540" t="str">
            <v>6226185065</v>
          </cell>
          <cell r="B540">
            <v>62261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6226185500</v>
          </cell>
          <cell r="B541">
            <v>62261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6226185566</v>
          </cell>
          <cell r="B542">
            <v>62261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6226185581</v>
          </cell>
          <cell r="B543">
            <v>62261</v>
          </cell>
          <cell r="C543">
            <v>85581</v>
          </cell>
          <cell r="D543" t="str">
            <v>Bldg Admin- Salaries</v>
          </cell>
          <cell r="E543">
            <v>3347.96</v>
          </cell>
          <cell r="F543">
            <v>6710.98</v>
          </cell>
          <cell r="G543">
            <v>-3363.02</v>
          </cell>
          <cell r="H543">
            <v>12022.3</v>
          </cell>
          <cell r="I543">
            <v>12022.3</v>
          </cell>
          <cell r="J543">
            <v>0</v>
          </cell>
        </row>
        <row r="544">
          <cell r="A544" t="str">
            <v>6226185583</v>
          </cell>
          <cell r="B544">
            <v>62261</v>
          </cell>
          <cell r="C544">
            <v>85583</v>
          </cell>
          <cell r="D544" t="str">
            <v>Bldg Admin-Office Exp.</v>
          </cell>
          <cell r="E544">
            <v>535.91999999999996</v>
          </cell>
          <cell r="F544">
            <v>0</v>
          </cell>
          <cell r="G544">
            <v>535.91999999999996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6226185530</v>
          </cell>
          <cell r="B545">
            <v>62261</v>
          </cell>
          <cell r="C545">
            <v>85530</v>
          </cell>
          <cell r="D545" t="str">
            <v>Bldg Admin - Office Exp</v>
          </cell>
          <cell r="E545">
            <v>535.91999999999996</v>
          </cell>
          <cell r="F545">
            <v>0</v>
          </cell>
          <cell r="G545">
            <v>535.91999999999996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6226186012</v>
          </cell>
          <cell r="B546">
            <v>62261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6226186037</v>
          </cell>
          <cell r="B547">
            <v>62261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6226183050</v>
          </cell>
          <cell r="B548">
            <v>62261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6226186510</v>
          </cell>
          <cell r="B549">
            <v>62261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6226186537</v>
          </cell>
          <cell r="B550">
            <v>62261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6226186566</v>
          </cell>
          <cell r="B551">
            <v>62261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6226186955</v>
          </cell>
          <cell r="B552">
            <v>62261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6226186985</v>
          </cell>
          <cell r="B553">
            <v>62261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6226186880</v>
          </cell>
          <cell r="B554">
            <v>62261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6226188710</v>
          </cell>
          <cell r="B555">
            <v>62261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3406.32</v>
          </cell>
          <cell r="G555">
            <v>-3406.32</v>
          </cell>
          <cell r="H555">
            <v>6812.56</v>
          </cell>
          <cell r="I555">
            <v>6812.56</v>
          </cell>
          <cell r="J555">
            <v>0</v>
          </cell>
        </row>
        <row r="556">
          <cell r="A556" t="str">
            <v>6226188711</v>
          </cell>
          <cell r="B556">
            <v>62261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6226188785</v>
          </cell>
          <cell r="B557">
            <v>62261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6226188847</v>
          </cell>
          <cell r="B558">
            <v>62261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6226188866</v>
          </cell>
          <cell r="B559">
            <v>62261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6226188870</v>
          </cell>
          <cell r="B560">
            <v>62261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6226188889</v>
          </cell>
          <cell r="B561">
            <v>62261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6226189776</v>
          </cell>
          <cell r="B562">
            <v>62261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6226189787</v>
          </cell>
          <cell r="B563">
            <v>62261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6226189510</v>
          </cell>
          <cell r="B564">
            <v>62261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6226189511</v>
          </cell>
          <cell r="B565">
            <v>62261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6226189512</v>
          </cell>
          <cell r="B566">
            <v>62261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6226189528</v>
          </cell>
          <cell r="B567">
            <v>62261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6226189529</v>
          </cell>
          <cell r="B568">
            <v>62261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6226189567</v>
          </cell>
          <cell r="B569">
            <v>62261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6226185058</v>
          </cell>
          <cell r="B570">
            <v>62261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6226186513</v>
          </cell>
          <cell r="B571">
            <v>62261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6226186519</v>
          </cell>
          <cell r="B572">
            <v>62261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6226188770</v>
          </cell>
          <cell r="B573">
            <v>62261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6226188862</v>
          </cell>
          <cell r="B574">
            <v>62261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6226188874</v>
          </cell>
          <cell r="B575">
            <v>62261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6226189910</v>
          </cell>
          <cell r="B576">
            <v>62261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10547.64</v>
          </cell>
          <cell r="G576">
            <v>-10547.64</v>
          </cell>
          <cell r="H576">
            <v>18081.68</v>
          </cell>
          <cell r="I576">
            <v>18081.68</v>
          </cell>
          <cell r="J576">
            <v>0</v>
          </cell>
        </row>
        <row r="577">
          <cell r="A577" t="str">
            <v>6226189548</v>
          </cell>
          <cell r="B577">
            <v>62261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6227041010</v>
          </cell>
          <cell r="B578">
            <v>62270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6227041040</v>
          </cell>
          <cell r="B579">
            <v>62270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6227041050</v>
          </cell>
          <cell r="B580">
            <v>62270</v>
          </cell>
          <cell r="C580">
            <v>41050</v>
          </cell>
          <cell r="D580" t="str">
            <v>Rental Income - Fixed</v>
          </cell>
          <cell r="E580">
            <v>-2946964.57</v>
          </cell>
          <cell r="F580">
            <v>-2930424.11</v>
          </cell>
          <cell r="G580">
            <v>-16540.46</v>
          </cell>
          <cell r="H580">
            <v>-5103929.24</v>
          </cell>
          <cell r="I580">
            <v>-5103929.24</v>
          </cell>
          <cell r="J580">
            <v>0</v>
          </cell>
        </row>
        <row r="581">
          <cell r="A581" t="str">
            <v>6227041074</v>
          </cell>
          <cell r="B581">
            <v>62270</v>
          </cell>
          <cell r="C581">
            <v>41074</v>
          </cell>
          <cell r="D581" t="str">
            <v>Rental Income - Percentage</v>
          </cell>
          <cell r="E581">
            <v>-36336.199999999997</v>
          </cell>
          <cell r="F581">
            <v>-13990</v>
          </cell>
          <cell r="G581">
            <v>-22346.2</v>
          </cell>
          <cell r="H581">
            <v>-13990</v>
          </cell>
          <cell r="I581">
            <v>-13990</v>
          </cell>
          <cell r="J581">
            <v>0</v>
          </cell>
        </row>
        <row r="582">
          <cell r="A582" t="str">
            <v>6227041082</v>
          </cell>
          <cell r="B582">
            <v>62270</v>
          </cell>
          <cell r="C582">
            <v>41082</v>
          </cell>
          <cell r="D582" t="str">
            <v>Rental Income - Operating Exp</v>
          </cell>
          <cell r="E582">
            <v>-732659.66</v>
          </cell>
          <cell r="F582">
            <v>-848134.7</v>
          </cell>
          <cell r="G582">
            <v>115475.04</v>
          </cell>
          <cell r="H582">
            <v>-1453945.2</v>
          </cell>
          <cell r="I582">
            <v>-1453945.2</v>
          </cell>
          <cell r="J582">
            <v>0</v>
          </cell>
        </row>
        <row r="583">
          <cell r="A583" t="str">
            <v>6227044610</v>
          </cell>
          <cell r="B583">
            <v>62270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6227045071</v>
          </cell>
          <cell r="B584">
            <v>62270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6227045010</v>
          </cell>
          <cell r="B585">
            <v>62270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6227045046</v>
          </cell>
          <cell r="B586">
            <v>62270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6227045070</v>
          </cell>
          <cell r="B587">
            <v>62270</v>
          </cell>
          <cell r="C587">
            <v>45070</v>
          </cell>
          <cell r="D587" t="str">
            <v>Other Income</v>
          </cell>
          <cell r="E587">
            <v>-27998.33</v>
          </cell>
          <cell r="F587">
            <v>0</v>
          </cell>
          <cell r="G587">
            <v>-27998.33</v>
          </cell>
          <cell r="H587">
            <v>0</v>
          </cell>
          <cell r="I587">
            <v>0</v>
          </cell>
          <cell r="J587">
            <v>0</v>
          </cell>
        </row>
        <row r="588">
          <cell r="A588" t="str">
            <v>6227041060</v>
          </cell>
          <cell r="B588">
            <v>62270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38336.06</v>
          </cell>
          <cell r="G588">
            <v>-38336.06</v>
          </cell>
          <cell r="H588">
            <v>65719</v>
          </cell>
          <cell r="I588">
            <v>65719</v>
          </cell>
          <cell r="J588">
            <v>0</v>
          </cell>
        </row>
        <row r="589">
          <cell r="A589" t="str">
            <v>6227044870</v>
          </cell>
          <cell r="B589">
            <v>62270</v>
          </cell>
          <cell r="C589">
            <v>44870</v>
          </cell>
          <cell r="D589" t="str">
            <v>Late Fees</v>
          </cell>
          <cell r="E589">
            <v>-75</v>
          </cell>
          <cell r="F589">
            <v>0</v>
          </cell>
          <cell r="G589">
            <v>-75</v>
          </cell>
          <cell r="H589">
            <v>-1030</v>
          </cell>
          <cell r="I589">
            <v>-1030</v>
          </cell>
          <cell r="J589">
            <v>0</v>
          </cell>
        </row>
        <row r="590">
          <cell r="A590" t="str">
            <v>6227052542</v>
          </cell>
          <cell r="B590">
            <v>62270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6227072710</v>
          </cell>
          <cell r="B591">
            <v>62270</v>
          </cell>
          <cell r="C591">
            <v>72710</v>
          </cell>
          <cell r="D591" t="str">
            <v>Utilities - Electricity</v>
          </cell>
          <cell r="E591">
            <v>26048.15</v>
          </cell>
          <cell r="F591">
            <v>31969.119999999999</v>
          </cell>
          <cell r="G591">
            <v>-5920.97</v>
          </cell>
          <cell r="H591">
            <v>56077.34</v>
          </cell>
          <cell r="I591">
            <v>56077.34</v>
          </cell>
          <cell r="J591">
            <v>0</v>
          </cell>
        </row>
        <row r="592">
          <cell r="A592" t="str">
            <v>6227072740</v>
          </cell>
          <cell r="B592">
            <v>62270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6227072770</v>
          </cell>
          <cell r="B593">
            <v>62270</v>
          </cell>
          <cell r="C593">
            <v>72770</v>
          </cell>
          <cell r="D593" t="str">
            <v>Utilities - Water</v>
          </cell>
          <cell r="E593">
            <v>12964.58</v>
          </cell>
          <cell r="F593">
            <v>11953.32</v>
          </cell>
          <cell r="G593">
            <v>1011.26</v>
          </cell>
          <cell r="H593">
            <v>19157.189999999999</v>
          </cell>
          <cell r="I593">
            <v>19157.189999999999</v>
          </cell>
          <cell r="J593">
            <v>0</v>
          </cell>
        </row>
        <row r="594">
          <cell r="A594" t="str">
            <v>6227076000</v>
          </cell>
          <cell r="B594">
            <v>62270</v>
          </cell>
          <cell r="C594">
            <v>76000</v>
          </cell>
          <cell r="D594" t="str">
            <v>Bldg Maintenance &amp; Repair</v>
          </cell>
          <cell r="E594">
            <v>23552.98</v>
          </cell>
          <cell r="F594">
            <v>22869.52</v>
          </cell>
          <cell r="G594">
            <v>683.45999999999901</v>
          </cell>
          <cell r="H594">
            <v>63292.58</v>
          </cell>
          <cell r="I594">
            <v>63292.58</v>
          </cell>
          <cell r="J594">
            <v>0</v>
          </cell>
        </row>
        <row r="595">
          <cell r="A595" t="str">
            <v>6227076020</v>
          </cell>
          <cell r="B595">
            <v>62270</v>
          </cell>
          <cell r="C595">
            <v>76020</v>
          </cell>
          <cell r="D595" t="str">
            <v>Food Court Expense</v>
          </cell>
          <cell r="E595">
            <v>5255</v>
          </cell>
          <cell r="F595">
            <v>6128.5</v>
          </cell>
          <cell r="G595">
            <v>-873.5</v>
          </cell>
          <cell r="H595">
            <v>10712</v>
          </cell>
          <cell r="I595">
            <v>10712</v>
          </cell>
          <cell r="J595">
            <v>0</v>
          </cell>
        </row>
        <row r="596">
          <cell r="A596" t="str">
            <v>6227076034</v>
          </cell>
          <cell r="B596">
            <v>62270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6227076050</v>
          </cell>
          <cell r="B597">
            <v>62270</v>
          </cell>
          <cell r="C597">
            <v>76050</v>
          </cell>
          <cell r="D597" t="str">
            <v>Cleaning Expense</v>
          </cell>
          <cell r="E597">
            <v>47700.97</v>
          </cell>
          <cell r="F597">
            <v>44187.49</v>
          </cell>
          <cell r="G597">
            <v>3513.48</v>
          </cell>
          <cell r="H597">
            <v>77274.210000000006</v>
          </cell>
          <cell r="I597">
            <v>77274.210000000006</v>
          </cell>
          <cell r="J597">
            <v>0</v>
          </cell>
        </row>
        <row r="598">
          <cell r="A598" t="str">
            <v>6227076056</v>
          </cell>
          <cell r="B598">
            <v>62270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6227076070</v>
          </cell>
          <cell r="B599">
            <v>62270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6227076091</v>
          </cell>
          <cell r="B600">
            <v>62270</v>
          </cell>
          <cell r="C600">
            <v>76091</v>
          </cell>
          <cell r="D600" t="str">
            <v>Parking Maintenance</v>
          </cell>
          <cell r="E600">
            <v>31081.01</v>
          </cell>
          <cell r="F600">
            <v>36843.07</v>
          </cell>
          <cell r="G600">
            <v>-5762.06</v>
          </cell>
          <cell r="H600">
            <v>59121.55</v>
          </cell>
          <cell r="I600">
            <v>59121.55</v>
          </cell>
          <cell r="J600">
            <v>0</v>
          </cell>
        </row>
        <row r="601">
          <cell r="A601" t="str">
            <v>6227077000</v>
          </cell>
          <cell r="B601">
            <v>62270</v>
          </cell>
          <cell r="C601">
            <v>77000</v>
          </cell>
          <cell r="D601" t="str">
            <v>Grounds Maintenance</v>
          </cell>
          <cell r="E601">
            <v>31289.77</v>
          </cell>
          <cell r="F601">
            <v>41144.79</v>
          </cell>
          <cell r="G601">
            <v>-9855.02</v>
          </cell>
          <cell r="H601">
            <v>74511.91</v>
          </cell>
          <cell r="I601">
            <v>74511.91</v>
          </cell>
          <cell r="J601">
            <v>0</v>
          </cell>
        </row>
        <row r="602">
          <cell r="A602" t="str">
            <v>6227077053</v>
          </cell>
          <cell r="B602">
            <v>62270</v>
          </cell>
          <cell r="C602">
            <v>77053</v>
          </cell>
          <cell r="D602" t="str">
            <v>Landscaping</v>
          </cell>
          <cell r="E602">
            <v>59664</v>
          </cell>
          <cell r="F602">
            <v>81465</v>
          </cell>
          <cell r="G602">
            <v>-21801</v>
          </cell>
          <cell r="H602">
            <v>125364.17</v>
          </cell>
          <cell r="I602">
            <v>125364.17</v>
          </cell>
          <cell r="J602">
            <v>0</v>
          </cell>
        </row>
        <row r="603">
          <cell r="A603" t="str">
            <v>6227078020</v>
          </cell>
          <cell r="B603">
            <v>62270</v>
          </cell>
          <cell r="C603">
            <v>78020</v>
          </cell>
          <cell r="D603" t="str">
            <v>Amortized CAM Exp</v>
          </cell>
          <cell r="E603">
            <v>47279.4</v>
          </cell>
          <cell r="F603">
            <v>47279.34</v>
          </cell>
          <cell r="G603">
            <v>6.00000000049477E-2</v>
          </cell>
          <cell r="H603">
            <v>88050</v>
          </cell>
          <cell r="I603">
            <v>88050</v>
          </cell>
          <cell r="J603">
            <v>0</v>
          </cell>
        </row>
        <row r="604">
          <cell r="A604" t="str">
            <v>6227084264</v>
          </cell>
          <cell r="B604">
            <v>62270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6227085555</v>
          </cell>
          <cell r="B605">
            <v>62270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6227085584</v>
          </cell>
          <cell r="B606">
            <v>62270</v>
          </cell>
          <cell r="C606">
            <v>85584</v>
          </cell>
          <cell r="D606" t="str">
            <v>Bldg Admin-Office Costs</v>
          </cell>
          <cell r="E606">
            <v>12028.66</v>
          </cell>
          <cell r="F606">
            <v>18224.5</v>
          </cell>
          <cell r="G606">
            <v>-6195.84</v>
          </cell>
          <cell r="H606">
            <v>31242</v>
          </cell>
          <cell r="I606">
            <v>31242</v>
          </cell>
          <cell r="J606">
            <v>0</v>
          </cell>
        </row>
        <row r="607">
          <cell r="A607" t="str">
            <v>6227085582</v>
          </cell>
          <cell r="B607">
            <v>62270</v>
          </cell>
          <cell r="C607">
            <v>85582</v>
          </cell>
          <cell r="D607" t="str">
            <v>Bldg Admin-Salaries</v>
          </cell>
          <cell r="E607">
            <v>57619.19</v>
          </cell>
          <cell r="F607">
            <v>92041.52</v>
          </cell>
          <cell r="G607">
            <v>-34422.33</v>
          </cell>
          <cell r="H607">
            <v>167507.20000000001</v>
          </cell>
          <cell r="I607">
            <v>167507.20000000001</v>
          </cell>
          <cell r="J607">
            <v>0</v>
          </cell>
        </row>
        <row r="608">
          <cell r="A608" t="str">
            <v>6227086564</v>
          </cell>
          <cell r="B608">
            <v>62270</v>
          </cell>
          <cell r="C608">
            <v>86564</v>
          </cell>
          <cell r="D608" t="str">
            <v>Insurance</v>
          </cell>
          <cell r="E608">
            <v>56077</v>
          </cell>
          <cell r="F608">
            <v>54196.94</v>
          </cell>
          <cell r="G608">
            <v>1880.06</v>
          </cell>
          <cell r="H608">
            <v>92909</v>
          </cell>
          <cell r="I608">
            <v>92909</v>
          </cell>
          <cell r="J608">
            <v>0</v>
          </cell>
        </row>
        <row r="609">
          <cell r="A609" t="str">
            <v>6227088846</v>
          </cell>
          <cell r="B609">
            <v>62270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6227088890</v>
          </cell>
          <cell r="B610">
            <v>62270</v>
          </cell>
          <cell r="C610">
            <v>88890</v>
          </cell>
          <cell r="D610" t="str">
            <v>Security/Safety</v>
          </cell>
          <cell r="E610">
            <v>26132.22</v>
          </cell>
          <cell r="F610">
            <v>21302.83</v>
          </cell>
          <cell r="G610">
            <v>4829.3900000000003</v>
          </cell>
          <cell r="H610">
            <v>36486.82</v>
          </cell>
          <cell r="I610">
            <v>36486.82</v>
          </cell>
          <cell r="J610">
            <v>0</v>
          </cell>
        </row>
        <row r="611">
          <cell r="A611" t="str">
            <v>6227089775</v>
          </cell>
          <cell r="B611">
            <v>62270</v>
          </cell>
          <cell r="C611">
            <v>89775</v>
          </cell>
          <cell r="D611" t="str">
            <v>Assmt Dist Taxes- Reimb</v>
          </cell>
          <cell r="E611">
            <v>72347.94</v>
          </cell>
          <cell r="F611">
            <v>96463.5</v>
          </cell>
          <cell r="G611">
            <v>-24115.56</v>
          </cell>
          <cell r="H611">
            <v>165366</v>
          </cell>
          <cell r="I611">
            <v>165366</v>
          </cell>
          <cell r="J611">
            <v>0</v>
          </cell>
        </row>
        <row r="612">
          <cell r="A612" t="str">
            <v>6227089729</v>
          </cell>
          <cell r="B612">
            <v>62270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6227089786</v>
          </cell>
          <cell r="B613">
            <v>62270</v>
          </cell>
          <cell r="C613">
            <v>89786</v>
          </cell>
          <cell r="D613" t="str">
            <v>Property Tax Exp</v>
          </cell>
          <cell r="E613">
            <v>206279.5</v>
          </cell>
          <cell r="F613">
            <v>207418.75</v>
          </cell>
          <cell r="G613">
            <v>-1139.25</v>
          </cell>
          <cell r="H613">
            <v>355575</v>
          </cell>
          <cell r="I613">
            <v>355575</v>
          </cell>
          <cell r="J613">
            <v>0</v>
          </cell>
        </row>
        <row r="614">
          <cell r="A614" t="str">
            <v>6227071040</v>
          </cell>
          <cell r="B614">
            <v>62270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6227072701</v>
          </cell>
          <cell r="B615">
            <v>62270</v>
          </cell>
          <cell r="C615">
            <v>72701</v>
          </cell>
          <cell r="D615" t="str">
            <v>Utilities</v>
          </cell>
          <cell r="E615">
            <v>308.3</v>
          </cell>
          <cell r="F615">
            <v>0</v>
          </cell>
          <cell r="G615">
            <v>308.3</v>
          </cell>
          <cell r="H615">
            <v>206</v>
          </cell>
          <cell r="I615">
            <v>206</v>
          </cell>
          <cell r="J615">
            <v>0</v>
          </cell>
        </row>
        <row r="616">
          <cell r="A616" t="str">
            <v>6227072855</v>
          </cell>
          <cell r="B616">
            <v>62270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6227072870</v>
          </cell>
          <cell r="B617">
            <v>62270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6227076010</v>
          </cell>
          <cell r="B618">
            <v>62270</v>
          </cell>
          <cell r="C618">
            <v>76010</v>
          </cell>
          <cell r="D618" t="str">
            <v>Tenant Alterations</v>
          </cell>
          <cell r="E618">
            <v>10.68</v>
          </cell>
          <cell r="F618">
            <v>0</v>
          </cell>
          <cell r="G618">
            <v>10.68</v>
          </cell>
          <cell r="H618">
            <v>354.4</v>
          </cell>
          <cell r="I618">
            <v>354.4</v>
          </cell>
          <cell r="J618">
            <v>0</v>
          </cell>
        </row>
        <row r="619">
          <cell r="A619" t="str">
            <v>6227076040</v>
          </cell>
          <cell r="B619">
            <v>62270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6227076051</v>
          </cell>
          <cell r="B620">
            <v>62270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6227076054</v>
          </cell>
          <cell r="B621">
            <v>62270</v>
          </cell>
          <cell r="C621">
            <v>76054</v>
          </cell>
          <cell r="D621" t="str">
            <v>Bldg Maintenance &amp; Repair</v>
          </cell>
          <cell r="E621">
            <v>459.86</v>
          </cell>
          <cell r="F621">
            <v>10206.969999999999</v>
          </cell>
          <cell r="G621">
            <v>-9747.11</v>
          </cell>
          <cell r="H621">
            <v>11372.73</v>
          </cell>
          <cell r="I621">
            <v>11372.73</v>
          </cell>
          <cell r="J621">
            <v>0</v>
          </cell>
        </row>
        <row r="622">
          <cell r="A622" t="str">
            <v>6227076060</v>
          </cell>
          <cell r="B622">
            <v>62270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6227076071</v>
          </cell>
          <cell r="B623">
            <v>62270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6227076090</v>
          </cell>
          <cell r="B624">
            <v>62270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6227077001</v>
          </cell>
          <cell r="B625">
            <v>62270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6227077022</v>
          </cell>
          <cell r="B626">
            <v>62270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6227084200</v>
          </cell>
          <cell r="B627">
            <v>62270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6227084240</v>
          </cell>
          <cell r="B628">
            <v>62270</v>
          </cell>
          <cell r="C628">
            <v>84240</v>
          </cell>
          <cell r="D628" t="str">
            <v>Marketing Leasing</v>
          </cell>
          <cell r="E628">
            <v>50.66</v>
          </cell>
          <cell r="F628">
            <v>4347.5600000000004</v>
          </cell>
          <cell r="G628">
            <v>-4296.8999999999996</v>
          </cell>
          <cell r="H628">
            <v>7453</v>
          </cell>
          <cell r="I628">
            <v>7453</v>
          </cell>
          <cell r="J628">
            <v>0</v>
          </cell>
        </row>
        <row r="629">
          <cell r="A629" t="str">
            <v>6227084242</v>
          </cell>
          <cell r="B629">
            <v>62270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6227084243</v>
          </cell>
          <cell r="B630">
            <v>62270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6227084244</v>
          </cell>
          <cell r="B631">
            <v>62270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6227084265</v>
          </cell>
          <cell r="B632">
            <v>62270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6227088037</v>
          </cell>
          <cell r="B633">
            <v>62270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6227085016</v>
          </cell>
          <cell r="B634">
            <v>62270</v>
          </cell>
          <cell r="C634">
            <v>85016</v>
          </cell>
          <cell r="D634" t="str">
            <v>Prof Svc-Attorney Outside</v>
          </cell>
          <cell r="E634">
            <v>1152.74</v>
          </cell>
          <cell r="F634">
            <v>266.25</v>
          </cell>
          <cell r="G634">
            <v>886.49</v>
          </cell>
          <cell r="H634">
            <v>4412</v>
          </cell>
          <cell r="I634">
            <v>4412</v>
          </cell>
          <cell r="J634">
            <v>0</v>
          </cell>
        </row>
        <row r="635">
          <cell r="A635" t="str">
            <v>6227085022</v>
          </cell>
          <cell r="B635">
            <v>62270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1313.25</v>
          </cell>
          <cell r="G635">
            <v>-1313.25</v>
          </cell>
          <cell r="H635">
            <v>5760.12</v>
          </cell>
          <cell r="I635">
            <v>5760.12</v>
          </cell>
          <cell r="J635">
            <v>0</v>
          </cell>
        </row>
        <row r="636">
          <cell r="A636" t="str">
            <v>6227085065</v>
          </cell>
          <cell r="B636">
            <v>62270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6227085500</v>
          </cell>
          <cell r="B637">
            <v>62270</v>
          </cell>
          <cell r="C637">
            <v>85500</v>
          </cell>
          <cell r="D637" t="str">
            <v>Consulting Services</v>
          </cell>
          <cell r="E637">
            <v>50</v>
          </cell>
          <cell r="F637">
            <v>1201.8599999999999</v>
          </cell>
          <cell r="G637">
            <v>-1151.8599999999999</v>
          </cell>
          <cell r="H637">
            <v>6596.05</v>
          </cell>
          <cell r="I637">
            <v>6596.05</v>
          </cell>
          <cell r="J637">
            <v>0</v>
          </cell>
        </row>
        <row r="638">
          <cell r="A638" t="str">
            <v>6227085566</v>
          </cell>
          <cell r="B638">
            <v>62270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6227085581</v>
          </cell>
          <cell r="B639">
            <v>62270</v>
          </cell>
          <cell r="C639">
            <v>85581</v>
          </cell>
          <cell r="D639" t="str">
            <v>Bldg Admin- Salaries</v>
          </cell>
          <cell r="E639">
            <v>42100.32</v>
          </cell>
          <cell r="F639">
            <v>74405.52</v>
          </cell>
          <cell r="G639">
            <v>-32305.200000000001</v>
          </cell>
          <cell r="H639">
            <v>134068.20000000001</v>
          </cell>
          <cell r="I639">
            <v>134068.20000000001</v>
          </cell>
          <cell r="J639">
            <v>0</v>
          </cell>
        </row>
        <row r="640">
          <cell r="A640" t="str">
            <v>6227085583</v>
          </cell>
          <cell r="B640">
            <v>62270</v>
          </cell>
          <cell r="C640">
            <v>85583</v>
          </cell>
          <cell r="D640" t="str">
            <v>Bldg Admin-Office Exp.</v>
          </cell>
          <cell r="E640">
            <v>6739.15</v>
          </cell>
          <cell r="F640">
            <v>0</v>
          </cell>
          <cell r="G640">
            <v>6739.15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6227085530</v>
          </cell>
          <cell r="B641">
            <v>62270</v>
          </cell>
          <cell r="C641">
            <v>85530</v>
          </cell>
          <cell r="D641" t="str">
            <v>Bldg Admin - Office Exp</v>
          </cell>
          <cell r="E641">
            <v>6739.15</v>
          </cell>
          <cell r="F641">
            <v>0</v>
          </cell>
          <cell r="G641">
            <v>6739.15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6227086012</v>
          </cell>
          <cell r="B642">
            <v>62270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6227086037</v>
          </cell>
          <cell r="B643">
            <v>62270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6227083050</v>
          </cell>
          <cell r="B644">
            <v>62270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6227086510</v>
          </cell>
          <cell r="B645">
            <v>62270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6227086537</v>
          </cell>
          <cell r="B646">
            <v>62270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6227086566</v>
          </cell>
          <cell r="B647">
            <v>62270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6227086955</v>
          </cell>
          <cell r="B648">
            <v>62270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6227086985</v>
          </cell>
          <cell r="B649">
            <v>62270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6227086880</v>
          </cell>
          <cell r="B650">
            <v>62270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6227088710</v>
          </cell>
          <cell r="B651">
            <v>62270</v>
          </cell>
          <cell r="C651">
            <v>88710</v>
          </cell>
          <cell r="D651" t="str">
            <v>Losses-Bad Debts</v>
          </cell>
          <cell r="E651">
            <v>6316.44</v>
          </cell>
          <cell r="F651">
            <v>32864.400000000001</v>
          </cell>
          <cell r="G651">
            <v>-26547.96</v>
          </cell>
          <cell r="H651">
            <v>65728.639999999999</v>
          </cell>
          <cell r="I651">
            <v>65728.639999999999</v>
          </cell>
          <cell r="J651">
            <v>0</v>
          </cell>
        </row>
        <row r="652">
          <cell r="A652" t="str">
            <v>6227088711</v>
          </cell>
          <cell r="B652">
            <v>62270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6227088785</v>
          </cell>
          <cell r="B653">
            <v>62270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6227088847</v>
          </cell>
          <cell r="B654">
            <v>62270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6227088866</v>
          </cell>
          <cell r="B655">
            <v>62270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6227088870</v>
          </cell>
          <cell r="B656">
            <v>62270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6227088889</v>
          </cell>
          <cell r="B657">
            <v>62270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6227089776</v>
          </cell>
          <cell r="B658">
            <v>62270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6227089787</v>
          </cell>
          <cell r="B659">
            <v>62270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6227089510</v>
          </cell>
          <cell r="B660">
            <v>62270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681217</v>
          </cell>
          <cell r="G660">
            <v>-681217</v>
          </cell>
          <cell r="H660">
            <v>1146735</v>
          </cell>
          <cell r="I660">
            <v>1146735</v>
          </cell>
          <cell r="J660">
            <v>0</v>
          </cell>
        </row>
        <row r="661">
          <cell r="A661" t="str">
            <v>6227089511</v>
          </cell>
          <cell r="B661">
            <v>62270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6227089512</v>
          </cell>
          <cell r="B662">
            <v>62270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6227089528</v>
          </cell>
          <cell r="B663">
            <v>62270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6227089529</v>
          </cell>
          <cell r="B664">
            <v>62270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15610</v>
          </cell>
          <cell r="G664">
            <v>-15610</v>
          </cell>
          <cell r="H664">
            <v>26760</v>
          </cell>
          <cell r="I664">
            <v>26760</v>
          </cell>
          <cell r="J664">
            <v>0</v>
          </cell>
        </row>
        <row r="665">
          <cell r="A665" t="str">
            <v>6227089567</v>
          </cell>
          <cell r="B665">
            <v>62270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6227085058</v>
          </cell>
          <cell r="B666">
            <v>62270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6227086513</v>
          </cell>
          <cell r="B667">
            <v>62270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425.71</v>
          </cell>
          <cell r="G667">
            <v>-425.71</v>
          </cell>
          <cell r="H667">
            <v>674.36</v>
          </cell>
          <cell r="I667">
            <v>674.36</v>
          </cell>
          <cell r="J667">
            <v>0</v>
          </cell>
        </row>
        <row r="668">
          <cell r="A668" t="str">
            <v>6227086519</v>
          </cell>
          <cell r="B668">
            <v>62270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6227088770</v>
          </cell>
          <cell r="B669">
            <v>62270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6227088862</v>
          </cell>
          <cell r="B670">
            <v>62270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6227088874</v>
          </cell>
          <cell r="B671">
            <v>62270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6227089910</v>
          </cell>
          <cell r="B672">
            <v>62270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349248.29</v>
          </cell>
          <cell r="G672">
            <v>-349248.29</v>
          </cell>
          <cell r="H672">
            <v>595854.16</v>
          </cell>
          <cell r="I672">
            <v>595854.16</v>
          </cell>
          <cell r="J672">
            <v>0</v>
          </cell>
        </row>
        <row r="673">
          <cell r="A673" t="str">
            <v>6227089548</v>
          </cell>
          <cell r="B673">
            <v>62270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6232041010</v>
          </cell>
          <cell r="B674">
            <v>62320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6232041040</v>
          </cell>
          <cell r="B675">
            <v>62320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6232041050</v>
          </cell>
          <cell r="B676">
            <v>62320</v>
          </cell>
          <cell r="C676">
            <v>41050</v>
          </cell>
          <cell r="D676" t="str">
            <v>Rental Income - Fixed</v>
          </cell>
          <cell r="E676">
            <v>-1204249.24</v>
          </cell>
          <cell r="F676">
            <v>-1407684.87</v>
          </cell>
          <cell r="G676">
            <v>203435.63</v>
          </cell>
          <cell r="H676">
            <v>-2673566.12</v>
          </cell>
          <cell r="I676">
            <v>-2673566.12</v>
          </cell>
          <cell r="J676">
            <v>0</v>
          </cell>
        </row>
        <row r="677">
          <cell r="A677" t="str">
            <v>6232041074</v>
          </cell>
          <cell r="B677">
            <v>62320</v>
          </cell>
          <cell r="C677">
            <v>41074</v>
          </cell>
          <cell r="D677" t="str">
            <v>Rental Income - Percentage</v>
          </cell>
          <cell r="E677">
            <v>-319189.01</v>
          </cell>
          <cell r="F677">
            <v>-155942</v>
          </cell>
          <cell r="G677">
            <v>-163247.01</v>
          </cell>
          <cell r="H677">
            <v>-155942</v>
          </cell>
          <cell r="I677">
            <v>-155942</v>
          </cell>
          <cell r="J677">
            <v>0</v>
          </cell>
        </row>
        <row r="678">
          <cell r="A678" t="str">
            <v>6232041082</v>
          </cell>
          <cell r="B678">
            <v>62320</v>
          </cell>
          <cell r="C678">
            <v>41082</v>
          </cell>
          <cell r="D678" t="str">
            <v>Rental Income - Operating Exp</v>
          </cell>
          <cell r="E678">
            <v>-513654.75</v>
          </cell>
          <cell r="F678">
            <v>-516005.56</v>
          </cell>
          <cell r="G678">
            <v>2350.81</v>
          </cell>
          <cell r="H678">
            <v>-884580.96</v>
          </cell>
          <cell r="I678">
            <v>-884580.96</v>
          </cell>
          <cell r="J678">
            <v>0</v>
          </cell>
        </row>
        <row r="679">
          <cell r="A679" t="str">
            <v>6232044610</v>
          </cell>
          <cell r="B679">
            <v>62320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6232045071</v>
          </cell>
          <cell r="B680">
            <v>62320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6232045010</v>
          </cell>
          <cell r="B681">
            <v>62320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6232045046</v>
          </cell>
          <cell r="B682">
            <v>62320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6232045070</v>
          </cell>
          <cell r="B683">
            <v>62320</v>
          </cell>
          <cell r="C683">
            <v>45070</v>
          </cell>
          <cell r="D683" t="str">
            <v>Other Income</v>
          </cell>
          <cell r="E683">
            <v>-1977.16</v>
          </cell>
          <cell r="F683">
            <v>0</v>
          </cell>
          <cell r="G683">
            <v>-1977.16</v>
          </cell>
          <cell r="H683">
            <v>0</v>
          </cell>
          <cell r="I683">
            <v>0</v>
          </cell>
          <cell r="J683">
            <v>0</v>
          </cell>
        </row>
        <row r="684">
          <cell r="A684" t="str">
            <v>6232041060</v>
          </cell>
          <cell r="B684">
            <v>62320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43331.19</v>
          </cell>
          <cell r="G684">
            <v>-43331.19</v>
          </cell>
          <cell r="H684">
            <v>74282</v>
          </cell>
          <cell r="I684">
            <v>74282</v>
          </cell>
          <cell r="J684">
            <v>0</v>
          </cell>
        </row>
        <row r="685">
          <cell r="A685" t="str">
            <v>6232044870</v>
          </cell>
          <cell r="B685">
            <v>62320</v>
          </cell>
          <cell r="C685">
            <v>44870</v>
          </cell>
          <cell r="D685" t="str">
            <v>Late Fees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6232052542</v>
          </cell>
          <cell r="B686">
            <v>62320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6232072710</v>
          </cell>
          <cell r="B687">
            <v>62320</v>
          </cell>
          <cell r="C687">
            <v>72710</v>
          </cell>
          <cell r="D687" t="str">
            <v>Utilities - Electricity</v>
          </cell>
          <cell r="E687">
            <v>26225.23</v>
          </cell>
          <cell r="F687">
            <v>24567.02</v>
          </cell>
          <cell r="G687">
            <v>1658.21</v>
          </cell>
          <cell r="H687">
            <v>39613.370000000003</v>
          </cell>
          <cell r="I687">
            <v>39613.370000000003</v>
          </cell>
          <cell r="J687">
            <v>0</v>
          </cell>
        </row>
        <row r="688">
          <cell r="A688" t="str">
            <v>6232072740</v>
          </cell>
          <cell r="B688">
            <v>62320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6232072770</v>
          </cell>
          <cell r="B689">
            <v>62320</v>
          </cell>
          <cell r="C689">
            <v>72770</v>
          </cell>
          <cell r="D689" t="str">
            <v>Utilities - Water</v>
          </cell>
          <cell r="E689">
            <v>6875.21</v>
          </cell>
          <cell r="F689">
            <v>4230.67</v>
          </cell>
          <cell r="G689">
            <v>2644.54</v>
          </cell>
          <cell r="H689">
            <v>8984.7800000000007</v>
          </cell>
          <cell r="I689">
            <v>8984.7800000000007</v>
          </cell>
          <cell r="J689">
            <v>0</v>
          </cell>
        </row>
        <row r="690">
          <cell r="A690" t="str">
            <v>6232076000</v>
          </cell>
          <cell r="B690">
            <v>62320</v>
          </cell>
          <cell r="C690">
            <v>76000</v>
          </cell>
          <cell r="D690" t="str">
            <v>Bldg Maintenance &amp; Repair</v>
          </cell>
          <cell r="E690">
            <v>25133.919999999998</v>
          </cell>
          <cell r="F690">
            <v>28250.07</v>
          </cell>
          <cell r="G690">
            <v>-3116.15</v>
          </cell>
          <cell r="H690">
            <v>44528.47</v>
          </cell>
          <cell r="I690">
            <v>44528.47</v>
          </cell>
          <cell r="J690">
            <v>0</v>
          </cell>
        </row>
        <row r="691">
          <cell r="A691" t="str">
            <v>6232076020</v>
          </cell>
          <cell r="B691">
            <v>62320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6232076034</v>
          </cell>
          <cell r="B692">
            <v>62320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6232076050</v>
          </cell>
          <cell r="B693">
            <v>62320</v>
          </cell>
          <cell r="C693">
            <v>76050</v>
          </cell>
          <cell r="D693" t="str">
            <v>Cleaning Expense</v>
          </cell>
          <cell r="E693">
            <v>49048.83</v>
          </cell>
          <cell r="F693">
            <v>48423.41</v>
          </cell>
          <cell r="G693">
            <v>625.41999999999803</v>
          </cell>
          <cell r="H693">
            <v>82104.429999999993</v>
          </cell>
          <cell r="I693">
            <v>82104.429999999993</v>
          </cell>
          <cell r="J693">
            <v>0</v>
          </cell>
        </row>
        <row r="694">
          <cell r="A694" t="str">
            <v>6232076056</v>
          </cell>
          <cell r="B694">
            <v>62320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6232076070</v>
          </cell>
          <cell r="B695">
            <v>62320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6232076091</v>
          </cell>
          <cell r="B696">
            <v>62320</v>
          </cell>
          <cell r="C696">
            <v>76091</v>
          </cell>
          <cell r="D696" t="str">
            <v>Parking Maintenance</v>
          </cell>
          <cell r="E696">
            <v>37072.18</v>
          </cell>
          <cell r="F696">
            <v>44970.32</v>
          </cell>
          <cell r="G696">
            <v>-7898.14</v>
          </cell>
          <cell r="H696">
            <v>72494.570000000007</v>
          </cell>
          <cell r="I696">
            <v>72494.570000000007</v>
          </cell>
          <cell r="J696">
            <v>0</v>
          </cell>
        </row>
        <row r="697">
          <cell r="A697" t="str">
            <v>6232077000</v>
          </cell>
          <cell r="B697">
            <v>62320</v>
          </cell>
          <cell r="C697">
            <v>77000</v>
          </cell>
          <cell r="D697" t="str">
            <v>Grounds Maintenance</v>
          </cell>
          <cell r="E697">
            <v>49956.1</v>
          </cell>
          <cell r="F697">
            <v>85097.83</v>
          </cell>
          <cell r="G697">
            <v>-35141.730000000003</v>
          </cell>
          <cell r="H697">
            <v>113278.88</v>
          </cell>
          <cell r="I697">
            <v>113278.88</v>
          </cell>
          <cell r="J697">
            <v>0</v>
          </cell>
        </row>
        <row r="698">
          <cell r="A698" t="str">
            <v>6232077053</v>
          </cell>
          <cell r="B698">
            <v>62320</v>
          </cell>
          <cell r="C698">
            <v>77053</v>
          </cell>
          <cell r="D698" t="str">
            <v>Landscaping</v>
          </cell>
          <cell r="E698">
            <v>60427.28</v>
          </cell>
          <cell r="F698">
            <v>84710.7</v>
          </cell>
          <cell r="G698">
            <v>-24283.42</v>
          </cell>
          <cell r="H698">
            <v>116121.65</v>
          </cell>
          <cell r="I698">
            <v>116121.65</v>
          </cell>
          <cell r="J698">
            <v>0</v>
          </cell>
        </row>
        <row r="699">
          <cell r="A699" t="str">
            <v>6232078020</v>
          </cell>
          <cell r="B699">
            <v>62320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6232084264</v>
          </cell>
          <cell r="B700">
            <v>62320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6232085555</v>
          </cell>
          <cell r="B701">
            <v>62320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6232085584</v>
          </cell>
          <cell r="B702">
            <v>62320</v>
          </cell>
          <cell r="C702">
            <v>85584</v>
          </cell>
          <cell r="D702" t="str">
            <v>Bldg Admin-Office Costs</v>
          </cell>
          <cell r="E702">
            <v>4798.32</v>
          </cell>
          <cell r="F702">
            <v>8393</v>
          </cell>
          <cell r="G702">
            <v>-3594.68</v>
          </cell>
          <cell r="H702">
            <v>14388</v>
          </cell>
          <cell r="I702">
            <v>14388</v>
          </cell>
          <cell r="J702">
            <v>0</v>
          </cell>
        </row>
        <row r="703">
          <cell r="A703" t="str">
            <v>6232085582</v>
          </cell>
          <cell r="B703">
            <v>62320</v>
          </cell>
          <cell r="C703">
            <v>85582</v>
          </cell>
          <cell r="D703" t="str">
            <v>Bldg Admin-Salaries</v>
          </cell>
          <cell r="E703">
            <v>22073.14</v>
          </cell>
          <cell r="F703">
            <v>48712.52</v>
          </cell>
          <cell r="G703">
            <v>-26639.38</v>
          </cell>
          <cell r="H703">
            <v>88808.2</v>
          </cell>
          <cell r="I703">
            <v>88808.2</v>
          </cell>
          <cell r="J703">
            <v>0</v>
          </cell>
        </row>
        <row r="704">
          <cell r="A704" t="str">
            <v>6232086564</v>
          </cell>
          <cell r="B704">
            <v>62320</v>
          </cell>
          <cell r="C704">
            <v>86564</v>
          </cell>
          <cell r="D704" t="str">
            <v>Insurance</v>
          </cell>
          <cell r="E704">
            <v>40754</v>
          </cell>
          <cell r="F704">
            <v>30466.94</v>
          </cell>
          <cell r="G704">
            <v>10287.06</v>
          </cell>
          <cell r="H704">
            <v>52229</v>
          </cell>
          <cell r="I704">
            <v>52229</v>
          </cell>
          <cell r="J704">
            <v>0</v>
          </cell>
        </row>
        <row r="705">
          <cell r="A705" t="str">
            <v>6232088846</v>
          </cell>
          <cell r="B705">
            <v>62320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6232088890</v>
          </cell>
          <cell r="B706">
            <v>62320</v>
          </cell>
          <cell r="C706">
            <v>88890</v>
          </cell>
          <cell r="D706" t="str">
            <v>Security/Safety</v>
          </cell>
          <cell r="E706">
            <v>57159.02</v>
          </cell>
          <cell r="F706">
            <v>59722.25</v>
          </cell>
          <cell r="G706">
            <v>-2563.23</v>
          </cell>
          <cell r="H706">
            <v>102381</v>
          </cell>
          <cell r="I706">
            <v>102381</v>
          </cell>
          <cell r="J706">
            <v>0</v>
          </cell>
        </row>
        <row r="707">
          <cell r="A707" t="str">
            <v>6232089775</v>
          </cell>
          <cell r="B707">
            <v>62320</v>
          </cell>
          <cell r="C707">
            <v>89775</v>
          </cell>
          <cell r="D707" t="str">
            <v>Assmt Dist Taxes- Reimb</v>
          </cell>
          <cell r="E707">
            <v>20627.810000000001</v>
          </cell>
          <cell r="F707">
            <v>26980.94</v>
          </cell>
          <cell r="G707">
            <v>-6353.13</v>
          </cell>
          <cell r="H707">
            <v>46253</v>
          </cell>
          <cell r="I707">
            <v>46253</v>
          </cell>
          <cell r="J707">
            <v>0</v>
          </cell>
        </row>
        <row r="708">
          <cell r="A708" t="str">
            <v>6232089729</v>
          </cell>
          <cell r="B708">
            <v>62320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6232089786</v>
          </cell>
          <cell r="B709">
            <v>62320</v>
          </cell>
          <cell r="C709">
            <v>89786</v>
          </cell>
          <cell r="D709" t="str">
            <v>Property Tax Exp</v>
          </cell>
          <cell r="E709">
            <v>87060.75</v>
          </cell>
          <cell r="F709">
            <v>111971.44</v>
          </cell>
          <cell r="G709">
            <v>-24910.69</v>
          </cell>
          <cell r="H709">
            <v>191951</v>
          </cell>
          <cell r="I709">
            <v>191951</v>
          </cell>
          <cell r="J709">
            <v>0</v>
          </cell>
        </row>
        <row r="710">
          <cell r="A710" t="str">
            <v>6232071040</v>
          </cell>
          <cell r="B710">
            <v>62320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6232072701</v>
          </cell>
          <cell r="B711">
            <v>62320</v>
          </cell>
          <cell r="C711">
            <v>72701</v>
          </cell>
          <cell r="D711" t="str">
            <v>Utilities</v>
          </cell>
          <cell r="E711">
            <v>-450</v>
          </cell>
          <cell r="F711">
            <v>0</v>
          </cell>
          <cell r="G711">
            <v>-450</v>
          </cell>
          <cell r="H711">
            <v>424.36</v>
          </cell>
          <cell r="I711">
            <v>424.36</v>
          </cell>
          <cell r="J711">
            <v>0</v>
          </cell>
        </row>
        <row r="712">
          <cell r="A712" t="str">
            <v>6232072855</v>
          </cell>
          <cell r="B712">
            <v>62320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6232072870</v>
          </cell>
          <cell r="B713">
            <v>62320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6232076010</v>
          </cell>
          <cell r="B714">
            <v>62320</v>
          </cell>
          <cell r="C714">
            <v>76010</v>
          </cell>
          <cell r="D714" t="str">
            <v>Tenant Alterations</v>
          </cell>
          <cell r="E714">
            <v>684.09</v>
          </cell>
          <cell r="F714">
            <v>0</v>
          </cell>
          <cell r="G714">
            <v>684.09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6232076040</v>
          </cell>
          <cell r="B715">
            <v>62320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6232076051</v>
          </cell>
          <cell r="B716">
            <v>62320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6232076054</v>
          </cell>
          <cell r="B717">
            <v>62320</v>
          </cell>
          <cell r="C717">
            <v>76054</v>
          </cell>
          <cell r="D717" t="str">
            <v>Bldg Maintenance &amp; Repair</v>
          </cell>
          <cell r="E717">
            <v>7869.95</v>
          </cell>
          <cell r="F717">
            <v>435.43</v>
          </cell>
          <cell r="G717">
            <v>7434.52</v>
          </cell>
          <cell r="H717">
            <v>777.79</v>
          </cell>
          <cell r="I717">
            <v>777.79</v>
          </cell>
          <cell r="J717">
            <v>0</v>
          </cell>
        </row>
        <row r="718">
          <cell r="A718" t="str">
            <v>6232076060</v>
          </cell>
          <cell r="B718">
            <v>62320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6232076071</v>
          </cell>
          <cell r="B719">
            <v>62320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6232076090</v>
          </cell>
          <cell r="B720">
            <v>62320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6232077001</v>
          </cell>
          <cell r="B721">
            <v>62320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6232077022</v>
          </cell>
          <cell r="B722">
            <v>62320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6232084200</v>
          </cell>
          <cell r="B723">
            <v>62320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6232084240</v>
          </cell>
          <cell r="B724">
            <v>62320</v>
          </cell>
          <cell r="C724">
            <v>84240</v>
          </cell>
          <cell r="D724" t="str">
            <v>Marketing Leasing</v>
          </cell>
          <cell r="E724">
            <v>4957.62</v>
          </cell>
          <cell r="F724">
            <v>18484.02</v>
          </cell>
          <cell r="G724">
            <v>-13526.4</v>
          </cell>
          <cell r="H724">
            <v>33321.699999999997</v>
          </cell>
          <cell r="I724">
            <v>33321.699999999997</v>
          </cell>
          <cell r="J724">
            <v>0</v>
          </cell>
        </row>
        <row r="725">
          <cell r="A725" t="str">
            <v>6232084242</v>
          </cell>
          <cell r="B725">
            <v>62320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6232084243</v>
          </cell>
          <cell r="B726">
            <v>62320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-27397</v>
          </cell>
          <cell r="I726">
            <v>-27397</v>
          </cell>
          <cell r="J726">
            <v>0</v>
          </cell>
        </row>
        <row r="727">
          <cell r="A727" t="str">
            <v>6232084244</v>
          </cell>
          <cell r="B727">
            <v>62320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6232084265</v>
          </cell>
          <cell r="B728">
            <v>62320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6232088037</v>
          </cell>
          <cell r="B729">
            <v>62320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6232085016</v>
          </cell>
          <cell r="B730">
            <v>62320</v>
          </cell>
          <cell r="C730">
            <v>85016</v>
          </cell>
          <cell r="D730" t="str">
            <v>Prof Svc-Attorney Outside</v>
          </cell>
          <cell r="E730">
            <v>-736</v>
          </cell>
          <cell r="F730">
            <v>2317.2399999999998</v>
          </cell>
          <cell r="G730">
            <v>-3053.24</v>
          </cell>
          <cell r="H730">
            <v>2626.24</v>
          </cell>
          <cell r="I730">
            <v>2626.24</v>
          </cell>
          <cell r="J730">
            <v>0</v>
          </cell>
        </row>
        <row r="731">
          <cell r="A731" t="str">
            <v>6232085022</v>
          </cell>
          <cell r="B731">
            <v>62320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2572.27</v>
          </cell>
          <cell r="I731">
            <v>2572.27</v>
          </cell>
          <cell r="J731">
            <v>0</v>
          </cell>
        </row>
        <row r="732">
          <cell r="A732" t="str">
            <v>6232085065</v>
          </cell>
          <cell r="B732">
            <v>62320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6232085500</v>
          </cell>
          <cell r="B733">
            <v>62320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7205.89</v>
          </cell>
          <cell r="G733">
            <v>-7205.89</v>
          </cell>
          <cell r="H733">
            <v>7308.89</v>
          </cell>
          <cell r="I733">
            <v>7308.89</v>
          </cell>
          <cell r="J733">
            <v>0</v>
          </cell>
        </row>
        <row r="734">
          <cell r="A734" t="str">
            <v>6232085566</v>
          </cell>
          <cell r="B734">
            <v>62320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6232085581</v>
          </cell>
          <cell r="B735">
            <v>62320</v>
          </cell>
          <cell r="C735">
            <v>85581</v>
          </cell>
          <cell r="D735" t="str">
            <v>Bldg Admin- Salaries</v>
          </cell>
          <cell r="E735">
            <v>11192.44</v>
          </cell>
          <cell r="F735">
            <v>37667.019999999997</v>
          </cell>
          <cell r="G735">
            <v>-26474.58</v>
          </cell>
          <cell r="H735">
            <v>67774.7</v>
          </cell>
          <cell r="I735">
            <v>67774.7</v>
          </cell>
          <cell r="J735">
            <v>0</v>
          </cell>
        </row>
        <row r="736">
          <cell r="A736" t="str">
            <v>6232085583</v>
          </cell>
          <cell r="B736">
            <v>62320</v>
          </cell>
          <cell r="C736">
            <v>85583</v>
          </cell>
          <cell r="D736" t="str">
            <v>Bldg Admin-Office Exp.</v>
          </cell>
          <cell r="E736">
            <v>2689.07</v>
          </cell>
          <cell r="F736">
            <v>0</v>
          </cell>
          <cell r="G736">
            <v>2689.07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6232085530</v>
          </cell>
          <cell r="B737">
            <v>62320</v>
          </cell>
          <cell r="C737">
            <v>85530</v>
          </cell>
          <cell r="D737" t="str">
            <v>Bldg Admin - Office Exp</v>
          </cell>
          <cell r="E737">
            <v>2689.07</v>
          </cell>
          <cell r="F737">
            <v>0</v>
          </cell>
          <cell r="G737">
            <v>2689.07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6232086012</v>
          </cell>
          <cell r="B738">
            <v>62320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6232086037</v>
          </cell>
          <cell r="B739">
            <v>62320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6232083050</v>
          </cell>
          <cell r="B740">
            <v>62320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6232086510</v>
          </cell>
          <cell r="B741">
            <v>62320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6232086537</v>
          </cell>
          <cell r="B742">
            <v>62320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6232086566</v>
          </cell>
          <cell r="B743">
            <v>62320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6232086955</v>
          </cell>
          <cell r="B744">
            <v>62320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6232086985</v>
          </cell>
          <cell r="B745">
            <v>62320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6232086880</v>
          </cell>
          <cell r="B746">
            <v>62320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6232088710</v>
          </cell>
          <cell r="B747">
            <v>62320</v>
          </cell>
          <cell r="C747">
            <v>88710</v>
          </cell>
          <cell r="D747" t="str">
            <v>Losses-Bad Debts</v>
          </cell>
          <cell r="E747">
            <v>7134.02</v>
          </cell>
          <cell r="F747">
            <v>37140</v>
          </cell>
          <cell r="G747">
            <v>-30005.98</v>
          </cell>
          <cell r="H747">
            <v>74280</v>
          </cell>
          <cell r="I747">
            <v>74280</v>
          </cell>
          <cell r="J747">
            <v>0</v>
          </cell>
        </row>
        <row r="748">
          <cell r="A748" t="str">
            <v>6232088711</v>
          </cell>
          <cell r="B748">
            <v>62320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6232088785</v>
          </cell>
          <cell r="B749">
            <v>62320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6232088847</v>
          </cell>
          <cell r="B750">
            <v>62320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6232088866</v>
          </cell>
          <cell r="B751">
            <v>62320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6232088870</v>
          </cell>
          <cell r="B752">
            <v>62320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6232088889</v>
          </cell>
          <cell r="B753">
            <v>62320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6232089776</v>
          </cell>
          <cell r="B754">
            <v>62320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6232089787</v>
          </cell>
          <cell r="B755">
            <v>62320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6232089510</v>
          </cell>
          <cell r="B756">
            <v>62320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6232089511</v>
          </cell>
          <cell r="B757">
            <v>62320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6232089512</v>
          </cell>
          <cell r="B758">
            <v>62320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6232089528</v>
          </cell>
          <cell r="B759">
            <v>62320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6232089529</v>
          </cell>
          <cell r="B760">
            <v>62320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6232089567</v>
          </cell>
          <cell r="B761">
            <v>62320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6232085058</v>
          </cell>
          <cell r="B762">
            <v>62320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6232086513</v>
          </cell>
          <cell r="B763">
            <v>62320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7363.64</v>
          </cell>
          <cell r="G763">
            <v>-7363.64</v>
          </cell>
          <cell r="H763">
            <v>15893.1</v>
          </cell>
          <cell r="I763">
            <v>15893.1</v>
          </cell>
          <cell r="J763">
            <v>0</v>
          </cell>
        </row>
        <row r="764">
          <cell r="A764" t="str">
            <v>6232086519</v>
          </cell>
          <cell r="B764">
            <v>62320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6232088770</v>
          </cell>
          <cell r="B765">
            <v>62320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6232088862</v>
          </cell>
          <cell r="B766">
            <v>62320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6232088874</v>
          </cell>
          <cell r="B767">
            <v>62320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6232089910</v>
          </cell>
          <cell r="B768">
            <v>62320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560973.09</v>
          </cell>
          <cell r="G768">
            <v>-560973.09</v>
          </cell>
          <cell r="H768">
            <v>969670.88</v>
          </cell>
          <cell r="I768">
            <v>969670.88</v>
          </cell>
          <cell r="J768">
            <v>0</v>
          </cell>
        </row>
        <row r="769">
          <cell r="A769" t="str">
            <v>6232089548</v>
          </cell>
          <cell r="B769">
            <v>62320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6252641010</v>
          </cell>
          <cell r="B770">
            <v>62526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6252641040</v>
          </cell>
          <cell r="B771">
            <v>62526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6252641050</v>
          </cell>
          <cell r="B772">
            <v>62526</v>
          </cell>
          <cell r="C772">
            <v>41050</v>
          </cell>
          <cell r="D772" t="str">
            <v>Rental Income - Fixed</v>
          </cell>
          <cell r="E772">
            <v>-1044287.66</v>
          </cell>
          <cell r="F772">
            <v>-1021739.24</v>
          </cell>
          <cell r="G772">
            <v>-22548.42</v>
          </cell>
          <cell r="H772">
            <v>-1789624.49</v>
          </cell>
          <cell r="I772">
            <v>-1789624.49</v>
          </cell>
          <cell r="J772">
            <v>0</v>
          </cell>
        </row>
        <row r="773">
          <cell r="A773" t="str">
            <v>6252641074</v>
          </cell>
          <cell r="B773">
            <v>62526</v>
          </cell>
          <cell r="C773">
            <v>41074</v>
          </cell>
          <cell r="D773" t="str">
            <v>Rental Income - Percentage</v>
          </cell>
          <cell r="E773">
            <v>-1756.16</v>
          </cell>
          <cell r="F773">
            <v>0</v>
          </cell>
          <cell r="G773">
            <v>-1756.16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6252641082</v>
          </cell>
          <cell r="B774">
            <v>62526</v>
          </cell>
          <cell r="C774">
            <v>41082</v>
          </cell>
          <cell r="D774" t="str">
            <v>Rental Income - Operating Exp</v>
          </cell>
          <cell r="E774">
            <v>-418102.19</v>
          </cell>
          <cell r="F774">
            <v>-387431.45</v>
          </cell>
          <cell r="G774">
            <v>-30670.74</v>
          </cell>
          <cell r="H774">
            <v>-664168.19999999995</v>
          </cell>
          <cell r="I774">
            <v>-664168.19999999995</v>
          </cell>
          <cell r="J774">
            <v>0</v>
          </cell>
        </row>
        <row r="775">
          <cell r="A775" t="str">
            <v>6252644610</v>
          </cell>
          <cell r="B775">
            <v>62526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6252645071</v>
          </cell>
          <cell r="B776">
            <v>62526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6252645010</v>
          </cell>
          <cell r="B777">
            <v>62526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6252645046</v>
          </cell>
          <cell r="B778">
            <v>62526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6252645070</v>
          </cell>
          <cell r="B779">
            <v>62526</v>
          </cell>
          <cell r="C779">
            <v>45070</v>
          </cell>
          <cell r="D779" t="str">
            <v>Other Income</v>
          </cell>
          <cell r="E779">
            <v>-1322.13</v>
          </cell>
          <cell r="F779">
            <v>0</v>
          </cell>
          <cell r="G779">
            <v>-1322.13</v>
          </cell>
          <cell r="H779">
            <v>-61.8</v>
          </cell>
          <cell r="I779">
            <v>-61.8</v>
          </cell>
          <cell r="J779">
            <v>0</v>
          </cell>
        </row>
        <row r="780">
          <cell r="A780" t="str">
            <v>6252641060</v>
          </cell>
          <cell r="B780">
            <v>62526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21466.69</v>
          </cell>
          <cell r="G780">
            <v>-21466.69</v>
          </cell>
          <cell r="H780">
            <v>36800</v>
          </cell>
          <cell r="I780">
            <v>36800</v>
          </cell>
          <cell r="J780">
            <v>0</v>
          </cell>
        </row>
        <row r="781">
          <cell r="A781" t="str">
            <v>6252644870</v>
          </cell>
          <cell r="B781">
            <v>62526</v>
          </cell>
          <cell r="C781">
            <v>44870</v>
          </cell>
          <cell r="D781" t="str">
            <v>Late Fees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6252652542</v>
          </cell>
          <cell r="B782">
            <v>62526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6252672710</v>
          </cell>
          <cell r="B783">
            <v>62526</v>
          </cell>
          <cell r="C783">
            <v>72710</v>
          </cell>
          <cell r="D783" t="str">
            <v>Utilities - Electricity</v>
          </cell>
          <cell r="E783">
            <v>18831.77</v>
          </cell>
          <cell r="F783">
            <v>21458.880000000001</v>
          </cell>
          <cell r="G783">
            <v>-2627.11</v>
          </cell>
          <cell r="H783">
            <v>36075.870000000003</v>
          </cell>
          <cell r="I783">
            <v>36075.870000000003</v>
          </cell>
          <cell r="J783">
            <v>0</v>
          </cell>
        </row>
        <row r="784">
          <cell r="A784" t="str">
            <v>6252672740</v>
          </cell>
          <cell r="B784">
            <v>62526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6252672770</v>
          </cell>
          <cell r="B785">
            <v>62526</v>
          </cell>
          <cell r="C785">
            <v>72770</v>
          </cell>
          <cell r="D785" t="str">
            <v>Utilities - Water</v>
          </cell>
          <cell r="E785">
            <v>8756.2900000000009</v>
          </cell>
          <cell r="F785">
            <v>6626.49</v>
          </cell>
          <cell r="G785">
            <v>2129.8000000000002</v>
          </cell>
          <cell r="H785">
            <v>9892.92</v>
          </cell>
          <cell r="I785">
            <v>9892.92</v>
          </cell>
          <cell r="J785">
            <v>0</v>
          </cell>
        </row>
        <row r="786">
          <cell r="A786" t="str">
            <v>6252676000</v>
          </cell>
          <cell r="B786">
            <v>62526</v>
          </cell>
          <cell r="C786">
            <v>76000</v>
          </cell>
          <cell r="D786" t="str">
            <v>Bldg Maintenance &amp; Repair</v>
          </cell>
          <cell r="E786">
            <v>30056.66</v>
          </cell>
          <cell r="F786">
            <v>30782.91</v>
          </cell>
          <cell r="G786">
            <v>-726.25</v>
          </cell>
          <cell r="H786">
            <v>47192.08</v>
          </cell>
          <cell r="I786">
            <v>47192.08</v>
          </cell>
          <cell r="J786">
            <v>0</v>
          </cell>
        </row>
        <row r="787">
          <cell r="A787" t="str">
            <v>6252676020</v>
          </cell>
          <cell r="B787">
            <v>62526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6252676034</v>
          </cell>
          <cell r="B788">
            <v>62526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6252676050</v>
          </cell>
          <cell r="B789">
            <v>62526</v>
          </cell>
          <cell r="C789">
            <v>76050</v>
          </cell>
          <cell r="D789" t="str">
            <v>Cleaning Expense</v>
          </cell>
          <cell r="E789">
            <v>47425.36</v>
          </cell>
          <cell r="F789">
            <v>42610.5</v>
          </cell>
          <cell r="G789">
            <v>4814.8599999999997</v>
          </cell>
          <cell r="H789">
            <v>73798.12</v>
          </cell>
          <cell r="I789">
            <v>73798.12</v>
          </cell>
          <cell r="J789">
            <v>0</v>
          </cell>
        </row>
        <row r="790">
          <cell r="A790" t="str">
            <v>6252676056</v>
          </cell>
          <cell r="B790">
            <v>62526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6252676070</v>
          </cell>
          <cell r="B791">
            <v>62526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6252676091</v>
          </cell>
          <cell r="B792">
            <v>62526</v>
          </cell>
          <cell r="C792">
            <v>76091</v>
          </cell>
          <cell r="D792" t="str">
            <v>Parking Maintenance</v>
          </cell>
          <cell r="E792">
            <v>31613.08</v>
          </cell>
          <cell r="F792">
            <v>65872.94</v>
          </cell>
          <cell r="G792">
            <v>-34259.86</v>
          </cell>
          <cell r="H792">
            <v>90407.29</v>
          </cell>
          <cell r="I792">
            <v>90407.29</v>
          </cell>
          <cell r="J792">
            <v>0</v>
          </cell>
        </row>
        <row r="793">
          <cell r="A793" t="str">
            <v>6252677000</v>
          </cell>
          <cell r="B793">
            <v>62526</v>
          </cell>
          <cell r="C793">
            <v>77000</v>
          </cell>
          <cell r="D793" t="str">
            <v>Grounds Maintenance</v>
          </cell>
          <cell r="E793">
            <v>32276.25</v>
          </cell>
          <cell r="F793">
            <v>36260.589999999997</v>
          </cell>
          <cell r="G793">
            <v>-3984.34</v>
          </cell>
          <cell r="H793">
            <v>47531.49</v>
          </cell>
          <cell r="I793">
            <v>47531.49</v>
          </cell>
          <cell r="J793">
            <v>0</v>
          </cell>
        </row>
        <row r="794">
          <cell r="A794" t="str">
            <v>6252677053</v>
          </cell>
          <cell r="B794">
            <v>62526</v>
          </cell>
          <cell r="C794">
            <v>77053</v>
          </cell>
          <cell r="D794" t="str">
            <v>Landscaping</v>
          </cell>
          <cell r="E794">
            <v>28279.75</v>
          </cell>
          <cell r="F794">
            <v>41264.230000000003</v>
          </cell>
          <cell r="G794">
            <v>-12984.48</v>
          </cell>
          <cell r="H794">
            <v>100977.44</v>
          </cell>
          <cell r="I794">
            <v>100977.44</v>
          </cell>
          <cell r="J794">
            <v>0</v>
          </cell>
        </row>
        <row r="795">
          <cell r="A795" t="str">
            <v>6252678020</v>
          </cell>
          <cell r="B795">
            <v>62526</v>
          </cell>
          <cell r="C795">
            <v>78020</v>
          </cell>
          <cell r="D795" t="str">
            <v>Amortized CAM Exp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6252684264</v>
          </cell>
          <cell r="B796">
            <v>62526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6252685555</v>
          </cell>
          <cell r="B797">
            <v>62526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6252685584</v>
          </cell>
          <cell r="B798">
            <v>62526</v>
          </cell>
          <cell r="C798">
            <v>85584</v>
          </cell>
          <cell r="D798" t="str">
            <v>Bldg Admin-Office Costs</v>
          </cell>
          <cell r="E798">
            <v>2726.92</v>
          </cell>
          <cell r="F798">
            <v>3264.94</v>
          </cell>
          <cell r="G798">
            <v>-538.02</v>
          </cell>
          <cell r="H798">
            <v>5597</v>
          </cell>
          <cell r="I798">
            <v>5597</v>
          </cell>
          <cell r="J798">
            <v>0</v>
          </cell>
        </row>
        <row r="799">
          <cell r="A799" t="str">
            <v>6252685582</v>
          </cell>
          <cell r="B799">
            <v>62526</v>
          </cell>
          <cell r="C799">
            <v>85582</v>
          </cell>
          <cell r="D799" t="str">
            <v>Bldg Admin-Salaries</v>
          </cell>
          <cell r="E799">
            <v>10661.2</v>
          </cell>
          <cell r="F799">
            <v>18950</v>
          </cell>
          <cell r="G799">
            <v>-8288.7999999999993</v>
          </cell>
          <cell r="H799">
            <v>34548</v>
          </cell>
          <cell r="I799">
            <v>34548</v>
          </cell>
          <cell r="J799">
            <v>0</v>
          </cell>
        </row>
        <row r="800">
          <cell r="A800" t="str">
            <v>6252686564</v>
          </cell>
          <cell r="B800">
            <v>62526</v>
          </cell>
          <cell r="C800">
            <v>86564</v>
          </cell>
          <cell r="D800" t="str">
            <v>Insurance</v>
          </cell>
          <cell r="E800">
            <v>17451</v>
          </cell>
          <cell r="F800">
            <v>11755.31</v>
          </cell>
          <cell r="G800">
            <v>5695.69</v>
          </cell>
          <cell r="H800">
            <v>20152</v>
          </cell>
          <cell r="I800">
            <v>20152</v>
          </cell>
          <cell r="J800">
            <v>0</v>
          </cell>
        </row>
        <row r="801">
          <cell r="A801" t="str">
            <v>6252688846</v>
          </cell>
          <cell r="B801">
            <v>62526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6252688890</v>
          </cell>
          <cell r="B802">
            <v>62526</v>
          </cell>
          <cell r="C802">
            <v>88890</v>
          </cell>
          <cell r="D802" t="str">
            <v>Security/Safety</v>
          </cell>
          <cell r="E802">
            <v>2464.75</v>
          </cell>
          <cell r="F802">
            <v>5833.31</v>
          </cell>
          <cell r="G802">
            <v>-3368.56</v>
          </cell>
          <cell r="H802">
            <v>10000</v>
          </cell>
          <cell r="I802">
            <v>10000</v>
          </cell>
          <cell r="J802">
            <v>0</v>
          </cell>
        </row>
        <row r="803">
          <cell r="A803" t="str">
            <v>6252689775</v>
          </cell>
          <cell r="B803">
            <v>62526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6252689729</v>
          </cell>
          <cell r="B804">
            <v>62526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6252689786</v>
          </cell>
          <cell r="B805">
            <v>62526</v>
          </cell>
          <cell r="C805">
            <v>89786</v>
          </cell>
          <cell r="D805" t="str">
            <v>Property Tax Exp</v>
          </cell>
          <cell r="E805">
            <v>76237.56</v>
          </cell>
          <cell r="F805">
            <v>70956.06</v>
          </cell>
          <cell r="G805">
            <v>5281.5</v>
          </cell>
          <cell r="H805">
            <v>121639</v>
          </cell>
          <cell r="I805">
            <v>121639</v>
          </cell>
          <cell r="J805">
            <v>0</v>
          </cell>
        </row>
        <row r="806">
          <cell r="A806" t="str">
            <v>6252671040</v>
          </cell>
          <cell r="B806">
            <v>62526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6252672701</v>
          </cell>
          <cell r="B807">
            <v>62526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6252672855</v>
          </cell>
          <cell r="B808">
            <v>62526</v>
          </cell>
          <cell r="C808">
            <v>72855</v>
          </cell>
          <cell r="D808" t="str">
            <v>Rent Expense-Ground</v>
          </cell>
          <cell r="E808">
            <v>204166.69</v>
          </cell>
          <cell r="F808">
            <v>204166.69</v>
          </cell>
          <cell r="G808">
            <v>0</v>
          </cell>
          <cell r="H808">
            <v>350000</v>
          </cell>
          <cell r="I808">
            <v>350000</v>
          </cell>
          <cell r="J808">
            <v>0</v>
          </cell>
        </row>
        <row r="809">
          <cell r="A809" t="str">
            <v>6252672870</v>
          </cell>
          <cell r="B809">
            <v>62526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6252676010</v>
          </cell>
          <cell r="B810">
            <v>62526</v>
          </cell>
          <cell r="C810">
            <v>76010</v>
          </cell>
          <cell r="D810" t="str">
            <v>Tenant Alterations</v>
          </cell>
          <cell r="E810">
            <v>4.13</v>
          </cell>
          <cell r="F810">
            <v>0</v>
          </cell>
          <cell r="G810">
            <v>4.13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6252676040</v>
          </cell>
          <cell r="B811">
            <v>62526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6252676051</v>
          </cell>
          <cell r="B812">
            <v>62526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6252676054</v>
          </cell>
          <cell r="B813">
            <v>62526</v>
          </cell>
          <cell r="C813">
            <v>76054</v>
          </cell>
          <cell r="D813" t="str">
            <v>Bldg Maintenance &amp; Repair</v>
          </cell>
          <cell r="E813">
            <v>2440.61</v>
          </cell>
          <cell r="F813">
            <v>335.32</v>
          </cell>
          <cell r="G813">
            <v>2105.29</v>
          </cell>
          <cell r="H813">
            <v>541.86</v>
          </cell>
          <cell r="I813">
            <v>541.86</v>
          </cell>
          <cell r="J813">
            <v>0</v>
          </cell>
        </row>
        <row r="814">
          <cell r="A814" t="str">
            <v>6252676060</v>
          </cell>
          <cell r="B814">
            <v>62526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6252676071</v>
          </cell>
          <cell r="B815">
            <v>62526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6252676090</v>
          </cell>
          <cell r="B816">
            <v>62526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6252677001</v>
          </cell>
          <cell r="B817">
            <v>62526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6252677022</v>
          </cell>
          <cell r="B818">
            <v>62526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6252684200</v>
          </cell>
          <cell r="B819">
            <v>62526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6252684240</v>
          </cell>
          <cell r="B820">
            <v>62526</v>
          </cell>
          <cell r="C820">
            <v>84240</v>
          </cell>
          <cell r="D820" t="str">
            <v>Marketing Leasing</v>
          </cell>
          <cell r="E820">
            <v>2365.12</v>
          </cell>
          <cell r="F820">
            <v>9019.73</v>
          </cell>
          <cell r="G820">
            <v>-6654.61</v>
          </cell>
          <cell r="H820">
            <v>16280.3</v>
          </cell>
          <cell r="I820">
            <v>16280.3</v>
          </cell>
          <cell r="J820">
            <v>0</v>
          </cell>
        </row>
        <row r="821">
          <cell r="A821" t="str">
            <v>6252684242</v>
          </cell>
          <cell r="B821">
            <v>62526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6252684243</v>
          </cell>
          <cell r="B822">
            <v>62526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-12897</v>
          </cell>
          <cell r="I822">
            <v>-12897</v>
          </cell>
          <cell r="J822">
            <v>0</v>
          </cell>
        </row>
        <row r="823">
          <cell r="A823" t="str">
            <v>6252684244</v>
          </cell>
          <cell r="B823">
            <v>62526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6252684265</v>
          </cell>
          <cell r="B824">
            <v>62526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6252688037</v>
          </cell>
          <cell r="B825">
            <v>62526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6252685016</v>
          </cell>
          <cell r="B826">
            <v>62526</v>
          </cell>
          <cell r="C826">
            <v>85016</v>
          </cell>
          <cell r="D826" t="str">
            <v>Prof Svc-Attorney Outside</v>
          </cell>
          <cell r="E826">
            <v>368.5</v>
          </cell>
          <cell r="F826">
            <v>0</v>
          </cell>
          <cell r="G826">
            <v>368.5</v>
          </cell>
          <cell r="H826">
            <v>515</v>
          </cell>
          <cell r="I826">
            <v>515</v>
          </cell>
          <cell r="J826">
            <v>0</v>
          </cell>
        </row>
        <row r="827">
          <cell r="A827" t="str">
            <v>6252685022</v>
          </cell>
          <cell r="B827">
            <v>62526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1943.97</v>
          </cell>
          <cell r="I827">
            <v>1943.97</v>
          </cell>
          <cell r="J827">
            <v>0</v>
          </cell>
        </row>
        <row r="828">
          <cell r="A828" t="str">
            <v>6252685065</v>
          </cell>
          <cell r="B828">
            <v>62526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6252685500</v>
          </cell>
          <cell r="B829">
            <v>62526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6252685566</v>
          </cell>
          <cell r="B830">
            <v>62526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6252685581</v>
          </cell>
          <cell r="B831">
            <v>62526</v>
          </cell>
          <cell r="C831">
            <v>85581</v>
          </cell>
          <cell r="D831" t="str">
            <v>Bldg Admin- Salaries</v>
          </cell>
          <cell r="E831">
            <v>5440.4</v>
          </cell>
          <cell r="F831">
            <v>19477.52</v>
          </cell>
          <cell r="G831">
            <v>-14037.12</v>
          </cell>
          <cell r="H831">
            <v>34638.199999999997</v>
          </cell>
          <cell r="I831">
            <v>34638.199999999997</v>
          </cell>
          <cell r="J831">
            <v>0</v>
          </cell>
        </row>
        <row r="832">
          <cell r="A832" t="str">
            <v>6252685583</v>
          </cell>
          <cell r="B832">
            <v>62526</v>
          </cell>
          <cell r="C832">
            <v>85583</v>
          </cell>
          <cell r="D832" t="str">
            <v>Bldg Admin-Office Exp.</v>
          </cell>
          <cell r="E832">
            <v>1310.7</v>
          </cell>
          <cell r="F832">
            <v>0</v>
          </cell>
          <cell r="G832">
            <v>1310.7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6252685530</v>
          </cell>
          <cell r="B833">
            <v>62526</v>
          </cell>
          <cell r="C833">
            <v>85530</v>
          </cell>
          <cell r="D833" t="str">
            <v>Bldg Admin - Office Exp</v>
          </cell>
          <cell r="E833">
            <v>1310.7</v>
          </cell>
          <cell r="F833">
            <v>0</v>
          </cell>
          <cell r="G833">
            <v>1310.7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6252686012</v>
          </cell>
          <cell r="B834">
            <v>62526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6252686037</v>
          </cell>
          <cell r="B835">
            <v>62526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6252683050</v>
          </cell>
          <cell r="B836">
            <v>62526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6252686510</v>
          </cell>
          <cell r="B837">
            <v>62526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6252686537</v>
          </cell>
          <cell r="B838">
            <v>62526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6252686566</v>
          </cell>
          <cell r="B839">
            <v>62526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6252686955</v>
          </cell>
          <cell r="B840">
            <v>62526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6252686985</v>
          </cell>
          <cell r="B841">
            <v>62526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6252686880</v>
          </cell>
          <cell r="B842">
            <v>62526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6252688710</v>
          </cell>
          <cell r="B843">
            <v>62526</v>
          </cell>
          <cell r="C843">
            <v>88710</v>
          </cell>
          <cell r="D843" t="str">
            <v>Losses-Bad Debts</v>
          </cell>
          <cell r="E843">
            <v>-42637.52</v>
          </cell>
          <cell r="F843">
            <v>18400.400000000001</v>
          </cell>
          <cell r="G843">
            <v>-61037.919999999998</v>
          </cell>
          <cell r="H843">
            <v>36800.639999999999</v>
          </cell>
          <cell r="I843">
            <v>36800.639999999999</v>
          </cell>
          <cell r="J843">
            <v>0</v>
          </cell>
        </row>
        <row r="844">
          <cell r="A844" t="str">
            <v>6252688711</v>
          </cell>
          <cell r="B844">
            <v>62526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6252688785</v>
          </cell>
          <cell r="B845">
            <v>62526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6252688847</v>
          </cell>
          <cell r="B846">
            <v>62526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6252688866</v>
          </cell>
          <cell r="B847">
            <v>62526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6252688870</v>
          </cell>
          <cell r="B848">
            <v>62526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6252688889</v>
          </cell>
          <cell r="B849">
            <v>62526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6252689776</v>
          </cell>
          <cell r="B850">
            <v>62526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6252689787</v>
          </cell>
          <cell r="B851">
            <v>62526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6252689510</v>
          </cell>
          <cell r="B852">
            <v>62526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6252689511</v>
          </cell>
          <cell r="B853">
            <v>62526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6252689512</v>
          </cell>
          <cell r="B854">
            <v>62526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6252689528</v>
          </cell>
          <cell r="B855">
            <v>62526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6252689529</v>
          </cell>
          <cell r="B856">
            <v>62526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6252689567</v>
          </cell>
          <cell r="B857">
            <v>62526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6252685058</v>
          </cell>
          <cell r="B858">
            <v>62526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6252686513</v>
          </cell>
          <cell r="B859">
            <v>62526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3014.76</v>
          </cell>
          <cell r="G859">
            <v>-3014.76</v>
          </cell>
          <cell r="H859">
            <v>5245.62</v>
          </cell>
          <cell r="I859">
            <v>5245.62</v>
          </cell>
          <cell r="J859">
            <v>0</v>
          </cell>
        </row>
        <row r="860">
          <cell r="A860" t="str">
            <v>6252686519</v>
          </cell>
          <cell r="B860">
            <v>62526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6252688770</v>
          </cell>
          <cell r="B861">
            <v>62526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6252688862</v>
          </cell>
          <cell r="B862">
            <v>62526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6252688874</v>
          </cell>
          <cell r="B863">
            <v>62526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6252689910</v>
          </cell>
          <cell r="B864">
            <v>62526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160245.59</v>
          </cell>
          <cell r="G864">
            <v>-160245.59</v>
          </cell>
          <cell r="H864">
            <v>274706.71000000002</v>
          </cell>
          <cell r="I864">
            <v>274706.71000000002</v>
          </cell>
          <cell r="J864">
            <v>0</v>
          </cell>
        </row>
        <row r="865">
          <cell r="A865" t="str">
            <v>6252689548</v>
          </cell>
          <cell r="B865">
            <v>62526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</sheetData>
      <sheetData sheetId="11"/>
      <sheetData sheetId="12"/>
      <sheetData sheetId="1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ona Del Mar"/>
      <sheetName val="Crossroads"/>
      <sheetName val="Crytal Cove"/>
      <sheetName val="Harbor View"/>
      <sheetName val="Harvard Place"/>
      <sheetName val="Harvard Place Auto Plaza"/>
      <sheetName val="Newport Coast"/>
      <sheetName val="Newport Hills"/>
      <sheetName val="Westpark"/>
      <sheetName val="Corona Del Mar-forecast"/>
      <sheetName val="Crossroads-forecast"/>
      <sheetName val="Crytal Cove-forecast"/>
      <sheetName val="Harbor View-forecast"/>
      <sheetName val="Harvard Place-forecast"/>
      <sheetName val="Harvard Place Auto Plaza-forcst"/>
      <sheetName val="Newport Coast-forecast"/>
      <sheetName val="Newport Hills-forecast"/>
      <sheetName val="Westpark-forecast"/>
      <sheetName val="Corona Del Mar-PY"/>
      <sheetName val="Crossroads-PY"/>
      <sheetName val="Crytal Cove-PY"/>
      <sheetName val="Harbor View-PY"/>
      <sheetName val="Harvard Place-PY"/>
      <sheetName val="Harvard Place Auto Plaza-PY"/>
      <sheetName val="Newport Coast-PY"/>
      <sheetName val="Newport Hills-PY"/>
      <sheetName val="Westpark-PY"/>
      <sheetName val="budget"/>
      <sheetName val="forecast"/>
      <sheetName val="prior y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 t="str">
            <v>6213541010</v>
          </cell>
          <cell r="B2">
            <v>62135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6213541040</v>
          </cell>
          <cell r="B3">
            <v>62135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6213541050</v>
          </cell>
          <cell r="B4">
            <v>62135</v>
          </cell>
          <cell r="C4">
            <v>41050</v>
          </cell>
          <cell r="D4" t="str">
            <v>Rental Income - Fixed</v>
          </cell>
          <cell r="E4">
            <v>-1082620.67</v>
          </cell>
          <cell r="F4">
            <v>-1082247.6200000001</v>
          </cell>
          <cell r="G4">
            <v>-373.04999999981402</v>
          </cell>
          <cell r="H4">
            <v>-1637072.34</v>
          </cell>
          <cell r="I4">
            <v>-1619614.13</v>
          </cell>
          <cell r="J4">
            <v>17458.210000000199</v>
          </cell>
        </row>
        <row r="5">
          <cell r="A5" t="str">
            <v>6213541074</v>
          </cell>
          <cell r="B5">
            <v>62135</v>
          </cell>
          <cell r="C5">
            <v>41074</v>
          </cell>
          <cell r="D5" t="str">
            <v>Rental Income - Percentage</v>
          </cell>
          <cell r="E5">
            <v>-5495.09</v>
          </cell>
          <cell r="F5">
            <v>-3528</v>
          </cell>
          <cell r="G5">
            <v>-1967.09</v>
          </cell>
          <cell r="H5">
            <v>0</v>
          </cell>
          <cell r="I5">
            <v>-3528</v>
          </cell>
          <cell r="J5">
            <v>-3528</v>
          </cell>
        </row>
        <row r="6">
          <cell r="A6" t="str">
            <v>6213541082</v>
          </cell>
          <cell r="B6">
            <v>62135</v>
          </cell>
          <cell r="C6">
            <v>41082</v>
          </cell>
          <cell r="D6" t="str">
            <v>Rental Income - Operating Exp</v>
          </cell>
          <cell r="E6">
            <v>-340282.96</v>
          </cell>
          <cell r="F6">
            <v>-317376.08</v>
          </cell>
          <cell r="G6">
            <v>-22906.880000000001</v>
          </cell>
          <cell r="H6">
            <v>-436686.12</v>
          </cell>
          <cell r="I6">
            <v>-504080.72</v>
          </cell>
          <cell r="J6">
            <v>-67394.600000000006</v>
          </cell>
        </row>
        <row r="7">
          <cell r="A7" t="str">
            <v>6213544610</v>
          </cell>
          <cell r="B7">
            <v>62135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6213545071</v>
          </cell>
          <cell r="B8">
            <v>62135</v>
          </cell>
          <cell r="C8">
            <v>45071</v>
          </cell>
          <cell r="D8" t="str">
            <v>Termination Fee</v>
          </cell>
          <cell r="E8">
            <v>0</v>
          </cell>
          <cell r="F8">
            <v>-6800</v>
          </cell>
          <cell r="G8">
            <v>6800</v>
          </cell>
          <cell r="H8">
            <v>0</v>
          </cell>
          <cell r="I8">
            <v>-6800</v>
          </cell>
          <cell r="J8">
            <v>-6800</v>
          </cell>
        </row>
        <row r="9">
          <cell r="A9" t="str">
            <v>6213545010</v>
          </cell>
          <cell r="B9">
            <v>62135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6213545046</v>
          </cell>
          <cell r="B10">
            <v>62135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6213545070</v>
          </cell>
          <cell r="B11">
            <v>62135</v>
          </cell>
          <cell r="C11">
            <v>45070</v>
          </cell>
          <cell r="D11" t="str">
            <v>Other Income</v>
          </cell>
          <cell r="E11">
            <v>-6800</v>
          </cell>
          <cell r="F11">
            <v>-12330.01</v>
          </cell>
          <cell r="G11">
            <v>5530.01</v>
          </cell>
          <cell r="H11">
            <v>-103</v>
          </cell>
          <cell r="I11">
            <v>-12433.01</v>
          </cell>
          <cell r="J11">
            <v>-12330.01</v>
          </cell>
        </row>
        <row r="12">
          <cell r="A12" t="str">
            <v>6213541060</v>
          </cell>
          <cell r="B12">
            <v>62135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24828.52</v>
          </cell>
          <cell r="G12">
            <v>-24828.52</v>
          </cell>
          <cell r="H12">
            <v>31106</v>
          </cell>
          <cell r="I12">
            <v>49657</v>
          </cell>
          <cell r="J12">
            <v>18551</v>
          </cell>
        </row>
        <row r="13">
          <cell r="A13" t="str">
            <v>6213544870</v>
          </cell>
          <cell r="B13">
            <v>62135</v>
          </cell>
          <cell r="C13">
            <v>44870</v>
          </cell>
          <cell r="D13" t="str">
            <v>Late Fees</v>
          </cell>
          <cell r="E13">
            <v>-0.87</v>
          </cell>
          <cell r="F13">
            <v>0</v>
          </cell>
          <cell r="G13">
            <v>-0.87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6213552542</v>
          </cell>
          <cell r="B14">
            <v>62135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6213572710</v>
          </cell>
          <cell r="B15">
            <v>62135</v>
          </cell>
          <cell r="C15">
            <v>72710</v>
          </cell>
          <cell r="D15" t="str">
            <v>Utilities - Electricity</v>
          </cell>
          <cell r="E15">
            <v>9686.7999999999993</v>
          </cell>
          <cell r="F15">
            <v>12096.14</v>
          </cell>
          <cell r="G15">
            <v>-2409.34</v>
          </cell>
          <cell r="H15">
            <v>18729.75</v>
          </cell>
          <cell r="I15">
            <v>18730.22</v>
          </cell>
          <cell r="J15">
            <v>0.47000000000116399</v>
          </cell>
        </row>
        <row r="16">
          <cell r="A16" t="str">
            <v>6213572740</v>
          </cell>
          <cell r="B16">
            <v>62135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6213572770</v>
          </cell>
          <cell r="B17">
            <v>62135</v>
          </cell>
          <cell r="C17">
            <v>72770</v>
          </cell>
          <cell r="D17" t="str">
            <v>Utilities - Water</v>
          </cell>
          <cell r="E17">
            <v>6989.02</v>
          </cell>
          <cell r="F17">
            <v>6761.26</v>
          </cell>
          <cell r="G17">
            <v>227.76</v>
          </cell>
          <cell r="H17">
            <v>9675.6</v>
          </cell>
          <cell r="I17">
            <v>9676.26</v>
          </cell>
          <cell r="J17">
            <v>0.65999999999985404</v>
          </cell>
        </row>
        <row r="18">
          <cell r="A18" t="str">
            <v>6213576000</v>
          </cell>
          <cell r="B18">
            <v>62135</v>
          </cell>
          <cell r="C18">
            <v>76000</v>
          </cell>
          <cell r="D18" t="str">
            <v>Bldg Maintenance &amp; Repair</v>
          </cell>
          <cell r="E18">
            <v>22602.57</v>
          </cell>
          <cell r="F18">
            <v>20192.580000000002</v>
          </cell>
          <cell r="G18">
            <v>2409.9899999999998</v>
          </cell>
          <cell r="H18">
            <v>39163.660000000003</v>
          </cell>
          <cell r="I18">
            <v>38528.94</v>
          </cell>
          <cell r="J18">
            <v>-634.72000000000105</v>
          </cell>
        </row>
        <row r="19">
          <cell r="A19" t="str">
            <v>6213576020</v>
          </cell>
          <cell r="B19">
            <v>62135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6213576034</v>
          </cell>
          <cell r="B20">
            <v>62135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6213576050</v>
          </cell>
          <cell r="B21">
            <v>62135</v>
          </cell>
          <cell r="C21">
            <v>76050</v>
          </cell>
          <cell r="D21" t="str">
            <v>Cleaning Expense</v>
          </cell>
          <cell r="E21">
            <v>21694.87</v>
          </cell>
          <cell r="F21">
            <v>21799.83</v>
          </cell>
          <cell r="G21">
            <v>-104.96000000000301</v>
          </cell>
          <cell r="H21">
            <v>31428.16</v>
          </cell>
          <cell r="I21">
            <v>32807.83</v>
          </cell>
          <cell r="J21">
            <v>1379.67</v>
          </cell>
        </row>
        <row r="22">
          <cell r="A22" t="str">
            <v>6213576056</v>
          </cell>
          <cell r="B22">
            <v>62135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6213576070</v>
          </cell>
          <cell r="B23">
            <v>62135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6213576091</v>
          </cell>
          <cell r="B24">
            <v>62135</v>
          </cell>
          <cell r="C24">
            <v>76091</v>
          </cell>
          <cell r="D24" t="str">
            <v>Parking Maintenance</v>
          </cell>
          <cell r="E24">
            <v>20191.29</v>
          </cell>
          <cell r="F24">
            <v>28284.68</v>
          </cell>
          <cell r="G24">
            <v>-8093.39</v>
          </cell>
          <cell r="H24">
            <v>40763.08</v>
          </cell>
          <cell r="I24">
            <v>40763.18</v>
          </cell>
          <cell r="J24">
            <v>9.9999999998544795E-2</v>
          </cell>
        </row>
        <row r="25">
          <cell r="A25" t="str">
            <v>6213577000</v>
          </cell>
          <cell r="B25">
            <v>62135</v>
          </cell>
          <cell r="C25">
            <v>77000</v>
          </cell>
          <cell r="D25" t="str">
            <v>Grounds Maintenance</v>
          </cell>
          <cell r="E25">
            <v>28227.61</v>
          </cell>
          <cell r="F25">
            <v>39709.14</v>
          </cell>
          <cell r="G25">
            <v>-11481.53</v>
          </cell>
          <cell r="H25">
            <v>51270.38</v>
          </cell>
          <cell r="I25">
            <v>56586.5</v>
          </cell>
          <cell r="J25">
            <v>5316.12</v>
          </cell>
        </row>
        <row r="26">
          <cell r="A26" t="str">
            <v>6213577053</v>
          </cell>
          <cell r="B26">
            <v>62135</v>
          </cell>
          <cell r="C26">
            <v>77053</v>
          </cell>
          <cell r="D26" t="str">
            <v>Landscaping</v>
          </cell>
          <cell r="E26">
            <v>28421</v>
          </cell>
          <cell r="F26">
            <v>26104.639999999999</v>
          </cell>
          <cell r="G26">
            <v>2316.36</v>
          </cell>
          <cell r="H26">
            <v>40894.94</v>
          </cell>
          <cell r="I26">
            <v>39537.03</v>
          </cell>
          <cell r="J26">
            <v>-1357.91</v>
          </cell>
        </row>
        <row r="27">
          <cell r="A27" t="str">
            <v>6213578020</v>
          </cell>
          <cell r="B27">
            <v>62135</v>
          </cell>
          <cell r="C27">
            <v>78020</v>
          </cell>
          <cell r="D27" t="str">
            <v>Amortized CAM Exp</v>
          </cell>
          <cell r="E27">
            <v>37832.269999999997</v>
          </cell>
          <cell r="F27">
            <v>35613.440000000002</v>
          </cell>
          <cell r="G27">
            <v>2218.8299999999899</v>
          </cell>
          <cell r="H27">
            <v>18279</v>
          </cell>
          <cell r="I27">
            <v>63491</v>
          </cell>
          <cell r="J27">
            <v>45212</v>
          </cell>
        </row>
        <row r="28">
          <cell r="A28" t="str">
            <v>6213584264</v>
          </cell>
          <cell r="B28">
            <v>62135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6213585555</v>
          </cell>
          <cell r="B29">
            <v>62135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6213585584</v>
          </cell>
          <cell r="B30">
            <v>62135</v>
          </cell>
          <cell r="C30">
            <v>85584</v>
          </cell>
          <cell r="D30" t="str">
            <v>Bldg Admin-Office Costs</v>
          </cell>
          <cell r="E30">
            <v>3501.83</v>
          </cell>
          <cell r="F30">
            <v>3695.53</v>
          </cell>
          <cell r="G30">
            <v>-193.7</v>
          </cell>
          <cell r="H30">
            <v>8077</v>
          </cell>
          <cell r="I30">
            <v>5408</v>
          </cell>
          <cell r="J30">
            <v>-2669</v>
          </cell>
        </row>
        <row r="31">
          <cell r="A31" t="str">
            <v>6213585582</v>
          </cell>
          <cell r="B31">
            <v>62135</v>
          </cell>
          <cell r="C31">
            <v>85582</v>
          </cell>
          <cell r="D31" t="str">
            <v>Bldg Admin-Salaries</v>
          </cell>
          <cell r="E31">
            <v>20671.86</v>
          </cell>
          <cell r="F31">
            <v>21507.119999999999</v>
          </cell>
          <cell r="G31">
            <v>-835.25999999999794</v>
          </cell>
          <cell r="H31">
            <v>48460</v>
          </cell>
          <cell r="I31">
            <v>34546</v>
          </cell>
          <cell r="J31">
            <v>-13914</v>
          </cell>
        </row>
        <row r="32">
          <cell r="A32" t="str">
            <v>6213586564</v>
          </cell>
          <cell r="B32">
            <v>62135</v>
          </cell>
          <cell r="C32">
            <v>86564</v>
          </cell>
          <cell r="D32" t="str">
            <v>Insurance</v>
          </cell>
          <cell r="E32">
            <v>18080</v>
          </cell>
          <cell r="F32">
            <v>19840</v>
          </cell>
          <cell r="G32">
            <v>-1760</v>
          </cell>
          <cell r="H32">
            <v>27108</v>
          </cell>
          <cell r="I32">
            <v>29760</v>
          </cell>
          <cell r="J32">
            <v>2652</v>
          </cell>
        </row>
        <row r="33">
          <cell r="A33" t="str">
            <v>6213588846</v>
          </cell>
          <cell r="B33">
            <v>62135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6213588890</v>
          </cell>
          <cell r="B34">
            <v>62135</v>
          </cell>
          <cell r="C34">
            <v>88890</v>
          </cell>
          <cell r="D34" t="str">
            <v>Security/Safety</v>
          </cell>
          <cell r="E34">
            <v>22701</v>
          </cell>
          <cell r="F34">
            <v>12092.4</v>
          </cell>
          <cell r="G34">
            <v>10608.6</v>
          </cell>
          <cell r="H34">
            <v>2976.06</v>
          </cell>
          <cell r="I34">
            <v>13292.4</v>
          </cell>
          <cell r="J34">
            <v>10316.34</v>
          </cell>
        </row>
        <row r="35">
          <cell r="A35" t="str">
            <v>6213589775</v>
          </cell>
          <cell r="B35">
            <v>62135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6213589729</v>
          </cell>
          <cell r="B36">
            <v>62135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6213589786</v>
          </cell>
          <cell r="B37">
            <v>62135</v>
          </cell>
          <cell r="C37">
            <v>89786</v>
          </cell>
          <cell r="D37" t="str">
            <v>Property Tax Exp</v>
          </cell>
          <cell r="E37">
            <v>61612.639999999999</v>
          </cell>
          <cell r="F37">
            <v>61613.68</v>
          </cell>
          <cell r="G37">
            <v>-1.04000000000087</v>
          </cell>
          <cell r="H37">
            <v>91298</v>
          </cell>
          <cell r="I37">
            <v>92421.68</v>
          </cell>
          <cell r="J37">
            <v>1123.6799999999901</v>
          </cell>
        </row>
        <row r="38">
          <cell r="A38" t="str">
            <v>6213571040</v>
          </cell>
          <cell r="B38">
            <v>62135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6213572701</v>
          </cell>
          <cell r="B39">
            <v>62135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51.5</v>
          </cell>
          <cell r="I39">
            <v>51.5</v>
          </cell>
          <cell r="J39">
            <v>0</v>
          </cell>
        </row>
        <row r="40">
          <cell r="A40" t="str">
            <v>6213572855</v>
          </cell>
          <cell r="B40">
            <v>62135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6213572870</v>
          </cell>
          <cell r="B41">
            <v>62135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6213576010</v>
          </cell>
          <cell r="B42">
            <v>62135</v>
          </cell>
          <cell r="C42">
            <v>76010</v>
          </cell>
          <cell r="D42" t="str">
            <v>Tenant Alterations</v>
          </cell>
          <cell r="E42">
            <v>2.78</v>
          </cell>
          <cell r="F42">
            <v>0</v>
          </cell>
          <cell r="G42">
            <v>2.78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6213576040</v>
          </cell>
          <cell r="B43">
            <v>62135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6213576051</v>
          </cell>
          <cell r="B44">
            <v>62135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6213576054</v>
          </cell>
          <cell r="B45">
            <v>62135</v>
          </cell>
          <cell r="C45">
            <v>76054</v>
          </cell>
          <cell r="D45" t="str">
            <v>Bldg Maintenance &amp; Repair</v>
          </cell>
          <cell r="E45">
            <v>134.75</v>
          </cell>
          <cell r="F45">
            <v>228.01</v>
          </cell>
          <cell r="G45">
            <v>-93.26</v>
          </cell>
          <cell r="H45">
            <v>75837.59</v>
          </cell>
          <cell r="I45">
            <v>75228.009999999995</v>
          </cell>
          <cell r="J45">
            <v>-609.58000000000197</v>
          </cell>
        </row>
        <row r="46">
          <cell r="A46" t="str">
            <v>6213576060</v>
          </cell>
          <cell r="B46">
            <v>62135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6213576071</v>
          </cell>
          <cell r="B47">
            <v>62135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6213576090</v>
          </cell>
          <cell r="B48">
            <v>62135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6213577001</v>
          </cell>
          <cell r="B49">
            <v>62135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6213577022</v>
          </cell>
          <cell r="B50">
            <v>62135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6213584200</v>
          </cell>
          <cell r="B51">
            <v>62135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6213584240</v>
          </cell>
          <cell r="B52">
            <v>62135</v>
          </cell>
          <cell r="C52">
            <v>84240</v>
          </cell>
          <cell r="D52" t="str">
            <v>Marketing Leasing</v>
          </cell>
          <cell r="E52">
            <v>13.89</v>
          </cell>
          <cell r="F52">
            <v>656.21</v>
          </cell>
          <cell r="G52">
            <v>-642.32000000000005</v>
          </cell>
          <cell r="H52">
            <v>1927</v>
          </cell>
          <cell r="I52">
            <v>1298.57</v>
          </cell>
          <cell r="J52">
            <v>-628.42999999999995</v>
          </cell>
        </row>
        <row r="53">
          <cell r="A53" t="str">
            <v>6213584242</v>
          </cell>
          <cell r="B53">
            <v>62135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6213584243</v>
          </cell>
          <cell r="B54">
            <v>62135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6213584244</v>
          </cell>
          <cell r="B55">
            <v>62135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6213584265</v>
          </cell>
          <cell r="B56">
            <v>62135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6213588037</v>
          </cell>
          <cell r="B57">
            <v>62135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6213585016</v>
          </cell>
          <cell r="B58">
            <v>62135</v>
          </cell>
          <cell r="C58">
            <v>85016</v>
          </cell>
          <cell r="D58" t="str">
            <v>Prof Svc-Attorney Outside</v>
          </cell>
          <cell r="E58">
            <v>956.97</v>
          </cell>
          <cell r="F58">
            <v>685.8</v>
          </cell>
          <cell r="G58">
            <v>271.17</v>
          </cell>
          <cell r="H58">
            <v>2210</v>
          </cell>
          <cell r="I58">
            <v>2209.8000000000002</v>
          </cell>
          <cell r="J58">
            <v>-0.19999999999981799</v>
          </cell>
        </row>
        <row r="59">
          <cell r="A59" t="str">
            <v>6213585022</v>
          </cell>
          <cell r="B59">
            <v>62135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205.33</v>
          </cell>
          <cell r="G59">
            <v>-205.33</v>
          </cell>
          <cell r="H59">
            <v>2121.13</v>
          </cell>
          <cell r="I59">
            <v>2121.13</v>
          </cell>
          <cell r="J59">
            <v>0</v>
          </cell>
        </row>
        <row r="60">
          <cell r="A60" t="str">
            <v>6213585065</v>
          </cell>
          <cell r="B60">
            <v>62135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6213585500</v>
          </cell>
          <cell r="B61">
            <v>62135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1238.58</v>
          </cell>
          <cell r="I61">
            <v>1030</v>
          </cell>
          <cell r="J61">
            <v>-208.58</v>
          </cell>
        </row>
        <row r="62">
          <cell r="A62" t="str">
            <v>6213585566</v>
          </cell>
          <cell r="B62">
            <v>62135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6213585581</v>
          </cell>
          <cell r="B63">
            <v>62135</v>
          </cell>
          <cell r="C63">
            <v>85581</v>
          </cell>
          <cell r="D63" t="str">
            <v>Bldg Admin- Salaries</v>
          </cell>
          <cell r="E63">
            <v>15231.53</v>
          </cell>
          <cell r="F63">
            <v>15049.22</v>
          </cell>
          <cell r="G63">
            <v>182.310000000001</v>
          </cell>
          <cell r="H63">
            <v>39336.199999999997</v>
          </cell>
          <cell r="I63">
            <v>23244</v>
          </cell>
          <cell r="J63">
            <v>-16092.2</v>
          </cell>
        </row>
        <row r="64">
          <cell r="A64" t="str">
            <v>6213585583</v>
          </cell>
          <cell r="B64">
            <v>62135</v>
          </cell>
          <cell r="C64">
            <v>85583</v>
          </cell>
          <cell r="D64" t="str">
            <v>Bldg Admin-Office Exp.</v>
          </cell>
          <cell r="E64">
            <v>1953.34</v>
          </cell>
          <cell r="F64">
            <v>4591.6899999999996</v>
          </cell>
          <cell r="G64">
            <v>-2638.35</v>
          </cell>
          <cell r="H64">
            <v>0</v>
          </cell>
          <cell r="I64">
            <v>8049</v>
          </cell>
          <cell r="J64">
            <v>8049</v>
          </cell>
        </row>
        <row r="65">
          <cell r="A65" t="str">
            <v>6213585530</v>
          </cell>
          <cell r="B65">
            <v>62135</v>
          </cell>
          <cell r="C65">
            <v>85530</v>
          </cell>
          <cell r="D65" t="str">
            <v>Bldg Admin - Office Exp</v>
          </cell>
          <cell r="E65">
            <v>1953.34</v>
          </cell>
          <cell r="F65">
            <v>4591.6899999999996</v>
          </cell>
          <cell r="G65">
            <v>-2638.35</v>
          </cell>
          <cell r="H65">
            <v>0</v>
          </cell>
          <cell r="I65">
            <v>8049</v>
          </cell>
          <cell r="J65">
            <v>8049</v>
          </cell>
        </row>
        <row r="66">
          <cell r="A66" t="str">
            <v>6213586012</v>
          </cell>
          <cell r="B66">
            <v>62135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6213586037</v>
          </cell>
          <cell r="B67">
            <v>62135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6213583050</v>
          </cell>
          <cell r="B68">
            <v>62135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6213586510</v>
          </cell>
          <cell r="B69">
            <v>62135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6213586537</v>
          </cell>
          <cell r="B70">
            <v>62135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6213586566</v>
          </cell>
          <cell r="B71">
            <v>62135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6213586955</v>
          </cell>
          <cell r="B72">
            <v>62135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6213586985</v>
          </cell>
          <cell r="B73">
            <v>62135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6213586880</v>
          </cell>
          <cell r="B74">
            <v>62135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6213588710</v>
          </cell>
          <cell r="B75">
            <v>62135</v>
          </cell>
          <cell r="C75">
            <v>88710</v>
          </cell>
          <cell r="D75" t="str">
            <v>Losses-Bad Debts</v>
          </cell>
          <cell r="E75">
            <v>2595</v>
          </cell>
          <cell r="F75">
            <v>-5597.76</v>
          </cell>
          <cell r="G75">
            <v>8192.76</v>
          </cell>
          <cell r="H75">
            <v>31108.639999999999</v>
          </cell>
          <cell r="I75">
            <v>9956.4</v>
          </cell>
          <cell r="J75">
            <v>-21152.240000000002</v>
          </cell>
        </row>
        <row r="76">
          <cell r="A76" t="str">
            <v>6213588711</v>
          </cell>
          <cell r="B76">
            <v>62135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6213588785</v>
          </cell>
          <cell r="B77">
            <v>62135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6213588847</v>
          </cell>
          <cell r="B78">
            <v>62135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6213588866</v>
          </cell>
          <cell r="B79">
            <v>62135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6213588870</v>
          </cell>
          <cell r="B80">
            <v>62135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6213588889</v>
          </cell>
          <cell r="B81">
            <v>62135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6213589776</v>
          </cell>
          <cell r="B82">
            <v>62135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6213589787</v>
          </cell>
          <cell r="B83">
            <v>62135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6213589510</v>
          </cell>
          <cell r="B84">
            <v>62135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6213589511</v>
          </cell>
          <cell r="B85">
            <v>62135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6213589512</v>
          </cell>
          <cell r="B86">
            <v>62135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6213589528</v>
          </cell>
          <cell r="B87">
            <v>62135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6213589529</v>
          </cell>
          <cell r="B88">
            <v>62135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6213589567</v>
          </cell>
          <cell r="B89">
            <v>62135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6213585058</v>
          </cell>
          <cell r="B90">
            <v>62135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6213586513</v>
          </cell>
          <cell r="B91">
            <v>62135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1576.11</v>
          </cell>
          <cell r="I91">
            <v>0</v>
          </cell>
          <cell r="J91">
            <v>-1576.11</v>
          </cell>
        </row>
        <row r="92">
          <cell r="A92" t="str">
            <v>6213586519</v>
          </cell>
          <cell r="B92">
            <v>62135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6213588770</v>
          </cell>
          <cell r="B93">
            <v>62135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6213588862</v>
          </cell>
          <cell r="B94">
            <v>62135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6213588874</v>
          </cell>
          <cell r="B95">
            <v>62135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6213589910</v>
          </cell>
          <cell r="B96">
            <v>62135</v>
          </cell>
          <cell r="C96">
            <v>89910</v>
          </cell>
          <cell r="D96" t="str">
            <v>Depreciation</v>
          </cell>
          <cell r="E96">
            <v>0</v>
          </cell>
          <cell r="F96">
            <v>59893.65</v>
          </cell>
          <cell r="G96">
            <v>-59893.65</v>
          </cell>
          <cell r="H96">
            <v>93118.59</v>
          </cell>
          <cell r="I96">
            <v>89681.19</v>
          </cell>
          <cell r="J96">
            <v>-3437.3999999999901</v>
          </cell>
        </row>
        <row r="97">
          <cell r="A97" t="str">
            <v>6213589548</v>
          </cell>
          <cell r="B97">
            <v>62135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6216041010</v>
          </cell>
          <cell r="B98">
            <v>62160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6216041040</v>
          </cell>
          <cell r="B99">
            <v>62160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6216041050</v>
          </cell>
          <cell r="B100">
            <v>62160</v>
          </cell>
          <cell r="C100">
            <v>41050</v>
          </cell>
          <cell r="D100" t="str">
            <v>Rental Income - Fixed</v>
          </cell>
          <cell r="E100">
            <v>-1251983.01</v>
          </cell>
          <cell r="F100">
            <v>-1266579.28</v>
          </cell>
          <cell r="G100">
            <v>14596.27</v>
          </cell>
          <cell r="H100">
            <v>-1881369.24</v>
          </cell>
          <cell r="I100">
            <v>-1891717.44</v>
          </cell>
          <cell r="J100">
            <v>-10348.200000000001</v>
          </cell>
        </row>
        <row r="101">
          <cell r="A101" t="str">
            <v>6216041074</v>
          </cell>
          <cell r="B101">
            <v>62160</v>
          </cell>
          <cell r="C101">
            <v>41074</v>
          </cell>
          <cell r="D101" t="str">
            <v>Rental Income - Percentage</v>
          </cell>
          <cell r="E101">
            <v>-64993.37</v>
          </cell>
          <cell r="F101">
            <v>-43309</v>
          </cell>
          <cell r="G101">
            <v>-21684.37</v>
          </cell>
          <cell r="H101">
            <v>-56053</v>
          </cell>
          <cell r="I101">
            <v>-43309</v>
          </cell>
          <cell r="J101">
            <v>12744</v>
          </cell>
        </row>
        <row r="102">
          <cell r="A102" t="str">
            <v>6216041082</v>
          </cell>
          <cell r="B102">
            <v>62160</v>
          </cell>
          <cell r="C102">
            <v>41082</v>
          </cell>
          <cell r="D102" t="str">
            <v>Rental Income - Operating Exp</v>
          </cell>
          <cell r="E102">
            <v>-257473.38</v>
          </cell>
          <cell r="F102">
            <v>-258061.3</v>
          </cell>
          <cell r="G102">
            <v>587.91999999998404</v>
          </cell>
          <cell r="H102">
            <v>-392569.08</v>
          </cell>
          <cell r="I102">
            <v>-409670.3</v>
          </cell>
          <cell r="J102">
            <v>-17101.22</v>
          </cell>
        </row>
        <row r="103">
          <cell r="A103" t="str">
            <v>6216044610</v>
          </cell>
          <cell r="B103">
            <v>62160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6216045071</v>
          </cell>
          <cell r="B104">
            <v>62160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6216045010</v>
          </cell>
          <cell r="B105">
            <v>62160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6216045046</v>
          </cell>
          <cell r="B106">
            <v>62160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6216045070</v>
          </cell>
          <cell r="B107">
            <v>62160</v>
          </cell>
          <cell r="C107">
            <v>45070</v>
          </cell>
          <cell r="D107" t="str">
            <v>Other Income</v>
          </cell>
          <cell r="E107">
            <v>-316.2</v>
          </cell>
          <cell r="F107">
            <v>-5723.27</v>
          </cell>
          <cell r="G107">
            <v>5407.07</v>
          </cell>
          <cell r="H107">
            <v>-958</v>
          </cell>
          <cell r="I107">
            <v>-6009.71</v>
          </cell>
          <cell r="J107">
            <v>-5051.71</v>
          </cell>
        </row>
        <row r="108">
          <cell r="A108" t="str">
            <v>6216041060</v>
          </cell>
          <cell r="B108">
            <v>62160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3883.34</v>
          </cell>
          <cell r="G108">
            <v>-3883.34</v>
          </cell>
          <cell r="H108">
            <v>23300</v>
          </cell>
          <cell r="I108">
            <v>11649.98</v>
          </cell>
          <cell r="J108">
            <v>-11650.02</v>
          </cell>
        </row>
        <row r="109">
          <cell r="A109" t="str">
            <v>6216044870</v>
          </cell>
          <cell r="B109">
            <v>62160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6216052542</v>
          </cell>
          <cell r="B110">
            <v>62160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6216072710</v>
          </cell>
          <cell r="B111">
            <v>62160</v>
          </cell>
          <cell r="C111">
            <v>72710</v>
          </cell>
          <cell r="D111" t="str">
            <v>Utilities - Electricity</v>
          </cell>
          <cell r="E111">
            <v>6037.29</v>
          </cell>
          <cell r="F111">
            <v>8013.13</v>
          </cell>
          <cell r="G111">
            <v>-1975.84</v>
          </cell>
          <cell r="H111">
            <v>10665.01</v>
          </cell>
          <cell r="I111">
            <v>10665.13</v>
          </cell>
          <cell r="J111">
            <v>0.11999999999898101</v>
          </cell>
        </row>
        <row r="112">
          <cell r="A112" t="str">
            <v>6216072740</v>
          </cell>
          <cell r="B112">
            <v>62160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6216072770</v>
          </cell>
          <cell r="B113">
            <v>62160</v>
          </cell>
          <cell r="C113">
            <v>72770</v>
          </cell>
          <cell r="D113" t="str">
            <v>Utilities - Water</v>
          </cell>
          <cell r="E113">
            <v>2449.52</v>
          </cell>
          <cell r="F113">
            <v>2637.07</v>
          </cell>
          <cell r="G113">
            <v>-187.55</v>
          </cell>
          <cell r="H113">
            <v>2947.3</v>
          </cell>
          <cell r="I113">
            <v>3521.07</v>
          </cell>
          <cell r="J113">
            <v>573.77</v>
          </cell>
        </row>
        <row r="114">
          <cell r="A114" t="str">
            <v>6216076000</v>
          </cell>
          <cell r="B114">
            <v>62160</v>
          </cell>
          <cell r="C114">
            <v>76000</v>
          </cell>
          <cell r="D114" t="str">
            <v>Bldg Maintenance &amp; Repair</v>
          </cell>
          <cell r="E114">
            <v>19887.02</v>
          </cell>
          <cell r="F114">
            <v>17755.810000000001</v>
          </cell>
          <cell r="G114">
            <v>2131.21</v>
          </cell>
          <cell r="H114">
            <v>18893.93</v>
          </cell>
          <cell r="I114">
            <v>26620.01</v>
          </cell>
          <cell r="J114">
            <v>7726.08</v>
          </cell>
        </row>
        <row r="115">
          <cell r="A115" t="str">
            <v>6216076020</v>
          </cell>
          <cell r="B115">
            <v>62160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6216076034</v>
          </cell>
          <cell r="B116">
            <v>62160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6216076050</v>
          </cell>
          <cell r="B117">
            <v>62160</v>
          </cell>
          <cell r="C117">
            <v>76050</v>
          </cell>
          <cell r="D117" t="str">
            <v>Cleaning Expense</v>
          </cell>
          <cell r="E117">
            <v>27569.91</v>
          </cell>
          <cell r="F117">
            <v>28165.59</v>
          </cell>
          <cell r="G117">
            <v>-595.67999999999995</v>
          </cell>
          <cell r="H117">
            <v>37474.94</v>
          </cell>
          <cell r="I117">
            <v>42827.59</v>
          </cell>
          <cell r="J117">
            <v>5352.6499999999896</v>
          </cell>
        </row>
        <row r="118">
          <cell r="A118" t="str">
            <v>6216076056</v>
          </cell>
          <cell r="B118">
            <v>62160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6216076070</v>
          </cell>
          <cell r="B119">
            <v>62160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6216076091</v>
          </cell>
          <cell r="B120">
            <v>62160</v>
          </cell>
          <cell r="C120">
            <v>76091</v>
          </cell>
          <cell r="D120" t="str">
            <v>Parking Maintenance</v>
          </cell>
          <cell r="E120">
            <v>26103.02</v>
          </cell>
          <cell r="F120">
            <v>24885.53</v>
          </cell>
          <cell r="G120">
            <v>1217.49</v>
          </cell>
          <cell r="H120">
            <v>34403.480000000003</v>
          </cell>
          <cell r="I120">
            <v>38334.53</v>
          </cell>
          <cell r="J120">
            <v>3931.05</v>
          </cell>
        </row>
        <row r="121">
          <cell r="A121" t="str">
            <v>6216077000</v>
          </cell>
          <cell r="B121">
            <v>62160</v>
          </cell>
          <cell r="C121">
            <v>77000</v>
          </cell>
          <cell r="D121" t="str">
            <v>Grounds Maintenance</v>
          </cell>
          <cell r="E121">
            <v>21781.17</v>
          </cell>
          <cell r="F121">
            <v>24624.01</v>
          </cell>
          <cell r="G121">
            <v>-2842.84</v>
          </cell>
          <cell r="H121">
            <v>42805.83</v>
          </cell>
          <cell r="I121">
            <v>42714.31</v>
          </cell>
          <cell r="J121">
            <v>-91.520000000004103</v>
          </cell>
        </row>
        <row r="122">
          <cell r="A122" t="str">
            <v>6216077053</v>
          </cell>
          <cell r="B122">
            <v>62160</v>
          </cell>
          <cell r="C122">
            <v>77053</v>
          </cell>
          <cell r="D122" t="str">
            <v>Landscaping</v>
          </cell>
          <cell r="E122">
            <v>17980.36</v>
          </cell>
          <cell r="F122">
            <v>18452.18</v>
          </cell>
          <cell r="G122">
            <v>-471.82</v>
          </cell>
          <cell r="H122">
            <v>35884.699999999997</v>
          </cell>
          <cell r="I122">
            <v>35266.480000000003</v>
          </cell>
          <cell r="J122">
            <v>-618.219999999994</v>
          </cell>
        </row>
        <row r="123">
          <cell r="A123" t="str">
            <v>6216078020</v>
          </cell>
          <cell r="B123">
            <v>62160</v>
          </cell>
          <cell r="C123">
            <v>78020</v>
          </cell>
          <cell r="D123" t="str">
            <v>Amortized CAM Exp</v>
          </cell>
          <cell r="E123">
            <v>11111.12</v>
          </cell>
          <cell r="F123">
            <v>11111.56</v>
          </cell>
          <cell r="G123">
            <v>-0.43999999999868999</v>
          </cell>
          <cell r="H123">
            <v>16667</v>
          </cell>
          <cell r="I123">
            <v>16667.560000000001</v>
          </cell>
          <cell r="J123">
            <v>0.56000000000131001</v>
          </cell>
        </row>
        <row r="124">
          <cell r="A124" t="str">
            <v>6216084264</v>
          </cell>
          <cell r="B124">
            <v>62160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6216085555</v>
          </cell>
          <cell r="B125">
            <v>62160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6216085584</v>
          </cell>
          <cell r="B126">
            <v>62160</v>
          </cell>
          <cell r="C126">
            <v>85584</v>
          </cell>
          <cell r="D126" t="str">
            <v>Bldg Admin-Office Costs</v>
          </cell>
          <cell r="E126">
            <v>3518.84</v>
          </cell>
          <cell r="F126">
            <v>3728.18</v>
          </cell>
          <cell r="G126">
            <v>-209.34</v>
          </cell>
          <cell r="H126">
            <v>8243</v>
          </cell>
          <cell r="I126">
            <v>5475</v>
          </cell>
          <cell r="J126">
            <v>-2768</v>
          </cell>
        </row>
        <row r="127">
          <cell r="A127" t="str">
            <v>6216085582</v>
          </cell>
          <cell r="B127">
            <v>62160</v>
          </cell>
          <cell r="C127">
            <v>85582</v>
          </cell>
          <cell r="D127" t="str">
            <v>Bldg Admin-Salaries</v>
          </cell>
          <cell r="E127">
            <v>20930.25</v>
          </cell>
          <cell r="F127">
            <v>21776.36</v>
          </cell>
          <cell r="G127">
            <v>-846.11000000000104</v>
          </cell>
          <cell r="H127">
            <v>50883.199999999997</v>
          </cell>
          <cell r="I127">
            <v>34979</v>
          </cell>
          <cell r="J127">
            <v>-15904.2</v>
          </cell>
        </row>
        <row r="128">
          <cell r="A128" t="str">
            <v>6216086564</v>
          </cell>
          <cell r="B128">
            <v>62160</v>
          </cell>
          <cell r="C128">
            <v>86564</v>
          </cell>
          <cell r="D128" t="str">
            <v>Insurance</v>
          </cell>
          <cell r="E128">
            <v>18336</v>
          </cell>
          <cell r="F128">
            <v>20064</v>
          </cell>
          <cell r="G128">
            <v>-1728</v>
          </cell>
          <cell r="H128">
            <v>27405</v>
          </cell>
          <cell r="I128">
            <v>30096</v>
          </cell>
          <cell r="J128">
            <v>2691</v>
          </cell>
        </row>
        <row r="129">
          <cell r="A129" t="str">
            <v>6216088846</v>
          </cell>
          <cell r="B129">
            <v>62160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6216088890</v>
          </cell>
          <cell r="B130">
            <v>62160</v>
          </cell>
          <cell r="C130">
            <v>88890</v>
          </cell>
          <cell r="D130" t="str">
            <v>Security/Safety</v>
          </cell>
          <cell r="E130">
            <v>4125</v>
          </cell>
          <cell r="F130">
            <v>9624.16</v>
          </cell>
          <cell r="G130">
            <v>-5499.16</v>
          </cell>
          <cell r="H130">
            <v>12936.92</v>
          </cell>
          <cell r="I130">
            <v>12936.52</v>
          </cell>
          <cell r="J130">
            <v>-0.39999999999963598</v>
          </cell>
        </row>
        <row r="131">
          <cell r="A131" t="str">
            <v>6216089775</v>
          </cell>
          <cell r="B131">
            <v>62160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6216089729</v>
          </cell>
          <cell r="B132">
            <v>62160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6216089786</v>
          </cell>
          <cell r="B133">
            <v>62160</v>
          </cell>
          <cell r="C133">
            <v>89786</v>
          </cell>
          <cell r="D133" t="str">
            <v>Property Tax Exp</v>
          </cell>
          <cell r="E133">
            <v>61937.36</v>
          </cell>
          <cell r="F133">
            <v>61936</v>
          </cell>
          <cell r="G133">
            <v>1.3600000000005801</v>
          </cell>
          <cell r="H133">
            <v>89472</v>
          </cell>
          <cell r="I133">
            <v>92904</v>
          </cell>
          <cell r="J133">
            <v>3432</v>
          </cell>
        </row>
        <row r="134">
          <cell r="A134" t="str">
            <v>6216071040</v>
          </cell>
          <cell r="B134">
            <v>62160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6216072701</v>
          </cell>
          <cell r="B135">
            <v>62160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362.01</v>
          </cell>
          <cell r="G135">
            <v>-362.01</v>
          </cell>
          <cell r="H135">
            <v>530.36</v>
          </cell>
          <cell r="I135">
            <v>362.01</v>
          </cell>
          <cell r="J135">
            <v>-168.35</v>
          </cell>
        </row>
        <row r="136">
          <cell r="A136" t="str">
            <v>6216072855</v>
          </cell>
          <cell r="B136">
            <v>62160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6216072870</v>
          </cell>
          <cell r="B137">
            <v>62160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6216076010</v>
          </cell>
          <cell r="B138">
            <v>62160</v>
          </cell>
          <cell r="C138">
            <v>76010</v>
          </cell>
          <cell r="D138" t="str">
            <v>Tenant Alterations</v>
          </cell>
          <cell r="E138">
            <v>1502.82</v>
          </cell>
          <cell r="F138">
            <v>1500</v>
          </cell>
          <cell r="G138">
            <v>2.8199999999999399</v>
          </cell>
          <cell r="H138">
            <v>0</v>
          </cell>
          <cell r="I138">
            <v>1500</v>
          </cell>
          <cell r="J138">
            <v>1500</v>
          </cell>
        </row>
        <row r="139">
          <cell r="A139" t="str">
            <v>6216076040</v>
          </cell>
          <cell r="B139">
            <v>62160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6216076051</v>
          </cell>
          <cell r="B140">
            <v>62160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6216076054</v>
          </cell>
          <cell r="B141">
            <v>62160</v>
          </cell>
          <cell r="C141">
            <v>76054</v>
          </cell>
          <cell r="D141" t="str">
            <v>Bldg Maintenance &amp; Repair</v>
          </cell>
          <cell r="E141">
            <v>-24.88</v>
          </cell>
          <cell r="F141">
            <v>309.58999999999997</v>
          </cell>
          <cell r="G141">
            <v>-334.47</v>
          </cell>
          <cell r="H141">
            <v>309.08999999999997</v>
          </cell>
          <cell r="I141">
            <v>309.58999999999997</v>
          </cell>
          <cell r="J141">
            <v>0.5</v>
          </cell>
        </row>
        <row r="142">
          <cell r="A142" t="str">
            <v>6216076060</v>
          </cell>
          <cell r="B142">
            <v>62160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6216076071</v>
          </cell>
          <cell r="B143">
            <v>62160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91200</v>
          </cell>
          <cell r="G143">
            <v>-91200</v>
          </cell>
          <cell r="H143">
            <v>87540</v>
          </cell>
          <cell r="I143">
            <v>99000</v>
          </cell>
          <cell r="J143">
            <v>11460</v>
          </cell>
        </row>
        <row r="144">
          <cell r="A144" t="str">
            <v>6216076090</v>
          </cell>
          <cell r="B144">
            <v>62160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6216077001</v>
          </cell>
          <cell r="B145">
            <v>62160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6216077022</v>
          </cell>
          <cell r="B146">
            <v>62160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6216084200</v>
          </cell>
          <cell r="B147">
            <v>62160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6216084240</v>
          </cell>
          <cell r="B148">
            <v>62160</v>
          </cell>
          <cell r="C148">
            <v>84240</v>
          </cell>
          <cell r="D148" t="str">
            <v>Marketing Leasing</v>
          </cell>
          <cell r="E148">
            <v>13.32</v>
          </cell>
          <cell r="F148">
            <v>668.64</v>
          </cell>
          <cell r="G148">
            <v>-655.32000000000005</v>
          </cell>
          <cell r="H148">
            <v>1966</v>
          </cell>
          <cell r="I148">
            <v>1324</v>
          </cell>
          <cell r="J148">
            <v>-642</v>
          </cell>
        </row>
        <row r="149">
          <cell r="A149" t="str">
            <v>6216084242</v>
          </cell>
          <cell r="B149">
            <v>62160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6216084243</v>
          </cell>
          <cell r="B150">
            <v>62160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6216084244</v>
          </cell>
          <cell r="B151">
            <v>62160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6216084265</v>
          </cell>
          <cell r="B152">
            <v>62160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6216088037</v>
          </cell>
          <cell r="B153">
            <v>62160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6216085016</v>
          </cell>
          <cell r="B154">
            <v>62160</v>
          </cell>
          <cell r="C154">
            <v>85016</v>
          </cell>
          <cell r="D154" t="str">
            <v>Prof Svc-Attorney Outside</v>
          </cell>
          <cell r="E154">
            <v>304</v>
          </cell>
          <cell r="F154">
            <v>1423</v>
          </cell>
          <cell r="G154">
            <v>-1119</v>
          </cell>
          <cell r="H154">
            <v>2453.4699999999998</v>
          </cell>
          <cell r="I154">
            <v>2453</v>
          </cell>
          <cell r="J154">
            <v>-0.46999999999980002</v>
          </cell>
        </row>
        <row r="155">
          <cell r="A155" t="str">
            <v>6216085022</v>
          </cell>
          <cell r="B155">
            <v>62160</v>
          </cell>
          <cell r="C155">
            <v>85022</v>
          </cell>
          <cell r="D155" t="str">
            <v>Prof Svc-Audit/Acctng</v>
          </cell>
          <cell r="E155">
            <v>347.58</v>
          </cell>
          <cell r="F155">
            <v>1227.9100000000001</v>
          </cell>
          <cell r="G155">
            <v>-880.33</v>
          </cell>
          <cell r="H155">
            <v>2133.4899999999998</v>
          </cell>
          <cell r="I155">
            <v>3156.07</v>
          </cell>
          <cell r="J155">
            <v>1022.58</v>
          </cell>
        </row>
        <row r="156">
          <cell r="A156" t="str">
            <v>6216085065</v>
          </cell>
          <cell r="B156">
            <v>62160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6216085500</v>
          </cell>
          <cell r="B157">
            <v>62160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345</v>
          </cell>
          <cell r="I157">
            <v>345</v>
          </cell>
          <cell r="J157">
            <v>0</v>
          </cell>
        </row>
        <row r="158">
          <cell r="A158" t="str">
            <v>6216085566</v>
          </cell>
          <cell r="B158">
            <v>62160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6216085581</v>
          </cell>
          <cell r="B159">
            <v>62160</v>
          </cell>
          <cell r="C159">
            <v>85581</v>
          </cell>
          <cell r="D159" t="str">
            <v>Bldg Admin- Salaries</v>
          </cell>
          <cell r="E159">
            <v>15422.17</v>
          </cell>
          <cell r="F159">
            <v>15237.6</v>
          </cell>
          <cell r="G159">
            <v>184.57</v>
          </cell>
          <cell r="H159">
            <v>42947.3</v>
          </cell>
          <cell r="I159">
            <v>23535</v>
          </cell>
          <cell r="J159">
            <v>-19412.3</v>
          </cell>
        </row>
        <row r="160">
          <cell r="A160" t="str">
            <v>6216085583</v>
          </cell>
          <cell r="B160">
            <v>62160</v>
          </cell>
          <cell r="C160">
            <v>85583</v>
          </cell>
          <cell r="D160" t="str">
            <v>Bldg Admin-Office Exp.</v>
          </cell>
          <cell r="E160">
            <v>2107.11</v>
          </cell>
          <cell r="F160">
            <v>4713.97</v>
          </cell>
          <cell r="G160">
            <v>-2606.86</v>
          </cell>
          <cell r="H160">
            <v>0</v>
          </cell>
          <cell r="I160">
            <v>8150</v>
          </cell>
          <cell r="J160">
            <v>8150</v>
          </cell>
        </row>
        <row r="161">
          <cell r="A161" t="str">
            <v>6216085530</v>
          </cell>
          <cell r="B161">
            <v>62160</v>
          </cell>
          <cell r="C161">
            <v>85530</v>
          </cell>
          <cell r="D161" t="str">
            <v>Bldg Admin - Office Exp</v>
          </cell>
          <cell r="E161">
            <v>2107.11</v>
          </cell>
          <cell r="F161">
            <v>4713.97</v>
          </cell>
          <cell r="G161">
            <v>-2606.86</v>
          </cell>
          <cell r="H161">
            <v>0</v>
          </cell>
          <cell r="I161">
            <v>8150</v>
          </cell>
          <cell r="J161">
            <v>8150</v>
          </cell>
        </row>
        <row r="162">
          <cell r="A162" t="str">
            <v>6216086012</v>
          </cell>
          <cell r="B162">
            <v>62160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6216086037</v>
          </cell>
          <cell r="B163">
            <v>62160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6216083050</v>
          </cell>
          <cell r="B164">
            <v>62160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6216086510</v>
          </cell>
          <cell r="B165">
            <v>62160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6216086537</v>
          </cell>
          <cell r="B166">
            <v>62160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6216086566</v>
          </cell>
          <cell r="B167">
            <v>62160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6216086955</v>
          </cell>
          <cell r="B168">
            <v>62160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6216086985</v>
          </cell>
          <cell r="B169">
            <v>62160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6216086880</v>
          </cell>
          <cell r="B170">
            <v>62160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6216088710</v>
          </cell>
          <cell r="B171">
            <v>62160</v>
          </cell>
          <cell r="C171">
            <v>88710</v>
          </cell>
          <cell r="D171" t="str">
            <v>Losses-Bad Debts</v>
          </cell>
          <cell r="E171">
            <v>12645.85</v>
          </cell>
          <cell r="F171">
            <v>5521.39</v>
          </cell>
          <cell r="G171">
            <v>7124.46</v>
          </cell>
          <cell r="H171">
            <v>23308.639999999999</v>
          </cell>
          <cell r="I171">
            <v>23645.39</v>
          </cell>
          <cell r="J171">
            <v>336.75</v>
          </cell>
        </row>
        <row r="172">
          <cell r="A172" t="str">
            <v>6216088711</v>
          </cell>
          <cell r="B172">
            <v>62160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6216088785</v>
          </cell>
          <cell r="B173">
            <v>62160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6216088847</v>
          </cell>
          <cell r="B174">
            <v>62160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6216088866</v>
          </cell>
          <cell r="B175">
            <v>62160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6216088870</v>
          </cell>
          <cell r="B176">
            <v>62160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6216088889</v>
          </cell>
          <cell r="B177">
            <v>62160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6216089776</v>
          </cell>
          <cell r="B178">
            <v>62160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6216089787</v>
          </cell>
          <cell r="B179">
            <v>62160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6216089510</v>
          </cell>
          <cell r="B180">
            <v>62160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6216089511</v>
          </cell>
          <cell r="B181">
            <v>62160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6216089512</v>
          </cell>
          <cell r="B182">
            <v>62160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6216089528</v>
          </cell>
          <cell r="B183">
            <v>62160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6216089529</v>
          </cell>
          <cell r="B184">
            <v>62160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6216089567</v>
          </cell>
          <cell r="B185">
            <v>62160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6216085058</v>
          </cell>
          <cell r="B186">
            <v>62160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6216086513</v>
          </cell>
          <cell r="B187">
            <v>62160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1715.4</v>
          </cell>
          <cell r="I187">
            <v>0</v>
          </cell>
          <cell r="J187">
            <v>-1715.4</v>
          </cell>
        </row>
        <row r="188">
          <cell r="A188" t="str">
            <v>6216086519</v>
          </cell>
          <cell r="B188">
            <v>62160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6216088770</v>
          </cell>
          <cell r="B189">
            <v>62160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6216088862</v>
          </cell>
          <cell r="B190">
            <v>62160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6216088874</v>
          </cell>
          <cell r="B191">
            <v>62160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6216089910</v>
          </cell>
          <cell r="B192">
            <v>62160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88249.43</v>
          </cell>
          <cell r="G192">
            <v>-88249.43</v>
          </cell>
          <cell r="H192">
            <v>117671.45</v>
          </cell>
          <cell r="I192">
            <v>134504.03</v>
          </cell>
          <cell r="J192">
            <v>16832.580000000002</v>
          </cell>
        </row>
        <row r="193">
          <cell r="A193" t="str">
            <v>6216089548</v>
          </cell>
          <cell r="B193">
            <v>62160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6219741010</v>
          </cell>
          <cell r="B194">
            <v>62197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6219741040</v>
          </cell>
          <cell r="B195">
            <v>62197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6219741050</v>
          </cell>
          <cell r="B196">
            <v>62197</v>
          </cell>
          <cell r="C196">
            <v>41050</v>
          </cell>
          <cell r="D196" t="str">
            <v>Rental Income - Fixed</v>
          </cell>
          <cell r="E196">
            <v>-2788520.2</v>
          </cell>
          <cell r="F196">
            <v>-2831034.4</v>
          </cell>
          <cell r="G196">
            <v>42514.199999999699</v>
          </cell>
          <cell r="H196">
            <v>-4536471.82</v>
          </cell>
          <cell r="I196">
            <v>-4388568.1100000003</v>
          </cell>
          <cell r="J196">
            <v>147903.71</v>
          </cell>
        </row>
        <row r="197">
          <cell r="A197" t="str">
            <v>6219741074</v>
          </cell>
          <cell r="B197">
            <v>62197</v>
          </cell>
          <cell r="C197">
            <v>41074</v>
          </cell>
          <cell r="D197" t="str">
            <v>Rental Income - Percentage</v>
          </cell>
          <cell r="E197">
            <v>-15356.8</v>
          </cell>
          <cell r="F197">
            <v>-13363.69</v>
          </cell>
          <cell r="G197">
            <v>-1993.11</v>
          </cell>
          <cell r="H197">
            <v>-53172</v>
          </cell>
          <cell r="I197">
            <v>-13363.69</v>
          </cell>
          <cell r="J197">
            <v>39808.31</v>
          </cell>
        </row>
        <row r="198">
          <cell r="A198" t="str">
            <v>6219741082</v>
          </cell>
          <cell r="B198">
            <v>62197</v>
          </cell>
          <cell r="C198">
            <v>41082</v>
          </cell>
          <cell r="D198" t="str">
            <v>Rental Income - Operating Exp</v>
          </cell>
          <cell r="E198">
            <v>-733993.57</v>
          </cell>
          <cell r="F198">
            <v>-758446.63</v>
          </cell>
          <cell r="G198">
            <v>24453.0600000001</v>
          </cell>
          <cell r="H198">
            <v>-1522292.88</v>
          </cell>
          <cell r="I198">
            <v>-1205461.27</v>
          </cell>
          <cell r="J198">
            <v>316831.61</v>
          </cell>
        </row>
        <row r="199">
          <cell r="A199" t="str">
            <v>6219744610</v>
          </cell>
          <cell r="B199">
            <v>62197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6219745071</v>
          </cell>
          <cell r="B200">
            <v>62197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6219745010</v>
          </cell>
          <cell r="B201">
            <v>62197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6219745046</v>
          </cell>
          <cell r="B202">
            <v>62197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6219745070</v>
          </cell>
          <cell r="B203">
            <v>62197</v>
          </cell>
          <cell r="C203">
            <v>45070</v>
          </cell>
          <cell r="D203" t="str">
            <v>Other Income</v>
          </cell>
          <cell r="E203">
            <v>-63532.34</v>
          </cell>
          <cell r="F203">
            <v>-56895.06</v>
          </cell>
          <cell r="G203">
            <v>-6637.28</v>
          </cell>
          <cell r="H203">
            <v>-22072.07</v>
          </cell>
          <cell r="I203">
            <v>-57107.24</v>
          </cell>
          <cell r="J203">
            <v>-35035.17</v>
          </cell>
        </row>
        <row r="204">
          <cell r="A204" t="str">
            <v>6219741060</v>
          </cell>
          <cell r="B204">
            <v>62197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64648</v>
          </cell>
          <cell r="G204">
            <v>-64648</v>
          </cell>
          <cell r="H204">
            <v>391680</v>
          </cell>
          <cell r="I204">
            <v>193944</v>
          </cell>
          <cell r="J204">
            <v>-197736</v>
          </cell>
        </row>
        <row r="205">
          <cell r="A205" t="str">
            <v>6219744870</v>
          </cell>
          <cell r="B205">
            <v>62197</v>
          </cell>
          <cell r="C205">
            <v>44870</v>
          </cell>
          <cell r="D205" t="str">
            <v>Late Fees</v>
          </cell>
          <cell r="E205">
            <v>-750</v>
          </cell>
          <cell r="F205">
            <v>0</v>
          </cell>
          <cell r="G205">
            <v>-750</v>
          </cell>
          <cell r="H205">
            <v>-750</v>
          </cell>
          <cell r="I205">
            <v>-750</v>
          </cell>
          <cell r="J205">
            <v>0</v>
          </cell>
        </row>
        <row r="206">
          <cell r="A206" t="str">
            <v>6219752542</v>
          </cell>
          <cell r="B206">
            <v>62197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6219772710</v>
          </cell>
          <cell r="B207">
            <v>62197</v>
          </cell>
          <cell r="C207">
            <v>72710</v>
          </cell>
          <cell r="D207" t="str">
            <v>Utilities - Electricity</v>
          </cell>
          <cell r="E207">
            <v>23934.76</v>
          </cell>
          <cell r="F207">
            <v>32124.080000000002</v>
          </cell>
          <cell r="G207">
            <v>-8189.32</v>
          </cell>
          <cell r="H207">
            <v>61652.97</v>
          </cell>
          <cell r="I207">
            <v>57616.34</v>
          </cell>
          <cell r="J207">
            <v>-4036.63</v>
          </cell>
        </row>
        <row r="208">
          <cell r="A208" t="str">
            <v>6219772740</v>
          </cell>
          <cell r="B208">
            <v>62197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6219772770</v>
          </cell>
          <cell r="B209">
            <v>62197</v>
          </cell>
          <cell r="C209">
            <v>72770</v>
          </cell>
          <cell r="D209" t="str">
            <v>Utilities - Water</v>
          </cell>
          <cell r="E209">
            <v>11207.57</v>
          </cell>
          <cell r="F209">
            <v>12751.74</v>
          </cell>
          <cell r="G209">
            <v>-1544.17</v>
          </cell>
          <cell r="H209">
            <v>23078.89</v>
          </cell>
          <cell r="I209">
            <v>22269.82</v>
          </cell>
          <cell r="J209">
            <v>-809.07</v>
          </cell>
        </row>
        <row r="210">
          <cell r="A210" t="str">
            <v>6219776000</v>
          </cell>
          <cell r="B210">
            <v>62197</v>
          </cell>
          <cell r="C210">
            <v>76000</v>
          </cell>
          <cell r="D210" t="str">
            <v>Bldg Maintenance &amp; Repair</v>
          </cell>
          <cell r="E210">
            <v>39889.79</v>
          </cell>
          <cell r="F210">
            <v>51786.14</v>
          </cell>
          <cell r="G210">
            <v>-11896.35</v>
          </cell>
          <cell r="H210">
            <v>93635.76</v>
          </cell>
          <cell r="I210">
            <v>97558.14</v>
          </cell>
          <cell r="J210">
            <v>3922.38</v>
          </cell>
        </row>
        <row r="211">
          <cell r="A211" t="str">
            <v>6219776020</v>
          </cell>
          <cell r="B211">
            <v>62197</v>
          </cell>
          <cell r="C211">
            <v>76020</v>
          </cell>
          <cell r="D211" t="str">
            <v>Food Court Expense</v>
          </cell>
          <cell r="E211">
            <v>13134</v>
          </cell>
          <cell r="F211">
            <v>13712.04</v>
          </cell>
          <cell r="G211">
            <v>-578.04000000000099</v>
          </cell>
          <cell r="H211">
            <v>20340.439999999999</v>
          </cell>
          <cell r="I211">
            <v>20341.12</v>
          </cell>
          <cell r="J211">
            <v>0.68000000000029104</v>
          </cell>
        </row>
        <row r="212">
          <cell r="A212" t="str">
            <v>6219776034</v>
          </cell>
          <cell r="B212">
            <v>62197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6219776050</v>
          </cell>
          <cell r="B213">
            <v>62197</v>
          </cell>
          <cell r="C213">
            <v>76050</v>
          </cell>
          <cell r="D213" t="str">
            <v>Cleaning Expense</v>
          </cell>
          <cell r="E213">
            <v>72611.58</v>
          </cell>
          <cell r="F213">
            <v>73905.64</v>
          </cell>
          <cell r="G213">
            <v>-1294.06</v>
          </cell>
          <cell r="H213">
            <v>109484.91</v>
          </cell>
          <cell r="I213">
            <v>109484.98</v>
          </cell>
          <cell r="J213">
            <v>6.9999999992433004E-2</v>
          </cell>
        </row>
        <row r="214">
          <cell r="A214" t="str">
            <v>6219776056</v>
          </cell>
          <cell r="B214">
            <v>62197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6219776070</v>
          </cell>
          <cell r="B215">
            <v>62197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6219776091</v>
          </cell>
          <cell r="B216">
            <v>62197</v>
          </cell>
          <cell r="C216">
            <v>76091</v>
          </cell>
          <cell r="D216" t="str">
            <v>Parking Maintenance</v>
          </cell>
          <cell r="E216">
            <v>35791.14</v>
          </cell>
          <cell r="F216">
            <v>36265.82</v>
          </cell>
          <cell r="G216">
            <v>-474.68</v>
          </cell>
          <cell r="H216">
            <v>57426.7</v>
          </cell>
          <cell r="I216">
            <v>65629.06</v>
          </cell>
          <cell r="J216">
            <v>8202.36</v>
          </cell>
        </row>
        <row r="217">
          <cell r="A217" t="str">
            <v>6219777000</v>
          </cell>
          <cell r="B217">
            <v>62197</v>
          </cell>
          <cell r="C217">
            <v>77000</v>
          </cell>
          <cell r="D217" t="str">
            <v>Grounds Maintenance</v>
          </cell>
          <cell r="E217">
            <v>42602.1</v>
          </cell>
          <cell r="F217">
            <v>39596.269999999997</v>
          </cell>
          <cell r="G217">
            <v>3005.83</v>
          </cell>
          <cell r="H217">
            <v>60496.83</v>
          </cell>
          <cell r="I217">
            <v>62151.55</v>
          </cell>
          <cell r="J217">
            <v>1654.72</v>
          </cell>
        </row>
        <row r="218">
          <cell r="A218" t="str">
            <v>6219777053</v>
          </cell>
          <cell r="B218">
            <v>62197</v>
          </cell>
          <cell r="C218">
            <v>77053</v>
          </cell>
          <cell r="D218" t="str">
            <v>Landscaping</v>
          </cell>
          <cell r="E218">
            <v>65441</v>
          </cell>
          <cell r="F218">
            <v>64442.38</v>
          </cell>
          <cell r="G218">
            <v>998.62000000000296</v>
          </cell>
          <cell r="H218">
            <v>122670.74</v>
          </cell>
          <cell r="I218">
            <v>118414.84</v>
          </cell>
          <cell r="J218">
            <v>-4255.9000000000096</v>
          </cell>
        </row>
        <row r="219">
          <cell r="A219" t="str">
            <v>6219778020</v>
          </cell>
          <cell r="B219">
            <v>62197</v>
          </cell>
          <cell r="C219">
            <v>78020</v>
          </cell>
          <cell r="D219" t="str">
            <v>Amortized CAM Exp</v>
          </cell>
          <cell r="E219">
            <v>43333.35</v>
          </cell>
          <cell r="F219">
            <v>43334.67</v>
          </cell>
          <cell r="G219">
            <v>-1.3199999999997101</v>
          </cell>
          <cell r="H219">
            <v>65000</v>
          </cell>
          <cell r="I219">
            <v>65002.67</v>
          </cell>
          <cell r="J219">
            <v>2.6699999999982502</v>
          </cell>
        </row>
        <row r="220">
          <cell r="A220" t="str">
            <v>6219784264</v>
          </cell>
          <cell r="B220">
            <v>62197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6219785555</v>
          </cell>
          <cell r="B221">
            <v>62197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6219785584</v>
          </cell>
          <cell r="B222">
            <v>62197</v>
          </cell>
          <cell r="C222">
            <v>85584</v>
          </cell>
          <cell r="D222" t="str">
            <v>Bldg Admin-Office Costs</v>
          </cell>
          <cell r="E222">
            <v>15940.14</v>
          </cell>
          <cell r="F222">
            <v>16912.88</v>
          </cell>
          <cell r="G222">
            <v>-972.74000000000206</v>
          </cell>
          <cell r="H222">
            <v>36891</v>
          </cell>
          <cell r="I222">
            <v>24869</v>
          </cell>
          <cell r="J222">
            <v>-12022</v>
          </cell>
        </row>
        <row r="223">
          <cell r="A223" t="str">
            <v>6219785582</v>
          </cell>
          <cell r="B223">
            <v>62197</v>
          </cell>
          <cell r="C223">
            <v>85582</v>
          </cell>
          <cell r="D223" t="str">
            <v>Bldg Admin-Salaries</v>
          </cell>
          <cell r="E223">
            <v>95062.1</v>
          </cell>
          <cell r="F223">
            <v>98905.54</v>
          </cell>
          <cell r="G223">
            <v>-3843.4399999999901</v>
          </cell>
          <cell r="H223">
            <v>187665.2</v>
          </cell>
          <cell r="I223">
            <v>158871</v>
          </cell>
          <cell r="J223">
            <v>-28794.2</v>
          </cell>
        </row>
        <row r="224">
          <cell r="A224" t="str">
            <v>6219786564</v>
          </cell>
          <cell r="B224">
            <v>62197</v>
          </cell>
          <cell r="C224">
            <v>86564</v>
          </cell>
          <cell r="D224" t="str">
            <v>Insurance</v>
          </cell>
          <cell r="E224">
            <v>52008.2</v>
          </cell>
          <cell r="F224">
            <v>59752</v>
          </cell>
          <cell r="G224">
            <v>-7743.8</v>
          </cell>
          <cell r="H224">
            <v>73894</v>
          </cell>
          <cell r="I224">
            <v>89628</v>
          </cell>
          <cell r="J224">
            <v>15734</v>
          </cell>
        </row>
        <row r="225">
          <cell r="A225" t="str">
            <v>6219788846</v>
          </cell>
          <cell r="B225">
            <v>62197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6219788890</v>
          </cell>
          <cell r="B226">
            <v>62197</v>
          </cell>
          <cell r="C226">
            <v>88890</v>
          </cell>
          <cell r="D226" t="str">
            <v>Security/Safety</v>
          </cell>
          <cell r="E226">
            <v>33441.5</v>
          </cell>
          <cell r="F226">
            <v>34539.599999999999</v>
          </cell>
          <cell r="G226">
            <v>-1098.0999999999999</v>
          </cell>
          <cell r="H226">
            <v>53626.86</v>
          </cell>
          <cell r="I226">
            <v>53439.6</v>
          </cell>
          <cell r="J226">
            <v>-187.26000000000201</v>
          </cell>
        </row>
        <row r="227">
          <cell r="A227" t="str">
            <v>6219789775</v>
          </cell>
          <cell r="B227">
            <v>62197</v>
          </cell>
          <cell r="C227">
            <v>89775</v>
          </cell>
          <cell r="D227" t="str">
            <v>Assmt Dist Taxes- Reimb</v>
          </cell>
          <cell r="E227">
            <v>62069.36</v>
          </cell>
          <cell r="F227">
            <v>62067.68</v>
          </cell>
          <cell r="G227">
            <v>1.6800000000002899</v>
          </cell>
          <cell r="H227">
            <v>124139</v>
          </cell>
          <cell r="I227">
            <v>93099.68</v>
          </cell>
          <cell r="J227">
            <v>-31039.32</v>
          </cell>
        </row>
        <row r="228">
          <cell r="A228" t="str">
            <v>6219789729</v>
          </cell>
          <cell r="B228">
            <v>62197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6219789786</v>
          </cell>
          <cell r="B229">
            <v>62197</v>
          </cell>
          <cell r="C229">
            <v>89786</v>
          </cell>
          <cell r="D229" t="str">
            <v>Property Tax Exp</v>
          </cell>
          <cell r="E229">
            <v>127757.92</v>
          </cell>
          <cell r="F229">
            <v>127758.68</v>
          </cell>
          <cell r="G229">
            <v>-0.75999999999476098</v>
          </cell>
          <cell r="H229">
            <v>187088</v>
          </cell>
          <cell r="I229">
            <v>191638.68</v>
          </cell>
          <cell r="J229">
            <v>4550.6799999999903</v>
          </cell>
        </row>
        <row r="230">
          <cell r="A230" t="str">
            <v>6219771040</v>
          </cell>
          <cell r="B230">
            <v>62197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6219772701</v>
          </cell>
          <cell r="B231">
            <v>62197</v>
          </cell>
          <cell r="C231">
            <v>72701</v>
          </cell>
          <cell r="D231" t="str">
            <v>Utilities</v>
          </cell>
          <cell r="E231">
            <v>1574.53</v>
          </cell>
          <cell r="F231">
            <v>1645.42</v>
          </cell>
          <cell r="G231">
            <v>-70.8900000000001</v>
          </cell>
          <cell r="H231">
            <v>2224</v>
          </cell>
          <cell r="I231">
            <v>1902.92</v>
          </cell>
          <cell r="J231">
            <v>-321.08</v>
          </cell>
        </row>
        <row r="232">
          <cell r="A232" t="str">
            <v>6219772855</v>
          </cell>
          <cell r="B232">
            <v>62197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6219772870</v>
          </cell>
          <cell r="B233">
            <v>62197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6219776010</v>
          </cell>
          <cell r="B234">
            <v>62197</v>
          </cell>
          <cell r="C234">
            <v>76010</v>
          </cell>
          <cell r="D234" t="str">
            <v>Tenant Alterations</v>
          </cell>
          <cell r="E234">
            <v>128.28</v>
          </cell>
          <cell r="F234">
            <v>1996.14</v>
          </cell>
          <cell r="G234">
            <v>-1867.86</v>
          </cell>
          <cell r="H234">
            <v>2305.14</v>
          </cell>
          <cell r="I234">
            <v>2305.14</v>
          </cell>
          <cell r="J234">
            <v>0</v>
          </cell>
        </row>
        <row r="235">
          <cell r="A235" t="str">
            <v>6219776040</v>
          </cell>
          <cell r="B235">
            <v>62197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6219776051</v>
          </cell>
          <cell r="B236">
            <v>62197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6219776054</v>
          </cell>
          <cell r="B237">
            <v>62197</v>
          </cell>
          <cell r="C237">
            <v>76054</v>
          </cell>
          <cell r="D237" t="str">
            <v>Bldg Maintenance &amp; Repair</v>
          </cell>
          <cell r="E237">
            <v>2552.89</v>
          </cell>
          <cell r="F237">
            <v>51262.37</v>
          </cell>
          <cell r="G237">
            <v>-48709.48</v>
          </cell>
          <cell r="H237">
            <v>55152.24</v>
          </cell>
          <cell r="I237">
            <v>84535.23</v>
          </cell>
          <cell r="J237">
            <v>29382.99</v>
          </cell>
        </row>
        <row r="238">
          <cell r="A238" t="str">
            <v>6219776060</v>
          </cell>
          <cell r="B238">
            <v>62197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6219776071</v>
          </cell>
          <cell r="B239">
            <v>62197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40250</v>
          </cell>
          <cell r="I239">
            <v>0</v>
          </cell>
          <cell r="J239">
            <v>-40250</v>
          </cell>
        </row>
        <row r="240">
          <cell r="A240" t="str">
            <v>6219776090</v>
          </cell>
          <cell r="B240">
            <v>62197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6219777001</v>
          </cell>
          <cell r="B241">
            <v>62197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6219777022</v>
          </cell>
          <cell r="B242">
            <v>62197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6219784200</v>
          </cell>
          <cell r="B243">
            <v>62197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6219784240</v>
          </cell>
          <cell r="B244">
            <v>62197</v>
          </cell>
          <cell r="C244">
            <v>84240</v>
          </cell>
          <cell r="D244" t="str">
            <v>Marketing Leasing</v>
          </cell>
          <cell r="E244">
            <v>10702.59</v>
          </cell>
          <cell r="F244">
            <v>15641.58</v>
          </cell>
          <cell r="G244">
            <v>-4938.99</v>
          </cell>
          <cell r="H244">
            <v>33706.800000000003</v>
          </cell>
          <cell r="I244">
            <v>27789.18</v>
          </cell>
          <cell r="J244">
            <v>-5917.62</v>
          </cell>
        </row>
        <row r="245">
          <cell r="A245" t="str">
            <v>6219784242</v>
          </cell>
          <cell r="B245">
            <v>62197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6219784243</v>
          </cell>
          <cell r="B246">
            <v>62197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-24587.84</v>
          </cell>
          <cell r="I246">
            <v>-24587.84</v>
          </cell>
          <cell r="J246">
            <v>0</v>
          </cell>
        </row>
        <row r="247">
          <cell r="A247" t="str">
            <v>6219784244</v>
          </cell>
          <cell r="B247">
            <v>62197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6219784265</v>
          </cell>
          <cell r="B248">
            <v>62197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6219788037</v>
          </cell>
          <cell r="B249">
            <v>62197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6219785016</v>
          </cell>
          <cell r="B250">
            <v>62197</v>
          </cell>
          <cell r="C250">
            <v>85016</v>
          </cell>
          <cell r="D250" t="str">
            <v>Prof Svc-Attorney Outside</v>
          </cell>
          <cell r="E250">
            <v>5991.19</v>
          </cell>
          <cell r="F250">
            <v>3385.09</v>
          </cell>
          <cell r="G250">
            <v>2606.1</v>
          </cell>
          <cell r="H250">
            <v>9508.3799999999992</v>
          </cell>
          <cell r="I250">
            <v>11547.84</v>
          </cell>
          <cell r="J250">
            <v>2039.46</v>
          </cell>
        </row>
        <row r="251">
          <cell r="A251" t="str">
            <v>6219785022</v>
          </cell>
          <cell r="B251">
            <v>62197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1248.21</v>
          </cell>
          <cell r="G251">
            <v>-1248.21</v>
          </cell>
          <cell r="H251">
            <v>6563.01</v>
          </cell>
          <cell r="I251">
            <v>6563.01</v>
          </cell>
          <cell r="J251">
            <v>0</v>
          </cell>
        </row>
        <row r="252">
          <cell r="A252" t="str">
            <v>6219785065</v>
          </cell>
          <cell r="B252">
            <v>62197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6219785500</v>
          </cell>
          <cell r="B253">
            <v>62197</v>
          </cell>
          <cell r="C253">
            <v>85500</v>
          </cell>
          <cell r="D253" t="str">
            <v>Consulting Services</v>
          </cell>
          <cell r="E253">
            <v>150</v>
          </cell>
          <cell r="F253">
            <v>1235.1199999999999</v>
          </cell>
          <cell r="G253">
            <v>-1085.1199999999999</v>
          </cell>
          <cell r="H253">
            <v>2270.2399999999998</v>
          </cell>
          <cell r="I253">
            <v>2270.37</v>
          </cell>
          <cell r="J253">
            <v>0.130000000000109</v>
          </cell>
        </row>
        <row r="254">
          <cell r="A254" t="str">
            <v>6219785566</v>
          </cell>
          <cell r="B254">
            <v>62197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6219785581</v>
          </cell>
          <cell r="B255">
            <v>62197</v>
          </cell>
          <cell r="C255">
            <v>85581</v>
          </cell>
          <cell r="D255" t="str">
            <v>Bldg Admin- Salaries</v>
          </cell>
          <cell r="E255">
            <v>59402.63</v>
          </cell>
          <cell r="F255">
            <v>66813.97</v>
          </cell>
          <cell r="G255">
            <v>-7411.34</v>
          </cell>
          <cell r="H255">
            <v>138985.70000000001</v>
          </cell>
          <cell r="I255">
            <v>106895</v>
          </cell>
          <cell r="J255">
            <v>-32090.7</v>
          </cell>
        </row>
        <row r="256">
          <cell r="A256" t="str">
            <v>6219785583</v>
          </cell>
          <cell r="B256">
            <v>62197</v>
          </cell>
          <cell r="C256">
            <v>85583</v>
          </cell>
          <cell r="D256" t="str">
            <v>Bldg Admin-Office Exp.</v>
          </cell>
          <cell r="E256">
            <v>9112.32</v>
          </cell>
          <cell r="F256">
            <v>21115.89</v>
          </cell>
          <cell r="G256">
            <v>-12003.57</v>
          </cell>
          <cell r="H256">
            <v>0</v>
          </cell>
          <cell r="I256">
            <v>37015</v>
          </cell>
          <cell r="J256">
            <v>37015</v>
          </cell>
        </row>
        <row r="257">
          <cell r="A257" t="str">
            <v>6219785530</v>
          </cell>
          <cell r="B257">
            <v>62197</v>
          </cell>
          <cell r="C257">
            <v>85530</v>
          </cell>
          <cell r="D257" t="str">
            <v>Bldg Admin - Office Exp</v>
          </cell>
          <cell r="E257">
            <v>9112.32</v>
          </cell>
          <cell r="F257">
            <v>21115.89</v>
          </cell>
          <cell r="G257">
            <v>-12003.57</v>
          </cell>
          <cell r="H257">
            <v>0</v>
          </cell>
          <cell r="I257">
            <v>37015</v>
          </cell>
          <cell r="J257">
            <v>37015</v>
          </cell>
        </row>
        <row r="258">
          <cell r="A258" t="str">
            <v>6219786012</v>
          </cell>
          <cell r="B258">
            <v>62197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6219786037</v>
          </cell>
          <cell r="B259">
            <v>62197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6219783050</v>
          </cell>
          <cell r="B260">
            <v>62197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6219786510</v>
          </cell>
          <cell r="B261">
            <v>62197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6219786537</v>
          </cell>
          <cell r="B262">
            <v>62197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6219786566</v>
          </cell>
          <cell r="B263">
            <v>62197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6219786955</v>
          </cell>
          <cell r="B264">
            <v>62197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6219786985</v>
          </cell>
          <cell r="B265">
            <v>62197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6219786880</v>
          </cell>
          <cell r="B266">
            <v>62197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6219788710</v>
          </cell>
          <cell r="B267">
            <v>62197</v>
          </cell>
          <cell r="C267">
            <v>88710</v>
          </cell>
          <cell r="D267" t="str">
            <v>Losses-Bad Debts</v>
          </cell>
          <cell r="E267">
            <v>-30445.599999999999</v>
          </cell>
          <cell r="F267">
            <v>36891.040000000001</v>
          </cell>
          <cell r="G267">
            <v>-67336.639999999999</v>
          </cell>
          <cell r="H267">
            <v>61348</v>
          </cell>
          <cell r="I267">
            <v>67565.039999999994</v>
          </cell>
          <cell r="J267">
            <v>6217.03999999999</v>
          </cell>
        </row>
        <row r="268">
          <cell r="A268" t="str">
            <v>6219788711</v>
          </cell>
          <cell r="B268">
            <v>62197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6219788785</v>
          </cell>
          <cell r="B269">
            <v>62197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6219788847</v>
          </cell>
          <cell r="B270">
            <v>62197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6219788866</v>
          </cell>
          <cell r="B271">
            <v>62197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6219788870</v>
          </cell>
          <cell r="B272">
            <v>62197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6219788889</v>
          </cell>
          <cell r="B273">
            <v>62197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6219789776</v>
          </cell>
          <cell r="B274">
            <v>62197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6219789787</v>
          </cell>
          <cell r="B275">
            <v>62197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6219789510</v>
          </cell>
          <cell r="B276">
            <v>62197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295564</v>
          </cell>
          <cell r="G276">
            <v>-295564</v>
          </cell>
          <cell r="H276">
            <v>1200071</v>
          </cell>
          <cell r="I276">
            <v>691046</v>
          </cell>
          <cell r="J276">
            <v>-509025</v>
          </cell>
        </row>
        <row r="277">
          <cell r="A277" t="str">
            <v>6219789511</v>
          </cell>
          <cell r="B277">
            <v>62197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6219789512</v>
          </cell>
          <cell r="B278">
            <v>62197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6219789528</v>
          </cell>
          <cell r="B279">
            <v>62197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6219789529</v>
          </cell>
          <cell r="B280">
            <v>62197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7002</v>
          </cell>
          <cell r="G280">
            <v>-7002</v>
          </cell>
          <cell r="H280">
            <v>28008</v>
          </cell>
          <cell r="I280">
            <v>16338</v>
          </cell>
          <cell r="J280">
            <v>-11670</v>
          </cell>
        </row>
        <row r="281">
          <cell r="A281" t="str">
            <v>6219789567</v>
          </cell>
          <cell r="B281">
            <v>62197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6219785058</v>
          </cell>
          <cell r="B282">
            <v>62197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6219786513</v>
          </cell>
          <cell r="B283">
            <v>62197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1885.34</v>
          </cell>
          <cell r="G283">
            <v>-1885.34</v>
          </cell>
          <cell r="H283">
            <v>6344.69</v>
          </cell>
          <cell r="I283">
            <v>55558.03</v>
          </cell>
          <cell r="J283">
            <v>49213.34</v>
          </cell>
        </row>
        <row r="284">
          <cell r="A284" t="str">
            <v>6219786519</v>
          </cell>
          <cell r="B284">
            <v>62197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6219788770</v>
          </cell>
          <cell r="B285">
            <v>62197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6219788862</v>
          </cell>
          <cell r="B286">
            <v>62197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6219788874</v>
          </cell>
          <cell r="B287">
            <v>62197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6219789910</v>
          </cell>
          <cell r="B288">
            <v>62197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256370.27</v>
          </cell>
          <cell r="G288">
            <v>-256370.27</v>
          </cell>
          <cell r="H288">
            <v>418959.38</v>
          </cell>
          <cell r="I288">
            <v>398244.7</v>
          </cell>
          <cell r="J288">
            <v>-20714.68</v>
          </cell>
        </row>
        <row r="289">
          <cell r="A289" t="str">
            <v>6219789548</v>
          </cell>
          <cell r="B289">
            <v>62197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-2349747.16</v>
          </cell>
          <cell r="F292">
            <v>-2349861.02</v>
          </cell>
          <cell r="G292">
            <v>113.85999999987</v>
          </cell>
          <cell r="H292">
            <v>-3599476.8</v>
          </cell>
          <cell r="I292">
            <v>-3577914.67</v>
          </cell>
          <cell r="J292">
            <v>21562.129999999899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-843070.95</v>
          </cell>
          <cell r="F293">
            <v>-800083</v>
          </cell>
          <cell r="G293">
            <v>-42987.95</v>
          </cell>
          <cell r="H293">
            <v>-744677</v>
          </cell>
          <cell r="I293">
            <v>-800083</v>
          </cell>
          <cell r="J293">
            <v>-55406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-782776.64</v>
          </cell>
          <cell r="F294">
            <v>-730983.26</v>
          </cell>
          <cell r="G294">
            <v>-51793.38</v>
          </cell>
          <cell r="H294">
            <v>-1143750</v>
          </cell>
          <cell r="I294">
            <v>-1117745.22</v>
          </cell>
          <cell r="J294">
            <v>26004.78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-39831.21</v>
          </cell>
          <cell r="F299">
            <v>-65429.36</v>
          </cell>
          <cell r="G299">
            <v>25598.15</v>
          </cell>
          <cell r="H299">
            <v>-454.41</v>
          </cell>
          <cell r="I299">
            <v>-65609.72</v>
          </cell>
          <cell r="J299">
            <v>-65155.31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9146.5</v>
          </cell>
          <cell r="G300">
            <v>-9146.5</v>
          </cell>
          <cell r="H300">
            <v>54879</v>
          </cell>
          <cell r="I300">
            <v>27439.5</v>
          </cell>
          <cell r="J300">
            <v>-27439.5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-773.76</v>
          </cell>
          <cell r="F301">
            <v>0</v>
          </cell>
          <cell r="G301">
            <v>-773.76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18409.900000000001</v>
          </cell>
          <cell r="F303">
            <v>19254.77</v>
          </cell>
          <cell r="G303">
            <v>-844.86999999999898</v>
          </cell>
          <cell r="H303">
            <v>28424.9</v>
          </cell>
          <cell r="I303">
            <v>28349.55</v>
          </cell>
          <cell r="J303">
            <v>-75.350000000002197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24672.53</v>
          </cell>
          <cell r="F305">
            <v>26363.59</v>
          </cell>
          <cell r="G305">
            <v>-1691.06</v>
          </cell>
          <cell r="H305">
            <v>37959.879999999997</v>
          </cell>
          <cell r="I305">
            <v>37959.589999999997</v>
          </cell>
          <cell r="J305">
            <v>-0.290000000000873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24377.14</v>
          </cell>
          <cell r="F306">
            <v>18986.63</v>
          </cell>
          <cell r="G306">
            <v>5390.51</v>
          </cell>
          <cell r="H306">
            <v>43624.87</v>
          </cell>
          <cell r="I306">
            <v>48195.41</v>
          </cell>
          <cell r="J306">
            <v>4570.54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44695</v>
          </cell>
          <cell r="F309">
            <v>45013.8</v>
          </cell>
          <cell r="G309">
            <v>-318.80000000000302</v>
          </cell>
          <cell r="H309">
            <v>68062.720000000001</v>
          </cell>
          <cell r="I309">
            <v>68062.759999999995</v>
          </cell>
          <cell r="J309">
            <v>3.9999999993597199E-2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34213</v>
          </cell>
          <cell r="F312">
            <v>37388.51</v>
          </cell>
          <cell r="G312">
            <v>-3175.51</v>
          </cell>
          <cell r="H312">
            <v>52388.73</v>
          </cell>
          <cell r="I312">
            <v>55807.15</v>
          </cell>
          <cell r="J312">
            <v>3418.42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42031.61</v>
          </cell>
          <cell r="F313">
            <v>48560.17</v>
          </cell>
          <cell r="G313">
            <v>-6528.56</v>
          </cell>
          <cell r="H313">
            <v>65694.600000000006</v>
          </cell>
          <cell r="I313">
            <v>65696.820000000007</v>
          </cell>
          <cell r="J313">
            <v>2.2200000000011602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41986.05</v>
          </cell>
          <cell r="F314">
            <v>46827.66</v>
          </cell>
          <cell r="G314">
            <v>-4841.6099999999997</v>
          </cell>
          <cell r="H314">
            <v>74286.95</v>
          </cell>
          <cell r="I314">
            <v>74286.63</v>
          </cell>
          <cell r="J314">
            <v>-0.319999999992433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29444.66</v>
          </cell>
          <cell r="F315">
            <v>29361.360000000001</v>
          </cell>
          <cell r="G315">
            <v>83.299999999999301</v>
          </cell>
          <cell r="H315">
            <v>44167</v>
          </cell>
          <cell r="I315">
            <v>44167</v>
          </cell>
          <cell r="J315">
            <v>0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5166.3100000000004</v>
          </cell>
          <cell r="F318">
            <v>5528.74</v>
          </cell>
          <cell r="G318">
            <v>-362.42999999999898</v>
          </cell>
          <cell r="H318">
            <v>12136</v>
          </cell>
          <cell r="I318">
            <v>8134</v>
          </cell>
          <cell r="J318">
            <v>-4002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30799.24</v>
          </cell>
          <cell r="F319">
            <v>32289.11</v>
          </cell>
          <cell r="G319">
            <v>-1489.87</v>
          </cell>
          <cell r="H319">
            <v>74913.8</v>
          </cell>
          <cell r="I319">
            <v>51962</v>
          </cell>
          <cell r="J319">
            <v>-22951.8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33680</v>
          </cell>
          <cell r="F320">
            <v>36608</v>
          </cell>
          <cell r="G320">
            <v>-2928</v>
          </cell>
          <cell r="H320">
            <v>48344</v>
          </cell>
          <cell r="I320">
            <v>54912</v>
          </cell>
          <cell r="J320">
            <v>6568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104511.71</v>
          </cell>
          <cell r="F322">
            <v>53331.91</v>
          </cell>
          <cell r="G322">
            <v>51179.8</v>
          </cell>
          <cell r="H322">
            <v>63000.33</v>
          </cell>
          <cell r="I322">
            <v>59999.91</v>
          </cell>
          <cell r="J322">
            <v>-3000.42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98394</v>
          </cell>
          <cell r="F323">
            <v>98393.32</v>
          </cell>
          <cell r="G323">
            <v>0.67999999999301497</v>
          </cell>
          <cell r="H323">
            <v>166687</v>
          </cell>
          <cell r="I323">
            <v>147589.32</v>
          </cell>
          <cell r="J323">
            <v>-19097.68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197911.92</v>
          </cell>
          <cell r="F325">
            <v>197912.64</v>
          </cell>
          <cell r="G325">
            <v>-0.72000000000116404</v>
          </cell>
          <cell r="H325">
            <v>286544</v>
          </cell>
          <cell r="I325">
            <v>296868.64</v>
          </cell>
          <cell r="J325">
            <v>10324.64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226.9</v>
          </cell>
          <cell r="F327">
            <v>286.63</v>
          </cell>
          <cell r="G327">
            <v>-59.73</v>
          </cell>
          <cell r="H327">
            <v>59.73</v>
          </cell>
          <cell r="I327">
            <v>286.63</v>
          </cell>
          <cell r="J327">
            <v>226.9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5308.5</v>
          </cell>
          <cell r="F330">
            <v>3969.31</v>
          </cell>
          <cell r="G330">
            <v>1339.19</v>
          </cell>
          <cell r="H330">
            <v>0</v>
          </cell>
          <cell r="I330">
            <v>3969.31</v>
          </cell>
          <cell r="J330">
            <v>3969.31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1085.81</v>
          </cell>
          <cell r="F333">
            <v>11846.95</v>
          </cell>
          <cell r="G333">
            <v>-10761.14</v>
          </cell>
          <cell r="H333">
            <v>20930.95</v>
          </cell>
          <cell r="I333">
            <v>22052.95</v>
          </cell>
          <cell r="J333">
            <v>1122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7404.09</v>
          </cell>
          <cell r="F340">
            <v>15310.63</v>
          </cell>
          <cell r="G340">
            <v>-7906.54</v>
          </cell>
          <cell r="H340">
            <v>37763.5</v>
          </cell>
          <cell r="I340">
            <v>29175.38</v>
          </cell>
          <cell r="J340">
            <v>-8588.1200000000008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-33946</v>
          </cell>
          <cell r="J342">
            <v>0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14781.72</v>
          </cell>
          <cell r="F346">
            <v>15749.94</v>
          </cell>
          <cell r="G346">
            <v>-968.22000000000105</v>
          </cell>
          <cell r="H346">
            <v>1028.28</v>
          </cell>
          <cell r="I346">
            <v>17264.939999999999</v>
          </cell>
          <cell r="J346">
            <v>16236.66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-675</v>
          </cell>
          <cell r="F347">
            <v>-469.67</v>
          </cell>
          <cell r="G347">
            <v>-205.33</v>
          </cell>
          <cell r="H347">
            <v>5089.59</v>
          </cell>
          <cell r="I347">
            <v>5089.83</v>
          </cell>
          <cell r="J347">
            <v>0.239999999999782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206</v>
          </cell>
          <cell r="J349">
            <v>0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15309.34</v>
          </cell>
          <cell r="F351">
            <v>20926.02</v>
          </cell>
          <cell r="G351">
            <v>-5616.68</v>
          </cell>
          <cell r="H351">
            <v>72269.3</v>
          </cell>
          <cell r="I351">
            <v>34962</v>
          </cell>
          <cell r="J351">
            <v>-37307.300000000003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3147.49</v>
          </cell>
          <cell r="F352">
            <v>6970.78</v>
          </cell>
          <cell r="G352">
            <v>-3823.29</v>
          </cell>
          <cell r="H352">
            <v>0</v>
          </cell>
          <cell r="I352">
            <v>12106</v>
          </cell>
          <cell r="J352">
            <v>12106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3147.49</v>
          </cell>
          <cell r="F353">
            <v>6970.78</v>
          </cell>
          <cell r="G353">
            <v>-3823.29</v>
          </cell>
          <cell r="H353">
            <v>0</v>
          </cell>
          <cell r="I353">
            <v>12106</v>
          </cell>
          <cell r="J353">
            <v>12106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-6836.61</v>
          </cell>
          <cell r="F363">
            <v>16516.22</v>
          </cell>
          <cell r="G363">
            <v>-23352.83</v>
          </cell>
          <cell r="H363">
            <v>54884</v>
          </cell>
          <cell r="I363">
            <v>43958.22</v>
          </cell>
          <cell r="J363">
            <v>-10925.78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91868</v>
          </cell>
          <cell r="G372">
            <v>-91868</v>
          </cell>
          <cell r="H372">
            <v>407051</v>
          </cell>
          <cell r="I372">
            <v>91868</v>
          </cell>
          <cell r="J372">
            <v>-315183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476.88</v>
          </cell>
          <cell r="G379">
            <v>-476.88</v>
          </cell>
          <cell r="H379">
            <v>2294.64</v>
          </cell>
          <cell r="I379">
            <v>1425.66</v>
          </cell>
          <cell r="J379">
            <v>-868.98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417211.67</v>
          </cell>
          <cell r="G384">
            <v>-417211.67</v>
          </cell>
          <cell r="H384">
            <v>641254.89</v>
          </cell>
          <cell r="I384">
            <v>627787.06999999995</v>
          </cell>
          <cell r="J384">
            <v>-13467.8200000001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6226041010</v>
          </cell>
          <cell r="B386">
            <v>62260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6226041040</v>
          </cell>
          <cell r="B387">
            <v>62260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6226041050</v>
          </cell>
          <cell r="B388">
            <v>62260</v>
          </cell>
          <cell r="C388">
            <v>41050</v>
          </cell>
          <cell r="D388" t="str">
            <v>Rental Income - Fixed</v>
          </cell>
          <cell r="E388">
            <v>-1817853.2</v>
          </cell>
          <cell r="F388">
            <v>-1810417.67</v>
          </cell>
          <cell r="G388">
            <v>-7435.5300000000298</v>
          </cell>
          <cell r="H388">
            <v>-2732224.88</v>
          </cell>
          <cell r="I388">
            <v>-2724011.68</v>
          </cell>
          <cell r="J388">
            <v>8213.1999999997206</v>
          </cell>
        </row>
        <row r="389">
          <cell r="A389" t="str">
            <v>6226041074</v>
          </cell>
          <cell r="B389">
            <v>62260</v>
          </cell>
          <cell r="C389">
            <v>41074</v>
          </cell>
          <cell r="D389" t="str">
            <v>Rental Income - Percentage</v>
          </cell>
          <cell r="E389">
            <v>-1157.45</v>
          </cell>
          <cell r="F389">
            <v>-2570</v>
          </cell>
          <cell r="G389">
            <v>1412.55</v>
          </cell>
          <cell r="H389">
            <v>0</v>
          </cell>
          <cell r="I389">
            <v>-2570</v>
          </cell>
          <cell r="J389">
            <v>-2570</v>
          </cell>
        </row>
        <row r="390">
          <cell r="A390" t="str">
            <v>6226041082</v>
          </cell>
          <cell r="B390">
            <v>62260</v>
          </cell>
          <cell r="C390">
            <v>41082</v>
          </cell>
          <cell r="D390" t="str">
            <v>Rental Income - Operating Exp</v>
          </cell>
          <cell r="E390">
            <v>-462405.67</v>
          </cell>
          <cell r="F390">
            <v>-451841.73</v>
          </cell>
          <cell r="G390">
            <v>-10563.94</v>
          </cell>
          <cell r="H390">
            <v>-748678.8</v>
          </cell>
          <cell r="I390">
            <v>-733502.29</v>
          </cell>
          <cell r="J390">
            <v>15176.51</v>
          </cell>
        </row>
        <row r="391">
          <cell r="A391" t="str">
            <v>6226044610</v>
          </cell>
          <cell r="B391">
            <v>62260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6226045071</v>
          </cell>
          <cell r="B392">
            <v>62260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6226045010</v>
          </cell>
          <cell r="B393">
            <v>62260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6226045046</v>
          </cell>
          <cell r="B394">
            <v>62260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6226045070</v>
          </cell>
          <cell r="B395">
            <v>62260</v>
          </cell>
          <cell r="C395">
            <v>45070</v>
          </cell>
          <cell r="D395" t="str">
            <v>Other Income</v>
          </cell>
          <cell r="E395">
            <v>1623.96</v>
          </cell>
          <cell r="F395">
            <v>1986</v>
          </cell>
          <cell r="G395">
            <v>-362.04</v>
          </cell>
          <cell r="H395">
            <v>0</v>
          </cell>
          <cell r="I395">
            <v>1986</v>
          </cell>
          <cell r="J395">
            <v>1986</v>
          </cell>
        </row>
        <row r="396">
          <cell r="A396" t="str">
            <v>6226041060</v>
          </cell>
          <cell r="B396">
            <v>62260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5801.16</v>
          </cell>
          <cell r="G396">
            <v>-5801.16</v>
          </cell>
          <cell r="H396">
            <v>34807</v>
          </cell>
          <cell r="I396">
            <v>17403.52</v>
          </cell>
          <cell r="J396">
            <v>-17403.48</v>
          </cell>
        </row>
        <row r="397">
          <cell r="A397" t="str">
            <v>6226044870</v>
          </cell>
          <cell r="B397">
            <v>62260</v>
          </cell>
          <cell r="C397">
            <v>44870</v>
          </cell>
          <cell r="D397" t="str">
            <v>Late Fees</v>
          </cell>
          <cell r="E397">
            <v>-57.47</v>
          </cell>
          <cell r="F397">
            <v>0</v>
          </cell>
          <cell r="G397">
            <v>-57.47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6226052542</v>
          </cell>
          <cell r="B398">
            <v>62260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6226072710</v>
          </cell>
          <cell r="B399">
            <v>62260</v>
          </cell>
          <cell r="C399">
            <v>72710</v>
          </cell>
          <cell r="D399" t="str">
            <v>Utilities - Electricity</v>
          </cell>
          <cell r="E399">
            <v>15499.73</v>
          </cell>
          <cell r="F399">
            <v>15998.45</v>
          </cell>
          <cell r="G399">
            <v>-498.72000000000099</v>
          </cell>
          <cell r="H399">
            <v>24494.6</v>
          </cell>
          <cell r="I399">
            <v>24497.09</v>
          </cell>
          <cell r="J399">
            <v>2.4900000000015998</v>
          </cell>
        </row>
        <row r="400">
          <cell r="A400" t="str">
            <v>6226072740</v>
          </cell>
          <cell r="B400">
            <v>62260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6226072770</v>
          </cell>
          <cell r="B401">
            <v>62260</v>
          </cell>
          <cell r="C401">
            <v>72770</v>
          </cell>
          <cell r="D401" t="str">
            <v>Utilities - Water</v>
          </cell>
          <cell r="E401">
            <v>9668.84</v>
          </cell>
          <cell r="F401">
            <v>11680.28</v>
          </cell>
          <cell r="G401">
            <v>-2011.44</v>
          </cell>
          <cell r="H401">
            <v>14244.5</v>
          </cell>
          <cell r="I401">
            <v>16360.28</v>
          </cell>
          <cell r="J401">
            <v>2115.7800000000002</v>
          </cell>
        </row>
        <row r="402">
          <cell r="A402" t="str">
            <v>6226076000</v>
          </cell>
          <cell r="B402">
            <v>62260</v>
          </cell>
          <cell r="C402">
            <v>76000</v>
          </cell>
          <cell r="D402" t="str">
            <v>Bldg Maintenance &amp; Repair</v>
          </cell>
          <cell r="E402">
            <v>30059.11</v>
          </cell>
          <cell r="F402">
            <v>26313.49</v>
          </cell>
          <cell r="G402">
            <v>3745.62</v>
          </cell>
          <cell r="H402">
            <v>51753.04</v>
          </cell>
          <cell r="I402">
            <v>54201.919999999998</v>
          </cell>
          <cell r="J402">
            <v>2448.88</v>
          </cell>
        </row>
        <row r="403">
          <cell r="A403" t="str">
            <v>6226076020</v>
          </cell>
          <cell r="B403">
            <v>62260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6226076034</v>
          </cell>
          <cell r="B404">
            <v>62260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6226076050</v>
          </cell>
          <cell r="B405">
            <v>62260</v>
          </cell>
          <cell r="C405">
            <v>76050</v>
          </cell>
          <cell r="D405" t="str">
            <v>Cleaning Expense</v>
          </cell>
          <cell r="E405">
            <v>64697.53</v>
          </cell>
          <cell r="F405">
            <v>66292.429999999993</v>
          </cell>
          <cell r="G405">
            <v>-1594.8999999999901</v>
          </cell>
          <cell r="H405">
            <v>98091.58</v>
          </cell>
          <cell r="I405">
            <v>97779.27</v>
          </cell>
          <cell r="J405">
            <v>-312.30999999999801</v>
          </cell>
        </row>
        <row r="406">
          <cell r="A406" t="str">
            <v>6226076056</v>
          </cell>
          <cell r="B406">
            <v>62260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6226076070</v>
          </cell>
          <cell r="B407">
            <v>62260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6226076091</v>
          </cell>
          <cell r="B408">
            <v>62260</v>
          </cell>
          <cell r="C408">
            <v>76091</v>
          </cell>
          <cell r="D408" t="str">
            <v>Parking Maintenance</v>
          </cell>
          <cell r="E408">
            <v>34128.6</v>
          </cell>
          <cell r="F408">
            <v>34435.019999999997</v>
          </cell>
          <cell r="G408">
            <v>-306.41999999999803</v>
          </cell>
          <cell r="H408">
            <v>56086.86</v>
          </cell>
          <cell r="I408">
            <v>58308.52</v>
          </cell>
          <cell r="J408">
            <v>2221.66</v>
          </cell>
        </row>
        <row r="409">
          <cell r="A409" t="str">
            <v>6226077000</v>
          </cell>
          <cell r="B409">
            <v>62260</v>
          </cell>
          <cell r="C409">
            <v>77000</v>
          </cell>
          <cell r="D409" t="str">
            <v>Grounds Maintenance</v>
          </cell>
          <cell r="E409">
            <v>28708.09</v>
          </cell>
          <cell r="F409">
            <v>32233.72</v>
          </cell>
          <cell r="G409">
            <v>-3525.63</v>
          </cell>
          <cell r="H409">
            <v>56614.26</v>
          </cell>
          <cell r="I409">
            <v>56016.59</v>
          </cell>
          <cell r="J409">
            <v>-597.67000000000598</v>
          </cell>
        </row>
        <row r="410">
          <cell r="A410" t="str">
            <v>6226077053</v>
          </cell>
          <cell r="B410">
            <v>62260</v>
          </cell>
          <cell r="C410">
            <v>77053</v>
          </cell>
          <cell r="D410" t="str">
            <v>Landscaping</v>
          </cell>
          <cell r="E410">
            <v>38146.5</v>
          </cell>
          <cell r="F410">
            <v>38225.449999999997</v>
          </cell>
          <cell r="G410">
            <v>-78.949999999997104</v>
          </cell>
          <cell r="H410">
            <v>59158.53</v>
          </cell>
          <cell r="I410">
            <v>56886.95</v>
          </cell>
          <cell r="J410">
            <v>-2271.58</v>
          </cell>
        </row>
        <row r="411">
          <cell r="A411" t="str">
            <v>6226078020</v>
          </cell>
          <cell r="B411">
            <v>62260</v>
          </cell>
          <cell r="C411">
            <v>78020</v>
          </cell>
          <cell r="D411" t="str">
            <v>Amortized CAM Exp</v>
          </cell>
          <cell r="E411">
            <v>33610.879999999997</v>
          </cell>
          <cell r="F411">
            <v>33613.32</v>
          </cell>
          <cell r="G411">
            <v>-2.4400000000023301</v>
          </cell>
          <cell r="H411">
            <v>50417</v>
          </cell>
          <cell r="I411">
            <v>50421.32</v>
          </cell>
          <cell r="J411">
            <v>4.3199999999997098</v>
          </cell>
        </row>
        <row r="412">
          <cell r="A412" t="str">
            <v>6226084264</v>
          </cell>
          <cell r="B412">
            <v>62260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6226085555</v>
          </cell>
          <cell r="B413">
            <v>62260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6226085584</v>
          </cell>
          <cell r="B414">
            <v>62260</v>
          </cell>
          <cell r="C414">
            <v>85584</v>
          </cell>
          <cell r="D414" t="str">
            <v>Bldg Admin-Office Costs</v>
          </cell>
          <cell r="E414">
            <v>4778.3599999999997</v>
          </cell>
          <cell r="F414">
            <v>5062.87</v>
          </cell>
          <cell r="G414">
            <v>-284.51</v>
          </cell>
          <cell r="H414">
            <v>11198</v>
          </cell>
          <cell r="I414">
            <v>7435</v>
          </cell>
          <cell r="J414">
            <v>-3763</v>
          </cell>
        </row>
        <row r="415">
          <cell r="A415" t="str">
            <v>6226085582</v>
          </cell>
          <cell r="B415">
            <v>62260</v>
          </cell>
          <cell r="C415">
            <v>85582</v>
          </cell>
          <cell r="D415" t="str">
            <v>Bldg Admin-Salaries</v>
          </cell>
          <cell r="E415">
            <v>27493.09</v>
          </cell>
          <cell r="F415">
            <v>29104.799999999999</v>
          </cell>
          <cell r="G415">
            <v>-1611.71</v>
          </cell>
          <cell r="H415">
            <v>60039.5</v>
          </cell>
          <cell r="I415">
            <v>47494</v>
          </cell>
          <cell r="J415">
            <v>-12545.5</v>
          </cell>
        </row>
        <row r="416">
          <cell r="A416" t="str">
            <v>6226086564</v>
          </cell>
          <cell r="B416">
            <v>62260</v>
          </cell>
          <cell r="C416">
            <v>86564</v>
          </cell>
          <cell r="D416" t="str">
            <v>Insurance</v>
          </cell>
          <cell r="E416">
            <v>26024</v>
          </cell>
          <cell r="F416">
            <v>28496</v>
          </cell>
          <cell r="G416">
            <v>-2472</v>
          </cell>
          <cell r="H416">
            <v>39382</v>
          </cell>
          <cell r="I416">
            <v>42744</v>
          </cell>
          <cell r="J416">
            <v>3362</v>
          </cell>
        </row>
        <row r="417">
          <cell r="A417" t="str">
            <v>6226088846</v>
          </cell>
          <cell r="B417">
            <v>62260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6226088890</v>
          </cell>
          <cell r="B418">
            <v>62260</v>
          </cell>
          <cell r="C418">
            <v>88890</v>
          </cell>
          <cell r="D418" t="str">
            <v>Security/Safety</v>
          </cell>
          <cell r="E418">
            <v>15268.52</v>
          </cell>
          <cell r="F418">
            <v>10943.74</v>
          </cell>
          <cell r="G418">
            <v>4324.78</v>
          </cell>
          <cell r="H418">
            <v>16543.77</v>
          </cell>
          <cell r="I418">
            <v>18306.34</v>
          </cell>
          <cell r="J418">
            <v>1762.57</v>
          </cell>
        </row>
        <row r="419">
          <cell r="A419" t="str">
            <v>6226089775</v>
          </cell>
          <cell r="B419">
            <v>62260</v>
          </cell>
          <cell r="C419">
            <v>89775</v>
          </cell>
          <cell r="D419" t="str">
            <v>Assmt Dist Taxes- Reimb</v>
          </cell>
          <cell r="E419">
            <v>24665.360000000001</v>
          </cell>
          <cell r="F419">
            <v>24664.68</v>
          </cell>
          <cell r="G419">
            <v>0.68000000000029104</v>
          </cell>
          <cell r="H419">
            <v>49331</v>
          </cell>
          <cell r="I419">
            <v>36996.68</v>
          </cell>
          <cell r="J419">
            <v>-12334.32</v>
          </cell>
        </row>
        <row r="420">
          <cell r="A420" t="str">
            <v>6226089729</v>
          </cell>
          <cell r="B420">
            <v>62260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6226089786</v>
          </cell>
          <cell r="B421">
            <v>62260</v>
          </cell>
          <cell r="C421">
            <v>89786</v>
          </cell>
          <cell r="D421" t="str">
            <v>Property Tax Exp</v>
          </cell>
          <cell r="E421">
            <v>77774</v>
          </cell>
          <cell r="F421">
            <v>77774.36</v>
          </cell>
          <cell r="G421">
            <v>-0.36000000000058202</v>
          </cell>
          <cell r="H421">
            <v>117616</v>
          </cell>
          <cell r="I421">
            <v>116662.36</v>
          </cell>
          <cell r="J421">
            <v>-953.63999999999896</v>
          </cell>
        </row>
        <row r="422">
          <cell r="A422" t="str">
            <v>6226071040</v>
          </cell>
          <cell r="B422">
            <v>62260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6226072701</v>
          </cell>
          <cell r="B423">
            <v>62260</v>
          </cell>
          <cell r="C423">
            <v>72701</v>
          </cell>
          <cell r="D423" t="str">
            <v>Utilities</v>
          </cell>
          <cell r="E423">
            <v>0</v>
          </cell>
          <cell r="F423">
            <v>0</v>
          </cell>
          <cell r="G423">
            <v>0</v>
          </cell>
          <cell r="H423">
            <v>123.6</v>
          </cell>
          <cell r="I423">
            <v>123.6</v>
          </cell>
          <cell r="J423">
            <v>0</v>
          </cell>
        </row>
        <row r="424">
          <cell r="A424" t="str">
            <v>6226072855</v>
          </cell>
          <cell r="B424">
            <v>62260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6226072870</v>
          </cell>
          <cell r="B425">
            <v>62260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6226076010</v>
          </cell>
          <cell r="B426">
            <v>62260</v>
          </cell>
          <cell r="C426">
            <v>76010</v>
          </cell>
          <cell r="D426" t="str">
            <v>Tenant Alterations</v>
          </cell>
          <cell r="E426">
            <v>105.12</v>
          </cell>
          <cell r="F426">
            <v>101.29</v>
          </cell>
          <cell r="G426">
            <v>3.83</v>
          </cell>
          <cell r="H426">
            <v>0</v>
          </cell>
          <cell r="I426">
            <v>101.29</v>
          </cell>
          <cell r="J426">
            <v>101.29</v>
          </cell>
        </row>
        <row r="427">
          <cell r="A427" t="str">
            <v>6226076040</v>
          </cell>
          <cell r="B427">
            <v>62260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6226076051</v>
          </cell>
          <cell r="B428">
            <v>62260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6226076054</v>
          </cell>
          <cell r="B429">
            <v>62260</v>
          </cell>
          <cell r="C429">
            <v>76054</v>
          </cell>
          <cell r="D429" t="str">
            <v>Bldg Maintenance &amp; Repair</v>
          </cell>
          <cell r="E429">
            <v>1679.89</v>
          </cell>
          <cell r="F429">
            <v>6701.69</v>
          </cell>
          <cell r="G429">
            <v>-5021.8</v>
          </cell>
          <cell r="H429">
            <v>10497.31</v>
          </cell>
          <cell r="I429">
            <v>10407.69</v>
          </cell>
          <cell r="J429">
            <v>-89.619999999998996</v>
          </cell>
        </row>
        <row r="430">
          <cell r="A430" t="str">
            <v>6226076060</v>
          </cell>
          <cell r="B430">
            <v>62260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6226076071</v>
          </cell>
          <cell r="B431">
            <v>62260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6226076090</v>
          </cell>
          <cell r="B432">
            <v>62260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6226077001</v>
          </cell>
          <cell r="B433">
            <v>62260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6226077022</v>
          </cell>
          <cell r="B434">
            <v>62260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6226084200</v>
          </cell>
          <cell r="B435">
            <v>62260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6226084240</v>
          </cell>
          <cell r="B436">
            <v>62260</v>
          </cell>
          <cell r="C436">
            <v>84240</v>
          </cell>
          <cell r="D436" t="str">
            <v>Marketing Leasing</v>
          </cell>
          <cell r="E436">
            <v>18.100000000000001</v>
          </cell>
          <cell r="F436">
            <v>908.42</v>
          </cell>
          <cell r="G436">
            <v>-890.32</v>
          </cell>
          <cell r="H436">
            <v>2671</v>
          </cell>
          <cell r="I436">
            <v>1798.78</v>
          </cell>
          <cell r="J436">
            <v>-872.22</v>
          </cell>
        </row>
        <row r="437">
          <cell r="A437" t="str">
            <v>6226084242</v>
          </cell>
          <cell r="B437">
            <v>62260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6226084243</v>
          </cell>
          <cell r="B438">
            <v>62260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6226084244</v>
          </cell>
          <cell r="B439">
            <v>62260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6226084265</v>
          </cell>
          <cell r="B440">
            <v>62260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6226088037</v>
          </cell>
          <cell r="B441">
            <v>62260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6226085016</v>
          </cell>
          <cell r="B442">
            <v>62260</v>
          </cell>
          <cell r="C442">
            <v>85016</v>
          </cell>
          <cell r="D442" t="str">
            <v>Prof Svc-Attorney Outside</v>
          </cell>
          <cell r="E442">
            <v>8521.58</v>
          </cell>
          <cell r="F442">
            <v>0</v>
          </cell>
          <cell r="G442">
            <v>8521.58</v>
          </cell>
          <cell r="H442">
            <v>2121.8000000000002</v>
          </cell>
          <cell r="I442">
            <v>2121.8000000000002</v>
          </cell>
          <cell r="J442">
            <v>0</v>
          </cell>
        </row>
        <row r="443">
          <cell r="A443" t="str">
            <v>6226085022</v>
          </cell>
          <cell r="B443">
            <v>62260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805.33</v>
          </cell>
          <cell r="G443">
            <v>-805.33</v>
          </cell>
          <cell r="H443">
            <v>1675.14</v>
          </cell>
          <cell r="I443">
            <v>2275.14</v>
          </cell>
          <cell r="J443">
            <v>600</v>
          </cell>
        </row>
        <row r="444">
          <cell r="A444" t="str">
            <v>6226085065</v>
          </cell>
          <cell r="B444">
            <v>62260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6226085500</v>
          </cell>
          <cell r="B445">
            <v>62260</v>
          </cell>
          <cell r="C445">
            <v>85500</v>
          </cell>
          <cell r="D445" t="str">
            <v>Consulting Services</v>
          </cell>
          <cell r="E445">
            <v>50</v>
          </cell>
          <cell r="F445">
            <v>0</v>
          </cell>
          <cell r="G445">
            <v>50</v>
          </cell>
          <cell r="H445">
            <v>3802.76</v>
          </cell>
          <cell r="I445">
            <v>4060</v>
          </cell>
          <cell r="J445">
            <v>257.24</v>
          </cell>
        </row>
        <row r="446">
          <cell r="A446" t="str">
            <v>6226085566</v>
          </cell>
          <cell r="B446">
            <v>62260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6226085581</v>
          </cell>
          <cell r="B447">
            <v>62260</v>
          </cell>
          <cell r="C447">
            <v>85581</v>
          </cell>
          <cell r="D447" t="str">
            <v>Bldg Admin- Salaries</v>
          </cell>
          <cell r="E447">
            <v>20940.03</v>
          </cell>
          <cell r="F447">
            <v>20689.7</v>
          </cell>
          <cell r="G447">
            <v>250.32999999999799</v>
          </cell>
          <cell r="H447">
            <v>58005.5</v>
          </cell>
          <cell r="I447">
            <v>31956</v>
          </cell>
          <cell r="J447">
            <v>-26049.5</v>
          </cell>
        </row>
        <row r="448">
          <cell r="A448" t="str">
            <v>6226085583</v>
          </cell>
          <cell r="B448">
            <v>62260</v>
          </cell>
          <cell r="C448">
            <v>85583</v>
          </cell>
          <cell r="D448" t="str">
            <v>Bldg Admin-Office Exp.</v>
          </cell>
          <cell r="E448">
            <v>2685.45</v>
          </cell>
          <cell r="F448">
            <v>6312.26</v>
          </cell>
          <cell r="G448">
            <v>-3626.81</v>
          </cell>
          <cell r="H448">
            <v>0</v>
          </cell>
          <cell r="I448">
            <v>11065</v>
          </cell>
          <cell r="J448">
            <v>11065</v>
          </cell>
        </row>
        <row r="449">
          <cell r="A449" t="str">
            <v>6226085530</v>
          </cell>
          <cell r="B449">
            <v>62260</v>
          </cell>
          <cell r="C449">
            <v>85530</v>
          </cell>
          <cell r="D449" t="str">
            <v>Bldg Admin - Office Exp</v>
          </cell>
          <cell r="E449">
            <v>2685.45</v>
          </cell>
          <cell r="F449">
            <v>6312.26</v>
          </cell>
          <cell r="G449">
            <v>-3626.81</v>
          </cell>
          <cell r="H449">
            <v>0</v>
          </cell>
          <cell r="I449">
            <v>11065</v>
          </cell>
          <cell r="J449">
            <v>11065</v>
          </cell>
        </row>
        <row r="450">
          <cell r="A450" t="str">
            <v>6226086012</v>
          </cell>
          <cell r="B450">
            <v>62260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6226086037</v>
          </cell>
          <cell r="B451">
            <v>62260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6226083050</v>
          </cell>
          <cell r="B452">
            <v>62260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6226086510</v>
          </cell>
          <cell r="B453">
            <v>62260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6226086537</v>
          </cell>
          <cell r="B454">
            <v>62260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6226086566</v>
          </cell>
          <cell r="B455">
            <v>62260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6226086955</v>
          </cell>
          <cell r="B456">
            <v>62260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6226086985</v>
          </cell>
          <cell r="B457">
            <v>62260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6226086880</v>
          </cell>
          <cell r="B458">
            <v>62260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6226088710</v>
          </cell>
          <cell r="B459">
            <v>62260</v>
          </cell>
          <cell r="C459">
            <v>88710</v>
          </cell>
          <cell r="D459" t="str">
            <v>Losses-Bad Debts</v>
          </cell>
          <cell r="E459">
            <v>41785.96</v>
          </cell>
          <cell r="F459">
            <v>34894.559999999998</v>
          </cell>
          <cell r="G459">
            <v>6891.4</v>
          </cell>
          <cell r="H459">
            <v>34808.639999999999</v>
          </cell>
          <cell r="I459">
            <v>52298.720000000001</v>
          </cell>
          <cell r="J459">
            <v>17490.080000000002</v>
          </cell>
        </row>
        <row r="460">
          <cell r="A460" t="str">
            <v>6226088711</v>
          </cell>
          <cell r="B460">
            <v>62260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6226088785</v>
          </cell>
          <cell r="B461">
            <v>62260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6226088847</v>
          </cell>
          <cell r="B462">
            <v>62260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6226088866</v>
          </cell>
          <cell r="B463">
            <v>62260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6226088870</v>
          </cell>
          <cell r="B464">
            <v>62260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6226088889</v>
          </cell>
          <cell r="B465">
            <v>62260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6226089776</v>
          </cell>
          <cell r="B466">
            <v>62260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6226089787</v>
          </cell>
          <cell r="B467">
            <v>62260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6226089510</v>
          </cell>
          <cell r="B468">
            <v>62260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6226089511</v>
          </cell>
          <cell r="B469">
            <v>62260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6226089512</v>
          </cell>
          <cell r="B470">
            <v>62260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6226089528</v>
          </cell>
          <cell r="B471">
            <v>62260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6226089529</v>
          </cell>
          <cell r="B472">
            <v>62260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6226089567</v>
          </cell>
          <cell r="B473">
            <v>62260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6226085058</v>
          </cell>
          <cell r="B474">
            <v>62260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6226086513</v>
          </cell>
          <cell r="B475">
            <v>62260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164.54</v>
          </cell>
          <cell r="G475">
            <v>-164.54</v>
          </cell>
          <cell r="H475">
            <v>292.10000000000002</v>
          </cell>
          <cell r="I475">
            <v>813.22</v>
          </cell>
          <cell r="J475">
            <v>521.12</v>
          </cell>
        </row>
        <row r="476">
          <cell r="A476" t="str">
            <v>6226086519</v>
          </cell>
          <cell r="B476">
            <v>62260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6226088770</v>
          </cell>
          <cell r="B477">
            <v>62260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6226088862</v>
          </cell>
          <cell r="B478">
            <v>62260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6226088874</v>
          </cell>
          <cell r="B479">
            <v>62260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6226089910</v>
          </cell>
          <cell r="B480">
            <v>62260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188801.86</v>
          </cell>
          <cell r="G480">
            <v>-188801.86</v>
          </cell>
          <cell r="H480">
            <v>283546.27</v>
          </cell>
          <cell r="I480">
            <v>283202.77</v>
          </cell>
          <cell r="J480">
            <v>-343.5</v>
          </cell>
        </row>
        <row r="481">
          <cell r="A481" t="str">
            <v>6226089548</v>
          </cell>
          <cell r="B481">
            <v>62260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6226141010</v>
          </cell>
          <cell r="B482">
            <v>62261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6226141040</v>
          </cell>
          <cell r="B483">
            <v>62261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6226141050</v>
          </cell>
          <cell r="B484">
            <v>62261</v>
          </cell>
          <cell r="C484">
            <v>41050</v>
          </cell>
          <cell r="D484" t="str">
            <v>Rental Income - Fixed</v>
          </cell>
          <cell r="E484">
            <v>-348377.52</v>
          </cell>
          <cell r="F484">
            <v>-348377.52</v>
          </cell>
          <cell r="G484">
            <v>0</v>
          </cell>
          <cell r="H484">
            <v>-522566.28</v>
          </cell>
          <cell r="I484">
            <v>-522566.28</v>
          </cell>
          <cell r="J484">
            <v>0</v>
          </cell>
        </row>
        <row r="485">
          <cell r="A485" t="str">
            <v>6226141074</v>
          </cell>
          <cell r="B485">
            <v>62261</v>
          </cell>
          <cell r="C485">
            <v>41074</v>
          </cell>
          <cell r="D485" t="str">
            <v>Rental Income - Percentage</v>
          </cell>
          <cell r="E485">
            <v>-7135</v>
          </cell>
          <cell r="F485">
            <v>-7293</v>
          </cell>
          <cell r="G485">
            <v>158</v>
          </cell>
          <cell r="H485">
            <v>0</v>
          </cell>
          <cell r="I485">
            <v>-7293</v>
          </cell>
          <cell r="J485">
            <v>-7293</v>
          </cell>
        </row>
        <row r="486">
          <cell r="A486" t="str">
            <v>6226141082</v>
          </cell>
          <cell r="B486">
            <v>62261</v>
          </cell>
          <cell r="C486">
            <v>41082</v>
          </cell>
          <cell r="D486" t="str">
            <v>Rental Income - Operating Exp</v>
          </cell>
          <cell r="E486">
            <v>-87605.59</v>
          </cell>
          <cell r="F486">
            <v>-103363.9</v>
          </cell>
          <cell r="G486">
            <v>15758.31</v>
          </cell>
          <cell r="H486">
            <v>-158612.04</v>
          </cell>
          <cell r="I486">
            <v>-163257.66</v>
          </cell>
          <cell r="J486">
            <v>-4645.62</v>
          </cell>
        </row>
        <row r="487">
          <cell r="A487" t="str">
            <v>6226144610</v>
          </cell>
          <cell r="B487">
            <v>62261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6226145071</v>
          </cell>
          <cell r="B488">
            <v>62261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-169518.83</v>
          </cell>
          <cell r="G488">
            <v>169518.83</v>
          </cell>
          <cell r="H488">
            <v>0</v>
          </cell>
          <cell r="I488">
            <v>-169518.83</v>
          </cell>
          <cell r="J488">
            <v>-169518.83</v>
          </cell>
        </row>
        <row r="489">
          <cell r="A489" t="str">
            <v>6226145010</v>
          </cell>
          <cell r="B489">
            <v>62261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6226145046</v>
          </cell>
          <cell r="B490">
            <v>62261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6226145070</v>
          </cell>
          <cell r="B491">
            <v>62261</v>
          </cell>
          <cell r="C491">
            <v>45070</v>
          </cell>
          <cell r="D491" t="str">
            <v>Other Income</v>
          </cell>
          <cell r="E491">
            <v>-169518.87</v>
          </cell>
          <cell r="F491">
            <v>2364</v>
          </cell>
          <cell r="G491">
            <v>-171882.87</v>
          </cell>
          <cell r="H491">
            <v>0</v>
          </cell>
          <cell r="I491">
            <v>2364</v>
          </cell>
          <cell r="J491">
            <v>2364</v>
          </cell>
        </row>
        <row r="492">
          <cell r="A492" t="str">
            <v>6226141060</v>
          </cell>
          <cell r="B492">
            <v>62261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6226144870</v>
          </cell>
          <cell r="B493">
            <v>62261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6226152542</v>
          </cell>
          <cell r="B494">
            <v>62261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6226172710</v>
          </cell>
          <cell r="B495">
            <v>62261</v>
          </cell>
          <cell r="C495">
            <v>72710</v>
          </cell>
          <cell r="D495" t="str">
            <v>Utilities - Electricity</v>
          </cell>
          <cell r="E495">
            <v>1572.78</v>
          </cell>
          <cell r="F495">
            <v>1894.23</v>
          </cell>
          <cell r="G495">
            <v>-321.45</v>
          </cell>
          <cell r="H495">
            <v>2592</v>
          </cell>
          <cell r="I495">
            <v>3016.23</v>
          </cell>
          <cell r="J495">
            <v>424.23</v>
          </cell>
        </row>
        <row r="496">
          <cell r="A496" t="str">
            <v>6226172740</v>
          </cell>
          <cell r="B496">
            <v>62261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6226172770</v>
          </cell>
          <cell r="B497">
            <v>62261</v>
          </cell>
          <cell r="C497">
            <v>72770</v>
          </cell>
          <cell r="D497" t="str">
            <v>Utilities - Water</v>
          </cell>
          <cell r="E497">
            <v>1621.47</v>
          </cell>
          <cell r="F497">
            <v>1623.43</v>
          </cell>
          <cell r="G497">
            <v>-1.9600000000000399</v>
          </cell>
          <cell r="H497">
            <v>1865.29</v>
          </cell>
          <cell r="I497">
            <v>3137.67</v>
          </cell>
          <cell r="J497">
            <v>1272.3800000000001</v>
          </cell>
        </row>
        <row r="498">
          <cell r="A498" t="str">
            <v>6226176000</v>
          </cell>
          <cell r="B498">
            <v>62261</v>
          </cell>
          <cell r="C498">
            <v>76000</v>
          </cell>
          <cell r="D498" t="str">
            <v>Bldg Maintenance &amp; Repair</v>
          </cell>
          <cell r="E498">
            <v>575.37</v>
          </cell>
          <cell r="F498">
            <v>538.19000000000005</v>
          </cell>
          <cell r="G498">
            <v>37.18</v>
          </cell>
          <cell r="H498">
            <v>2413.15</v>
          </cell>
          <cell r="I498">
            <v>2338.19</v>
          </cell>
          <cell r="J498">
            <v>-74.959999999999994</v>
          </cell>
        </row>
        <row r="499">
          <cell r="A499" t="str">
            <v>6226176020</v>
          </cell>
          <cell r="B499">
            <v>62261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6226176034</v>
          </cell>
          <cell r="B500">
            <v>62261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6226176050</v>
          </cell>
          <cell r="B501">
            <v>62261</v>
          </cell>
          <cell r="C501">
            <v>76050</v>
          </cell>
          <cell r="D501" t="str">
            <v>Cleaning Expense</v>
          </cell>
          <cell r="E501">
            <v>80</v>
          </cell>
          <cell r="F501">
            <v>80</v>
          </cell>
          <cell r="G501">
            <v>0</v>
          </cell>
          <cell r="H501">
            <v>655.20000000000005</v>
          </cell>
          <cell r="I501">
            <v>735</v>
          </cell>
          <cell r="J501">
            <v>79.8</v>
          </cell>
        </row>
        <row r="502">
          <cell r="A502" t="str">
            <v>6226176056</v>
          </cell>
          <cell r="B502">
            <v>62261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6226176070</v>
          </cell>
          <cell r="B503">
            <v>62261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6226176091</v>
          </cell>
          <cell r="B504">
            <v>62261</v>
          </cell>
          <cell r="C504">
            <v>76091</v>
          </cell>
          <cell r="D504" t="str">
            <v>Parking Maintenance</v>
          </cell>
          <cell r="E504">
            <v>5815.25</v>
          </cell>
          <cell r="F504">
            <v>6044.17</v>
          </cell>
          <cell r="G504">
            <v>-228.92</v>
          </cell>
          <cell r="H504">
            <v>19139.62</v>
          </cell>
          <cell r="I504">
            <v>19151.77</v>
          </cell>
          <cell r="J504">
            <v>12.1500000000015</v>
          </cell>
        </row>
        <row r="505">
          <cell r="A505" t="str">
            <v>6226177000</v>
          </cell>
          <cell r="B505">
            <v>62261</v>
          </cell>
          <cell r="C505">
            <v>77000</v>
          </cell>
          <cell r="D505" t="str">
            <v>Grounds Maintenance</v>
          </cell>
          <cell r="E505">
            <v>10163.719999999999</v>
          </cell>
          <cell r="F505">
            <v>12384.07</v>
          </cell>
          <cell r="G505">
            <v>-2220.35</v>
          </cell>
          <cell r="H505">
            <v>14304.24</v>
          </cell>
          <cell r="I505">
            <v>17580.07</v>
          </cell>
          <cell r="J505">
            <v>3275.83</v>
          </cell>
        </row>
        <row r="506">
          <cell r="A506" t="str">
            <v>6226177053</v>
          </cell>
          <cell r="B506">
            <v>62261</v>
          </cell>
          <cell r="C506">
            <v>77053</v>
          </cell>
          <cell r="D506" t="str">
            <v>Landscaping</v>
          </cell>
          <cell r="E506">
            <v>14444.28</v>
          </cell>
          <cell r="F506">
            <v>14584.15</v>
          </cell>
          <cell r="G506">
            <v>-139.86999999999901</v>
          </cell>
          <cell r="H506">
            <v>26119.47</v>
          </cell>
          <cell r="I506">
            <v>25661.82</v>
          </cell>
          <cell r="J506">
            <v>-457.650000000001</v>
          </cell>
        </row>
        <row r="507">
          <cell r="A507" t="str">
            <v>6226178020</v>
          </cell>
          <cell r="B507">
            <v>62261</v>
          </cell>
          <cell r="C507">
            <v>78020</v>
          </cell>
          <cell r="D507" t="str">
            <v>Amortized CAM Exp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6226184264</v>
          </cell>
          <cell r="B508">
            <v>62261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6226185555</v>
          </cell>
          <cell r="B509">
            <v>62261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6226185584</v>
          </cell>
          <cell r="B510">
            <v>62261</v>
          </cell>
          <cell r="C510">
            <v>85584</v>
          </cell>
          <cell r="D510" t="str">
            <v>Bldg Admin-Office Costs</v>
          </cell>
          <cell r="E510">
            <v>1061.68</v>
          </cell>
          <cell r="F510">
            <v>1123.6300000000001</v>
          </cell>
          <cell r="G510">
            <v>-61.95</v>
          </cell>
          <cell r="H510">
            <v>2485</v>
          </cell>
          <cell r="I510">
            <v>1649</v>
          </cell>
          <cell r="J510">
            <v>-836</v>
          </cell>
        </row>
        <row r="511">
          <cell r="A511" t="str">
            <v>6226185582</v>
          </cell>
          <cell r="B511">
            <v>62261</v>
          </cell>
          <cell r="C511">
            <v>85582</v>
          </cell>
          <cell r="D511" t="str">
            <v>Bldg Admin-Salaries</v>
          </cell>
          <cell r="E511">
            <v>6097.63</v>
          </cell>
          <cell r="F511">
            <v>6456.17</v>
          </cell>
          <cell r="G511">
            <v>-358.54</v>
          </cell>
          <cell r="H511">
            <v>13320.8</v>
          </cell>
          <cell r="I511">
            <v>10537</v>
          </cell>
          <cell r="J511">
            <v>-2783.8</v>
          </cell>
        </row>
        <row r="512">
          <cell r="A512" t="str">
            <v>6226186564</v>
          </cell>
          <cell r="B512">
            <v>62261</v>
          </cell>
          <cell r="C512">
            <v>86564</v>
          </cell>
          <cell r="D512" t="str">
            <v>Insurance</v>
          </cell>
          <cell r="E512">
            <v>2368</v>
          </cell>
          <cell r="F512">
            <v>7448</v>
          </cell>
          <cell r="G512">
            <v>-5080</v>
          </cell>
          <cell r="H512">
            <v>2439</v>
          </cell>
          <cell r="I512">
            <v>11172</v>
          </cell>
          <cell r="J512">
            <v>8733</v>
          </cell>
        </row>
        <row r="513">
          <cell r="A513" t="str">
            <v>6226188846</v>
          </cell>
          <cell r="B513">
            <v>62261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6226188890</v>
          </cell>
          <cell r="B514">
            <v>62261</v>
          </cell>
          <cell r="C514">
            <v>88890</v>
          </cell>
          <cell r="D514" t="str">
            <v>Security/Safety</v>
          </cell>
          <cell r="E514">
            <v>2304.7399999999998</v>
          </cell>
          <cell r="F514">
            <v>1649.7</v>
          </cell>
          <cell r="G514">
            <v>655.04</v>
          </cell>
          <cell r="H514">
            <v>2945.1</v>
          </cell>
          <cell r="I514">
            <v>2750.1</v>
          </cell>
          <cell r="J514">
            <v>-195</v>
          </cell>
        </row>
        <row r="515">
          <cell r="A515" t="str">
            <v>6226189775</v>
          </cell>
          <cell r="B515">
            <v>62261</v>
          </cell>
          <cell r="C515">
            <v>89775</v>
          </cell>
          <cell r="D515" t="str">
            <v>Assmt Dist Taxes- Reimb</v>
          </cell>
          <cell r="E515">
            <v>10286.64</v>
          </cell>
          <cell r="F515">
            <v>10286.68</v>
          </cell>
          <cell r="G515">
            <v>-4.0000000000873101E-2</v>
          </cell>
          <cell r="H515">
            <v>20573</v>
          </cell>
          <cell r="I515">
            <v>15430.68</v>
          </cell>
          <cell r="J515">
            <v>-5142.32</v>
          </cell>
        </row>
        <row r="516">
          <cell r="A516" t="str">
            <v>6226189729</v>
          </cell>
          <cell r="B516">
            <v>62261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6226189786</v>
          </cell>
          <cell r="B517">
            <v>62261</v>
          </cell>
          <cell r="C517">
            <v>89786</v>
          </cell>
          <cell r="D517" t="str">
            <v>Property Tax Exp</v>
          </cell>
          <cell r="E517">
            <v>21392</v>
          </cell>
          <cell r="F517">
            <v>21392</v>
          </cell>
          <cell r="G517">
            <v>0</v>
          </cell>
          <cell r="H517">
            <v>32262</v>
          </cell>
          <cell r="I517">
            <v>32088</v>
          </cell>
          <cell r="J517">
            <v>-174</v>
          </cell>
        </row>
        <row r="518">
          <cell r="A518" t="str">
            <v>6226171040</v>
          </cell>
          <cell r="B518">
            <v>62261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6226172701</v>
          </cell>
          <cell r="B519">
            <v>62261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6226172855</v>
          </cell>
          <cell r="B520">
            <v>62261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6226172870</v>
          </cell>
          <cell r="B521">
            <v>62261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6226176010</v>
          </cell>
          <cell r="B522">
            <v>62261</v>
          </cell>
          <cell r="C522">
            <v>76010</v>
          </cell>
          <cell r="D522" t="str">
            <v>Tenant Alterations</v>
          </cell>
          <cell r="E522">
            <v>0.85</v>
          </cell>
          <cell r="F522">
            <v>0</v>
          </cell>
          <cell r="G522">
            <v>0.85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6226176040</v>
          </cell>
          <cell r="B523">
            <v>62261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6226176051</v>
          </cell>
          <cell r="B524">
            <v>62261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6226176054</v>
          </cell>
          <cell r="B525">
            <v>62261</v>
          </cell>
          <cell r="C525">
            <v>76054</v>
          </cell>
          <cell r="D525" t="str">
            <v>Bldg Maintenance &amp; Repair</v>
          </cell>
          <cell r="E525">
            <v>3.65</v>
          </cell>
          <cell r="F525">
            <v>2.36</v>
          </cell>
          <cell r="G525">
            <v>1.29</v>
          </cell>
          <cell r="H525">
            <v>2.36</v>
          </cell>
          <cell r="I525">
            <v>2.36</v>
          </cell>
          <cell r="J525">
            <v>0</v>
          </cell>
        </row>
        <row r="526">
          <cell r="A526" t="str">
            <v>6226176060</v>
          </cell>
          <cell r="B526">
            <v>62261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6226176071</v>
          </cell>
          <cell r="B527">
            <v>62261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6226176090</v>
          </cell>
          <cell r="B528">
            <v>62261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6226177001</v>
          </cell>
          <cell r="B529">
            <v>62261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6226177022</v>
          </cell>
          <cell r="B530">
            <v>62261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6226184200</v>
          </cell>
          <cell r="B531">
            <v>62261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6226184240</v>
          </cell>
          <cell r="B532">
            <v>62261</v>
          </cell>
          <cell r="C532">
            <v>84240</v>
          </cell>
          <cell r="D532" t="str">
            <v>Marketing Leasing</v>
          </cell>
          <cell r="E532">
            <v>4.05</v>
          </cell>
          <cell r="F532">
            <v>201.73</v>
          </cell>
          <cell r="G532">
            <v>-197.68</v>
          </cell>
          <cell r="H532">
            <v>593</v>
          </cell>
          <cell r="I532">
            <v>399.37</v>
          </cell>
          <cell r="J532">
            <v>-193.63</v>
          </cell>
        </row>
        <row r="533">
          <cell r="A533" t="str">
            <v>6226184242</v>
          </cell>
          <cell r="B533">
            <v>62261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6226184243</v>
          </cell>
          <cell r="B534">
            <v>62261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6226184244</v>
          </cell>
          <cell r="B535">
            <v>62261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6226184265</v>
          </cell>
          <cell r="B536">
            <v>62261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6226188037</v>
          </cell>
          <cell r="B537">
            <v>62261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6226185016</v>
          </cell>
          <cell r="B538">
            <v>62261</v>
          </cell>
          <cell r="C538">
            <v>85016</v>
          </cell>
          <cell r="D538" t="str">
            <v>Prof Svc-Attorney Outside</v>
          </cell>
          <cell r="E538">
            <v>3277</v>
          </cell>
          <cell r="F538">
            <v>1062.24</v>
          </cell>
          <cell r="G538">
            <v>2214.7600000000002</v>
          </cell>
          <cell r="H538">
            <v>7032.84</v>
          </cell>
          <cell r="I538">
            <v>7033.24</v>
          </cell>
          <cell r="J538">
            <v>0.39999999999963598</v>
          </cell>
        </row>
        <row r="539">
          <cell r="A539" t="str">
            <v>6226185022</v>
          </cell>
          <cell r="B539">
            <v>62261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205.33</v>
          </cell>
          <cell r="G539">
            <v>-205.33</v>
          </cell>
          <cell r="H539">
            <v>1051.99</v>
          </cell>
          <cell r="I539">
            <v>1051.99</v>
          </cell>
          <cell r="J539">
            <v>0</v>
          </cell>
        </row>
        <row r="540">
          <cell r="A540" t="str">
            <v>6226185065</v>
          </cell>
          <cell r="B540">
            <v>62261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6226185500</v>
          </cell>
          <cell r="B541">
            <v>62261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6226185566</v>
          </cell>
          <cell r="B542">
            <v>62261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6226185581</v>
          </cell>
          <cell r="B543">
            <v>62261</v>
          </cell>
          <cell r="C543">
            <v>85581</v>
          </cell>
          <cell r="D543" t="str">
            <v>Bldg Admin- Salaries</v>
          </cell>
          <cell r="E543">
            <v>4645.8</v>
          </cell>
          <cell r="F543">
            <v>4590.3599999999997</v>
          </cell>
          <cell r="G543">
            <v>55.440000000000502</v>
          </cell>
          <cell r="H543">
            <v>12022.3</v>
          </cell>
          <cell r="I543">
            <v>7090</v>
          </cell>
          <cell r="J543">
            <v>-4932.3</v>
          </cell>
        </row>
        <row r="544">
          <cell r="A544" t="str">
            <v>6226185583</v>
          </cell>
          <cell r="B544">
            <v>62261</v>
          </cell>
          <cell r="C544">
            <v>85583</v>
          </cell>
          <cell r="D544" t="str">
            <v>Bldg Admin-Office Exp.</v>
          </cell>
          <cell r="E544">
            <v>595.79999999999995</v>
          </cell>
          <cell r="F544">
            <v>1400.52</v>
          </cell>
          <cell r="G544">
            <v>-804.72</v>
          </cell>
          <cell r="H544">
            <v>0</v>
          </cell>
          <cell r="I544">
            <v>2455</v>
          </cell>
          <cell r="J544">
            <v>2455</v>
          </cell>
        </row>
        <row r="545">
          <cell r="A545" t="str">
            <v>6226185530</v>
          </cell>
          <cell r="B545">
            <v>62261</v>
          </cell>
          <cell r="C545">
            <v>85530</v>
          </cell>
          <cell r="D545" t="str">
            <v>Bldg Admin - Office Exp</v>
          </cell>
          <cell r="E545">
            <v>595.79999999999995</v>
          </cell>
          <cell r="F545">
            <v>1400.52</v>
          </cell>
          <cell r="G545">
            <v>-804.72</v>
          </cell>
          <cell r="H545">
            <v>0</v>
          </cell>
          <cell r="I545">
            <v>2455</v>
          </cell>
          <cell r="J545">
            <v>2455</v>
          </cell>
        </row>
        <row r="546">
          <cell r="A546" t="str">
            <v>6226186012</v>
          </cell>
          <cell r="B546">
            <v>62261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6226186037</v>
          </cell>
          <cell r="B547">
            <v>62261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6226183050</v>
          </cell>
          <cell r="B548">
            <v>62261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6226186510</v>
          </cell>
          <cell r="B549">
            <v>62261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6226186537</v>
          </cell>
          <cell r="B550">
            <v>62261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6226186566</v>
          </cell>
          <cell r="B551">
            <v>62261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6226186955</v>
          </cell>
          <cell r="B552">
            <v>62261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6226186985</v>
          </cell>
          <cell r="B553">
            <v>62261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6226186880</v>
          </cell>
          <cell r="B554">
            <v>62261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6226188710</v>
          </cell>
          <cell r="B555">
            <v>62261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0.24</v>
          </cell>
          <cell r="G555">
            <v>-0.24</v>
          </cell>
          <cell r="H555">
            <v>6812.56</v>
          </cell>
          <cell r="I555">
            <v>3406.4</v>
          </cell>
          <cell r="J555">
            <v>-3406.16</v>
          </cell>
        </row>
        <row r="556">
          <cell r="A556" t="str">
            <v>6226188711</v>
          </cell>
          <cell r="B556">
            <v>62261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6226188785</v>
          </cell>
          <cell r="B557">
            <v>62261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6226188847</v>
          </cell>
          <cell r="B558">
            <v>62261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6226188866</v>
          </cell>
          <cell r="B559">
            <v>62261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6226188870</v>
          </cell>
          <cell r="B560">
            <v>62261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6226188889</v>
          </cell>
          <cell r="B561">
            <v>62261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6226189776</v>
          </cell>
          <cell r="B562">
            <v>62261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6226189787</v>
          </cell>
          <cell r="B563">
            <v>62261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6226189510</v>
          </cell>
          <cell r="B564">
            <v>62261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6226189511</v>
          </cell>
          <cell r="B565">
            <v>62261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6226189512</v>
          </cell>
          <cell r="B566">
            <v>62261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6226189528</v>
          </cell>
          <cell r="B567">
            <v>62261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6226189529</v>
          </cell>
          <cell r="B568">
            <v>62261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6226189567</v>
          </cell>
          <cell r="B569">
            <v>62261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6226185058</v>
          </cell>
          <cell r="B570">
            <v>62261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6226186513</v>
          </cell>
          <cell r="B571">
            <v>62261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6226186519</v>
          </cell>
          <cell r="B572">
            <v>62261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6226188770</v>
          </cell>
          <cell r="B573">
            <v>62261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6226188862</v>
          </cell>
          <cell r="B574">
            <v>62261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6226188874</v>
          </cell>
          <cell r="B575">
            <v>62261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6226189910</v>
          </cell>
          <cell r="B576">
            <v>62261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12054.45</v>
          </cell>
          <cell r="G576">
            <v>-12054.45</v>
          </cell>
          <cell r="H576">
            <v>18081.68</v>
          </cell>
          <cell r="I576">
            <v>18081.68</v>
          </cell>
          <cell r="J576">
            <v>0</v>
          </cell>
        </row>
        <row r="577">
          <cell r="A577" t="str">
            <v>6226189548</v>
          </cell>
          <cell r="B577">
            <v>62261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6227041010</v>
          </cell>
          <cell r="B578">
            <v>62270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6227041040</v>
          </cell>
          <cell r="B579">
            <v>62270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6227041050</v>
          </cell>
          <cell r="B580">
            <v>62270</v>
          </cell>
          <cell r="C580">
            <v>41050</v>
          </cell>
          <cell r="D580" t="str">
            <v>Rental Income - Fixed</v>
          </cell>
          <cell r="E580">
            <v>-3378428.99</v>
          </cell>
          <cell r="F580">
            <v>-3363644.09</v>
          </cell>
          <cell r="G580">
            <v>-14784.9000000004</v>
          </cell>
          <cell r="H580">
            <v>-5103929.24</v>
          </cell>
          <cell r="I580">
            <v>-5109108.28</v>
          </cell>
          <cell r="J580">
            <v>-5179.04000000004</v>
          </cell>
        </row>
        <row r="581">
          <cell r="A581" t="str">
            <v>6227041074</v>
          </cell>
          <cell r="B581">
            <v>62270</v>
          </cell>
          <cell r="C581">
            <v>41074</v>
          </cell>
          <cell r="D581" t="str">
            <v>Rental Income - Percentage</v>
          </cell>
          <cell r="E581">
            <v>-25252.84</v>
          </cell>
          <cell r="F581">
            <v>-37916.6</v>
          </cell>
          <cell r="G581">
            <v>12663.76</v>
          </cell>
          <cell r="H581">
            <v>-13990</v>
          </cell>
          <cell r="I581">
            <v>-37916.6</v>
          </cell>
          <cell r="J581">
            <v>-23926.6</v>
          </cell>
        </row>
        <row r="582">
          <cell r="A582" t="str">
            <v>6227041082</v>
          </cell>
          <cell r="B582">
            <v>62270</v>
          </cell>
          <cell r="C582">
            <v>41082</v>
          </cell>
          <cell r="D582" t="str">
            <v>Rental Income - Operating Exp</v>
          </cell>
          <cell r="E582">
            <v>-889582.67</v>
          </cell>
          <cell r="F582">
            <v>-852063.4</v>
          </cell>
          <cell r="G582">
            <v>-37519.269999999997</v>
          </cell>
          <cell r="H582">
            <v>-1453945.2</v>
          </cell>
          <cell r="I582">
            <v>-1398620.24</v>
          </cell>
          <cell r="J582">
            <v>55324.959999999999</v>
          </cell>
        </row>
        <row r="583">
          <cell r="A583" t="str">
            <v>6227044610</v>
          </cell>
          <cell r="B583">
            <v>62270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6227045071</v>
          </cell>
          <cell r="B584">
            <v>62270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6227045010</v>
          </cell>
          <cell r="B585">
            <v>62270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6227045046</v>
          </cell>
          <cell r="B586">
            <v>62270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6227045070</v>
          </cell>
          <cell r="B587">
            <v>62270</v>
          </cell>
          <cell r="C587">
            <v>45070</v>
          </cell>
          <cell r="D587" t="str">
            <v>Other Income</v>
          </cell>
          <cell r="E587">
            <v>-31998.41</v>
          </cell>
          <cell r="F587">
            <v>-35733.08</v>
          </cell>
          <cell r="G587">
            <v>3734.67</v>
          </cell>
          <cell r="H587">
            <v>0</v>
          </cell>
          <cell r="I587">
            <v>-35733.08</v>
          </cell>
          <cell r="J587">
            <v>-35733.08</v>
          </cell>
        </row>
        <row r="588">
          <cell r="A588" t="str">
            <v>6227041060</v>
          </cell>
          <cell r="B588">
            <v>62270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10953.16</v>
          </cell>
          <cell r="G588">
            <v>-10953.16</v>
          </cell>
          <cell r="H588">
            <v>65719</v>
          </cell>
          <cell r="I588">
            <v>32859.519999999997</v>
          </cell>
          <cell r="J588">
            <v>-32859.480000000003</v>
          </cell>
        </row>
        <row r="589">
          <cell r="A589" t="str">
            <v>6227044870</v>
          </cell>
          <cell r="B589">
            <v>62270</v>
          </cell>
          <cell r="C589">
            <v>44870</v>
          </cell>
          <cell r="D589" t="str">
            <v>Late Fees</v>
          </cell>
          <cell r="E589">
            <v>-825</v>
          </cell>
          <cell r="F589">
            <v>0</v>
          </cell>
          <cell r="G589">
            <v>-825</v>
          </cell>
          <cell r="H589">
            <v>-1030</v>
          </cell>
          <cell r="I589">
            <v>-1030</v>
          </cell>
          <cell r="J589">
            <v>0</v>
          </cell>
        </row>
        <row r="590">
          <cell r="A590" t="str">
            <v>6227052542</v>
          </cell>
          <cell r="B590">
            <v>62270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6227072710</v>
          </cell>
          <cell r="B591">
            <v>62270</v>
          </cell>
          <cell r="C591">
            <v>72710</v>
          </cell>
          <cell r="D591" t="str">
            <v>Utilities - Electricity</v>
          </cell>
          <cell r="E591">
            <v>33849.339999999997</v>
          </cell>
          <cell r="F591">
            <v>37253.54</v>
          </cell>
          <cell r="G591">
            <v>-3404.2</v>
          </cell>
          <cell r="H591">
            <v>56077.34</v>
          </cell>
          <cell r="I591">
            <v>54627.58</v>
          </cell>
          <cell r="J591">
            <v>-1449.75999999999</v>
          </cell>
        </row>
        <row r="592">
          <cell r="A592" t="str">
            <v>6227072740</v>
          </cell>
          <cell r="B592">
            <v>62270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6227072770</v>
          </cell>
          <cell r="B593">
            <v>62270</v>
          </cell>
          <cell r="C593">
            <v>72770</v>
          </cell>
          <cell r="D593" t="str">
            <v>Utilities - Water</v>
          </cell>
          <cell r="E593">
            <v>13928.52</v>
          </cell>
          <cell r="F593">
            <v>16338.9</v>
          </cell>
          <cell r="G593">
            <v>-2410.38</v>
          </cell>
          <cell r="H593">
            <v>19157.189999999999</v>
          </cell>
          <cell r="I593">
            <v>22405.58</v>
          </cell>
          <cell r="J593">
            <v>3248.39</v>
          </cell>
        </row>
        <row r="594">
          <cell r="A594" t="str">
            <v>6227076000</v>
          </cell>
          <cell r="B594">
            <v>62270</v>
          </cell>
          <cell r="C594">
            <v>76000</v>
          </cell>
          <cell r="D594" t="str">
            <v>Bldg Maintenance &amp; Repair</v>
          </cell>
          <cell r="E594">
            <v>26630.54</v>
          </cell>
          <cell r="F594">
            <v>23027.25</v>
          </cell>
          <cell r="G594">
            <v>3603.29</v>
          </cell>
          <cell r="H594">
            <v>63292.58</v>
          </cell>
          <cell r="I594">
            <v>65918</v>
          </cell>
          <cell r="J594">
            <v>2625.42</v>
          </cell>
        </row>
        <row r="595">
          <cell r="A595" t="str">
            <v>6227076020</v>
          </cell>
          <cell r="B595">
            <v>62270</v>
          </cell>
          <cell r="C595">
            <v>76020</v>
          </cell>
          <cell r="D595" t="str">
            <v>Food Court Expense</v>
          </cell>
          <cell r="E595">
            <v>7007</v>
          </cell>
          <cell r="F595">
            <v>7004.5</v>
          </cell>
          <cell r="G595">
            <v>2.5</v>
          </cell>
          <cell r="H595">
            <v>10712</v>
          </cell>
          <cell r="I595">
            <v>10712.5</v>
          </cell>
          <cell r="J595">
            <v>0.5</v>
          </cell>
        </row>
        <row r="596">
          <cell r="A596" t="str">
            <v>6227076034</v>
          </cell>
          <cell r="B596">
            <v>62270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6227076050</v>
          </cell>
          <cell r="B597">
            <v>62270</v>
          </cell>
          <cell r="C597">
            <v>76050</v>
          </cell>
          <cell r="D597" t="str">
            <v>Cleaning Expense</v>
          </cell>
          <cell r="E597">
            <v>54339.45</v>
          </cell>
          <cell r="F597">
            <v>55840.5</v>
          </cell>
          <cell r="G597">
            <v>-1501.05</v>
          </cell>
          <cell r="H597">
            <v>77274.210000000006</v>
          </cell>
          <cell r="I597">
            <v>83472.5</v>
          </cell>
          <cell r="J597">
            <v>6198.28999999999</v>
          </cell>
        </row>
        <row r="598">
          <cell r="A598" t="str">
            <v>6227076056</v>
          </cell>
          <cell r="B598">
            <v>62270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6227076070</v>
          </cell>
          <cell r="B599">
            <v>62270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6227076091</v>
          </cell>
          <cell r="B600">
            <v>62270</v>
          </cell>
          <cell r="C600">
            <v>76091</v>
          </cell>
          <cell r="D600" t="str">
            <v>Parking Maintenance</v>
          </cell>
          <cell r="E600">
            <v>34931.01</v>
          </cell>
          <cell r="F600">
            <v>35418.75</v>
          </cell>
          <cell r="G600">
            <v>-487.73999999999802</v>
          </cell>
          <cell r="H600">
            <v>59121.55</v>
          </cell>
          <cell r="I600">
            <v>62319.25</v>
          </cell>
          <cell r="J600">
            <v>3197.7</v>
          </cell>
        </row>
        <row r="601">
          <cell r="A601" t="str">
            <v>6227077000</v>
          </cell>
          <cell r="B601">
            <v>62270</v>
          </cell>
          <cell r="C601">
            <v>77000</v>
          </cell>
          <cell r="D601" t="str">
            <v>Grounds Maintenance</v>
          </cell>
          <cell r="E601">
            <v>38057.42</v>
          </cell>
          <cell r="F601">
            <v>42404.98</v>
          </cell>
          <cell r="G601">
            <v>-4347.5600000000004</v>
          </cell>
          <cell r="H601">
            <v>74511.91</v>
          </cell>
          <cell r="I601">
            <v>77642.820000000007</v>
          </cell>
          <cell r="J601">
            <v>3130.91</v>
          </cell>
        </row>
        <row r="602">
          <cell r="A602" t="str">
            <v>6227077053</v>
          </cell>
          <cell r="B602">
            <v>62270</v>
          </cell>
          <cell r="C602">
            <v>77053</v>
          </cell>
          <cell r="D602" t="str">
            <v>Landscaping</v>
          </cell>
          <cell r="E602">
            <v>75681</v>
          </cell>
          <cell r="F602">
            <v>75267</v>
          </cell>
          <cell r="G602">
            <v>414</v>
          </cell>
          <cell r="H602">
            <v>125364.17</v>
          </cell>
          <cell r="I602">
            <v>121585</v>
          </cell>
          <cell r="J602">
            <v>-3779.17</v>
          </cell>
        </row>
        <row r="603">
          <cell r="A603" t="str">
            <v>6227078020</v>
          </cell>
          <cell r="B603">
            <v>62270</v>
          </cell>
          <cell r="C603">
            <v>78020</v>
          </cell>
          <cell r="D603" t="str">
            <v>Amortized CAM Exp</v>
          </cell>
          <cell r="E603">
            <v>58700</v>
          </cell>
          <cell r="F603">
            <v>7533.3999999999896</v>
          </cell>
          <cell r="G603">
            <v>51166.6</v>
          </cell>
          <cell r="H603">
            <v>88050</v>
          </cell>
          <cell r="I603">
            <v>88050</v>
          </cell>
          <cell r="J603">
            <v>0</v>
          </cell>
        </row>
        <row r="604">
          <cell r="A604" t="str">
            <v>6227084264</v>
          </cell>
          <cell r="B604">
            <v>62270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6227085555</v>
          </cell>
          <cell r="B605">
            <v>62270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6227085584</v>
          </cell>
          <cell r="B606">
            <v>62270</v>
          </cell>
          <cell r="C606">
            <v>85584</v>
          </cell>
          <cell r="D606" t="str">
            <v>Bldg Admin-Office Costs</v>
          </cell>
          <cell r="E606">
            <v>13336.75</v>
          </cell>
          <cell r="F606">
            <v>14126.57</v>
          </cell>
          <cell r="G606">
            <v>-789.82</v>
          </cell>
          <cell r="H606">
            <v>31242</v>
          </cell>
          <cell r="I606">
            <v>20741</v>
          </cell>
          <cell r="J606">
            <v>-10501</v>
          </cell>
        </row>
        <row r="607">
          <cell r="A607" t="str">
            <v>6227085582</v>
          </cell>
          <cell r="B607">
            <v>62270</v>
          </cell>
          <cell r="C607">
            <v>85582</v>
          </cell>
          <cell r="D607" t="str">
            <v>Bldg Admin-Salaries</v>
          </cell>
          <cell r="E607">
            <v>79285.22</v>
          </cell>
          <cell r="F607">
            <v>82490.460000000006</v>
          </cell>
          <cell r="G607">
            <v>-3205.2400000000098</v>
          </cell>
          <cell r="H607">
            <v>167507.20000000001</v>
          </cell>
          <cell r="I607">
            <v>132503</v>
          </cell>
          <cell r="J607">
            <v>-35004.199999999997</v>
          </cell>
        </row>
        <row r="608">
          <cell r="A608" t="str">
            <v>6227086564</v>
          </cell>
          <cell r="B608">
            <v>62270</v>
          </cell>
          <cell r="C608">
            <v>86564</v>
          </cell>
          <cell r="D608" t="str">
            <v>Insurance</v>
          </cell>
          <cell r="E608">
            <v>64088</v>
          </cell>
          <cell r="F608">
            <v>71384</v>
          </cell>
          <cell r="G608">
            <v>-7296</v>
          </cell>
          <cell r="H608">
            <v>92909</v>
          </cell>
          <cell r="I608">
            <v>107076</v>
          </cell>
          <cell r="J608">
            <v>14167</v>
          </cell>
        </row>
        <row r="609">
          <cell r="A609" t="str">
            <v>6227088846</v>
          </cell>
          <cell r="B609">
            <v>62270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6227088890</v>
          </cell>
          <cell r="B610">
            <v>62270</v>
          </cell>
          <cell r="C610">
            <v>88890</v>
          </cell>
          <cell r="D610" t="str">
            <v>Security/Safety</v>
          </cell>
          <cell r="E610">
            <v>29751.759999999998</v>
          </cell>
          <cell r="F610">
            <v>29540.560000000001</v>
          </cell>
          <cell r="G610">
            <v>211.199999999997</v>
          </cell>
          <cell r="H610">
            <v>36486.82</v>
          </cell>
          <cell r="I610">
            <v>44340.56</v>
          </cell>
          <cell r="J610">
            <v>7853.74</v>
          </cell>
        </row>
        <row r="611">
          <cell r="A611" t="str">
            <v>6227089775</v>
          </cell>
          <cell r="B611">
            <v>62270</v>
          </cell>
          <cell r="C611">
            <v>89775</v>
          </cell>
          <cell r="D611" t="str">
            <v>Assmt Dist Taxes- Reimb</v>
          </cell>
          <cell r="E611">
            <v>82683.360000000001</v>
          </cell>
          <cell r="F611">
            <v>82682</v>
          </cell>
          <cell r="G611">
            <v>1.3600000000005801</v>
          </cell>
          <cell r="H611">
            <v>165366</v>
          </cell>
          <cell r="I611">
            <v>124022</v>
          </cell>
          <cell r="J611">
            <v>-41344</v>
          </cell>
        </row>
        <row r="612">
          <cell r="A612" t="str">
            <v>6227089729</v>
          </cell>
          <cell r="B612">
            <v>62270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6227089786</v>
          </cell>
          <cell r="B613">
            <v>62270</v>
          </cell>
          <cell r="C613">
            <v>89786</v>
          </cell>
          <cell r="D613" t="str">
            <v>Property Tax Exp</v>
          </cell>
          <cell r="E613">
            <v>235748</v>
          </cell>
          <cell r="F613">
            <v>235746</v>
          </cell>
          <cell r="G613">
            <v>2</v>
          </cell>
          <cell r="H613">
            <v>355575</v>
          </cell>
          <cell r="I613">
            <v>353618</v>
          </cell>
          <cell r="J613">
            <v>-1957</v>
          </cell>
        </row>
        <row r="614">
          <cell r="A614" t="str">
            <v>6227071040</v>
          </cell>
          <cell r="B614">
            <v>62270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6227072701</v>
          </cell>
          <cell r="B615">
            <v>62270</v>
          </cell>
          <cell r="C615">
            <v>72701</v>
          </cell>
          <cell r="D615" t="str">
            <v>Utilities</v>
          </cell>
          <cell r="E615">
            <v>334.74</v>
          </cell>
          <cell r="F615">
            <v>105.41</v>
          </cell>
          <cell r="G615">
            <v>229.33</v>
          </cell>
          <cell r="H615">
            <v>206</v>
          </cell>
          <cell r="I615">
            <v>311.41000000000003</v>
          </cell>
          <cell r="J615">
            <v>105.41</v>
          </cell>
        </row>
        <row r="616">
          <cell r="A616" t="str">
            <v>6227072855</v>
          </cell>
          <cell r="B616">
            <v>62270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6227072870</v>
          </cell>
          <cell r="B617">
            <v>62270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6227076010</v>
          </cell>
          <cell r="B618">
            <v>62270</v>
          </cell>
          <cell r="C618">
            <v>76010</v>
          </cell>
          <cell r="D618" t="str">
            <v>Tenant Alterations</v>
          </cell>
          <cell r="E618">
            <v>10.68</v>
          </cell>
          <cell r="F618">
            <v>148.4</v>
          </cell>
          <cell r="G618">
            <v>-137.72</v>
          </cell>
          <cell r="H618">
            <v>354.4</v>
          </cell>
          <cell r="I618">
            <v>354.4</v>
          </cell>
          <cell r="J618">
            <v>0</v>
          </cell>
        </row>
        <row r="619">
          <cell r="A619" t="str">
            <v>6227076040</v>
          </cell>
          <cell r="B619">
            <v>62270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6227076051</v>
          </cell>
          <cell r="B620">
            <v>62270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6227076054</v>
          </cell>
          <cell r="B621">
            <v>62270</v>
          </cell>
          <cell r="C621">
            <v>76054</v>
          </cell>
          <cell r="D621" t="str">
            <v>Bldg Maintenance &amp; Repair</v>
          </cell>
          <cell r="E621">
            <v>463.24</v>
          </cell>
          <cell r="F621">
            <v>5903.11</v>
          </cell>
          <cell r="G621">
            <v>-5439.87</v>
          </cell>
          <cell r="H621">
            <v>11372.73</v>
          </cell>
          <cell r="I621">
            <v>11418.11</v>
          </cell>
          <cell r="J621">
            <v>45.380000000000997</v>
          </cell>
        </row>
        <row r="622">
          <cell r="A622" t="str">
            <v>6227076060</v>
          </cell>
          <cell r="B622">
            <v>62270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6227076071</v>
          </cell>
          <cell r="B623">
            <v>62270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6227076090</v>
          </cell>
          <cell r="B624">
            <v>62270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6227077001</v>
          </cell>
          <cell r="B625">
            <v>62270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6227077022</v>
          </cell>
          <cell r="B626">
            <v>62270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6227084200</v>
          </cell>
          <cell r="B627">
            <v>62270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6227084240</v>
          </cell>
          <cell r="B628">
            <v>62270</v>
          </cell>
          <cell r="C628">
            <v>84240</v>
          </cell>
          <cell r="D628" t="str">
            <v>Marketing Leasing</v>
          </cell>
          <cell r="E628">
            <v>50.66</v>
          </cell>
          <cell r="F628">
            <v>2534.98</v>
          </cell>
          <cell r="G628">
            <v>-2484.3200000000002</v>
          </cell>
          <cell r="H628">
            <v>7453</v>
          </cell>
          <cell r="I628">
            <v>5019.34</v>
          </cell>
          <cell r="J628">
            <v>-2433.66</v>
          </cell>
        </row>
        <row r="629">
          <cell r="A629" t="str">
            <v>6227084242</v>
          </cell>
          <cell r="B629">
            <v>62270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6227084243</v>
          </cell>
          <cell r="B630">
            <v>62270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6227084244</v>
          </cell>
          <cell r="B631">
            <v>62270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6227084265</v>
          </cell>
          <cell r="B632">
            <v>62270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6227088037</v>
          </cell>
          <cell r="B633">
            <v>62270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6227085016</v>
          </cell>
          <cell r="B634">
            <v>62270</v>
          </cell>
          <cell r="C634">
            <v>85016</v>
          </cell>
          <cell r="D634" t="str">
            <v>Prof Svc-Attorney Outside</v>
          </cell>
          <cell r="E634">
            <v>1152.74</v>
          </cell>
          <cell r="F634">
            <v>1153.3499999999999</v>
          </cell>
          <cell r="G634">
            <v>-0.60999999999989996</v>
          </cell>
          <cell r="H634">
            <v>4412</v>
          </cell>
          <cell r="I634">
            <v>5299.1</v>
          </cell>
          <cell r="J634">
            <v>887.1</v>
          </cell>
        </row>
        <row r="635">
          <cell r="A635" t="str">
            <v>6227085022</v>
          </cell>
          <cell r="B635">
            <v>62270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823.33</v>
          </cell>
          <cell r="G635">
            <v>-823.33</v>
          </cell>
          <cell r="H635">
            <v>5760.12</v>
          </cell>
          <cell r="I635">
            <v>5064.87</v>
          </cell>
          <cell r="J635">
            <v>-695.25</v>
          </cell>
        </row>
        <row r="636">
          <cell r="A636" t="str">
            <v>6227085065</v>
          </cell>
          <cell r="B636">
            <v>62270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6227085500</v>
          </cell>
          <cell r="B637">
            <v>62270</v>
          </cell>
          <cell r="C637">
            <v>85500</v>
          </cell>
          <cell r="D637" t="str">
            <v>Consulting Services</v>
          </cell>
          <cell r="E637">
            <v>50</v>
          </cell>
          <cell r="F637">
            <v>607.32000000000005</v>
          </cell>
          <cell r="G637">
            <v>-557.32000000000005</v>
          </cell>
          <cell r="H637">
            <v>6596.05</v>
          </cell>
          <cell r="I637">
            <v>6449.85</v>
          </cell>
          <cell r="J637">
            <v>-146.19999999999999</v>
          </cell>
        </row>
        <row r="638">
          <cell r="A638" t="str">
            <v>6227085566</v>
          </cell>
          <cell r="B638">
            <v>62270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6227085581</v>
          </cell>
          <cell r="B639">
            <v>62270</v>
          </cell>
          <cell r="C639">
            <v>85581</v>
          </cell>
          <cell r="D639" t="str">
            <v>Bldg Admin- Salaries</v>
          </cell>
          <cell r="E639">
            <v>58420.38</v>
          </cell>
          <cell r="F639">
            <v>57721.56</v>
          </cell>
          <cell r="G639">
            <v>698.82</v>
          </cell>
          <cell r="H639">
            <v>134068.20000000001</v>
          </cell>
          <cell r="I639">
            <v>89153</v>
          </cell>
          <cell r="J639">
            <v>-44915.199999999997</v>
          </cell>
        </row>
        <row r="640">
          <cell r="A640" t="str">
            <v>6227085583</v>
          </cell>
          <cell r="B640">
            <v>62270</v>
          </cell>
          <cell r="C640">
            <v>85583</v>
          </cell>
          <cell r="D640" t="str">
            <v>Bldg Admin-Office Exp.</v>
          </cell>
          <cell r="E640">
            <v>7492.08</v>
          </cell>
          <cell r="F640">
            <v>17610.96</v>
          </cell>
          <cell r="G640">
            <v>-10118.879999999999</v>
          </cell>
          <cell r="H640">
            <v>0</v>
          </cell>
          <cell r="I640">
            <v>30871</v>
          </cell>
          <cell r="J640">
            <v>30871</v>
          </cell>
        </row>
        <row r="641">
          <cell r="A641" t="str">
            <v>6227085530</v>
          </cell>
          <cell r="B641">
            <v>62270</v>
          </cell>
          <cell r="C641">
            <v>85530</v>
          </cell>
          <cell r="D641" t="str">
            <v>Bldg Admin - Office Exp</v>
          </cell>
          <cell r="E641">
            <v>7492.08</v>
          </cell>
          <cell r="F641">
            <v>17610.96</v>
          </cell>
          <cell r="G641">
            <v>-10118.879999999999</v>
          </cell>
          <cell r="H641">
            <v>0</v>
          </cell>
          <cell r="I641">
            <v>30871</v>
          </cell>
          <cell r="J641">
            <v>30871</v>
          </cell>
        </row>
        <row r="642">
          <cell r="A642" t="str">
            <v>6227086012</v>
          </cell>
          <cell r="B642">
            <v>62270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6227086037</v>
          </cell>
          <cell r="B643">
            <v>62270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6227083050</v>
          </cell>
          <cell r="B644">
            <v>62270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6227086510</v>
          </cell>
          <cell r="B645">
            <v>62270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6227086537</v>
          </cell>
          <cell r="B646">
            <v>62270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6227086566</v>
          </cell>
          <cell r="B647">
            <v>62270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6227086955</v>
          </cell>
          <cell r="B648">
            <v>62270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6227086985</v>
          </cell>
          <cell r="B649">
            <v>62270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6227086880</v>
          </cell>
          <cell r="B650">
            <v>62270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6227088710</v>
          </cell>
          <cell r="B651">
            <v>62270</v>
          </cell>
          <cell r="C651">
            <v>88710</v>
          </cell>
          <cell r="D651" t="str">
            <v>Losses-Bad Debts</v>
          </cell>
          <cell r="E651">
            <v>-8274.09</v>
          </cell>
          <cell r="F651">
            <v>6316.51</v>
          </cell>
          <cell r="G651">
            <v>-14590.6</v>
          </cell>
          <cell r="H651">
            <v>65728.639999999999</v>
          </cell>
          <cell r="I651">
            <v>39180.67</v>
          </cell>
          <cell r="J651">
            <v>-26547.97</v>
          </cell>
        </row>
        <row r="652">
          <cell r="A652" t="str">
            <v>6227088711</v>
          </cell>
          <cell r="B652">
            <v>62270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6227088785</v>
          </cell>
          <cell r="B653">
            <v>62270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6227088847</v>
          </cell>
          <cell r="B654">
            <v>62270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6227088866</v>
          </cell>
          <cell r="B655">
            <v>62270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6227088870</v>
          </cell>
          <cell r="B656">
            <v>62270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6227088889</v>
          </cell>
          <cell r="B657">
            <v>62270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6227089776</v>
          </cell>
          <cell r="B658">
            <v>62270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6227089787</v>
          </cell>
          <cell r="B659">
            <v>62270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6227089510</v>
          </cell>
          <cell r="B660">
            <v>62270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282428</v>
          </cell>
          <cell r="G660">
            <v>-282428</v>
          </cell>
          <cell r="H660">
            <v>1146735</v>
          </cell>
          <cell r="I660">
            <v>660333</v>
          </cell>
          <cell r="J660">
            <v>-486402</v>
          </cell>
        </row>
        <row r="661">
          <cell r="A661" t="str">
            <v>6227089511</v>
          </cell>
          <cell r="B661">
            <v>62270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6227089512</v>
          </cell>
          <cell r="B662">
            <v>62270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6227089528</v>
          </cell>
          <cell r="B663">
            <v>62270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6227089529</v>
          </cell>
          <cell r="B664">
            <v>62270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6690</v>
          </cell>
          <cell r="G664">
            <v>-6690</v>
          </cell>
          <cell r="H664">
            <v>26760</v>
          </cell>
          <cell r="I664">
            <v>15610</v>
          </cell>
          <cell r="J664">
            <v>-11150</v>
          </cell>
        </row>
        <row r="665">
          <cell r="A665" t="str">
            <v>6227089567</v>
          </cell>
          <cell r="B665">
            <v>62270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6227085058</v>
          </cell>
          <cell r="B666">
            <v>62270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6227086513</v>
          </cell>
          <cell r="B667">
            <v>62270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0</v>
          </cell>
          <cell r="G667">
            <v>0</v>
          </cell>
          <cell r="H667">
            <v>674.36</v>
          </cell>
          <cell r="I667">
            <v>199.22</v>
          </cell>
          <cell r="J667">
            <v>-475.14</v>
          </cell>
        </row>
        <row r="668">
          <cell r="A668" t="str">
            <v>6227086519</v>
          </cell>
          <cell r="B668">
            <v>62270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6227088770</v>
          </cell>
          <cell r="B669">
            <v>62270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6227088862</v>
          </cell>
          <cell r="B670">
            <v>62270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6227088874</v>
          </cell>
          <cell r="B671">
            <v>62270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6227089910</v>
          </cell>
          <cell r="B672">
            <v>62270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397354.72</v>
          </cell>
          <cell r="G672">
            <v>-397354.72</v>
          </cell>
          <cell r="H672">
            <v>595854.16</v>
          </cell>
          <cell r="I672">
            <v>594321.80000000005</v>
          </cell>
          <cell r="J672">
            <v>-1532.3599999999899</v>
          </cell>
        </row>
        <row r="673">
          <cell r="A673" t="str">
            <v>6227089548</v>
          </cell>
          <cell r="B673">
            <v>62270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6232041010</v>
          </cell>
          <cell r="B674">
            <v>62320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6232041040</v>
          </cell>
          <cell r="B675">
            <v>62320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6232041050</v>
          </cell>
          <cell r="B676">
            <v>62320</v>
          </cell>
          <cell r="C676">
            <v>41050</v>
          </cell>
          <cell r="D676" t="str">
            <v>Rental Income - Fixed</v>
          </cell>
          <cell r="E676">
            <v>-1406722.58</v>
          </cell>
          <cell r="F676">
            <v>-1555189.63</v>
          </cell>
          <cell r="G676">
            <v>148467.04999999999</v>
          </cell>
          <cell r="H676">
            <v>-2673566.12</v>
          </cell>
          <cell r="I676">
            <v>-2628522.35</v>
          </cell>
          <cell r="J676">
            <v>45043.77</v>
          </cell>
        </row>
        <row r="677">
          <cell r="A677" t="str">
            <v>6232041074</v>
          </cell>
          <cell r="B677">
            <v>62320</v>
          </cell>
          <cell r="C677">
            <v>41074</v>
          </cell>
          <cell r="D677" t="str">
            <v>Rental Income - Percentage</v>
          </cell>
          <cell r="E677">
            <v>-318617.06</v>
          </cell>
          <cell r="F677">
            <v>-258444.98</v>
          </cell>
          <cell r="G677">
            <v>-60172.08</v>
          </cell>
          <cell r="H677">
            <v>-155942</v>
          </cell>
          <cell r="I677">
            <v>-258444.98</v>
          </cell>
          <cell r="J677">
            <v>-102502.98</v>
          </cell>
        </row>
        <row r="678">
          <cell r="A678" t="str">
            <v>6232041082</v>
          </cell>
          <cell r="B678">
            <v>62320</v>
          </cell>
          <cell r="C678">
            <v>41082</v>
          </cell>
          <cell r="D678" t="str">
            <v>Rental Income - Operating Exp</v>
          </cell>
          <cell r="E678">
            <v>-507939.66</v>
          </cell>
          <cell r="F678">
            <v>-527075.54</v>
          </cell>
          <cell r="G678">
            <v>19135.880000000099</v>
          </cell>
          <cell r="H678">
            <v>-884580.96</v>
          </cell>
          <cell r="I678">
            <v>-816005.18</v>
          </cell>
          <cell r="J678">
            <v>68575.779999999897</v>
          </cell>
        </row>
        <row r="679">
          <cell r="A679" t="str">
            <v>6232044610</v>
          </cell>
          <cell r="B679">
            <v>62320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6232045071</v>
          </cell>
          <cell r="B680">
            <v>62320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6232045010</v>
          </cell>
          <cell r="B681">
            <v>62320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6232045046</v>
          </cell>
          <cell r="B682">
            <v>62320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6232045070</v>
          </cell>
          <cell r="B683">
            <v>62320</v>
          </cell>
          <cell r="C683">
            <v>45070</v>
          </cell>
          <cell r="D683" t="str">
            <v>Other Income</v>
          </cell>
          <cell r="E683">
            <v>-1977.24</v>
          </cell>
          <cell r="F683">
            <v>-17810.75</v>
          </cell>
          <cell r="G683">
            <v>15833.51</v>
          </cell>
          <cell r="H683">
            <v>0</v>
          </cell>
          <cell r="I683">
            <v>-17810.75</v>
          </cell>
          <cell r="J683">
            <v>-17810.75</v>
          </cell>
        </row>
        <row r="684">
          <cell r="A684" t="str">
            <v>6232041060</v>
          </cell>
          <cell r="B684">
            <v>62320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17924</v>
          </cell>
          <cell r="G684">
            <v>-17924</v>
          </cell>
          <cell r="H684">
            <v>74282</v>
          </cell>
          <cell r="I684">
            <v>53772</v>
          </cell>
          <cell r="J684">
            <v>-20510</v>
          </cell>
        </row>
        <row r="685">
          <cell r="A685" t="str">
            <v>6232044870</v>
          </cell>
          <cell r="B685">
            <v>62320</v>
          </cell>
          <cell r="C685">
            <v>44870</v>
          </cell>
          <cell r="D685" t="str">
            <v>Late Fees</v>
          </cell>
          <cell r="E685">
            <v>-397.66</v>
          </cell>
          <cell r="F685">
            <v>0</v>
          </cell>
          <cell r="G685">
            <v>-397.66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6232052542</v>
          </cell>
          <cell r="B686">
            <v>62320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6232072710</v>
          </cell>
          <cell r="B687">
            <v>62320</v>
          </cell>
          <cell r="C687">
            <v>72710</v>
          </cell>
          <cell r="D687" t="str">
            <v>Utilities - Electricity</v>
          </cell>
          <cell r="E687">
            <v>28782.04</v>
          </cell>
          <cell r="F687">
            <v>28829.96</v>
          </cell>
          <cell r="G687">
            <v>-47.919999999998304</v>
          </cell>
          <cell r="H687">
            <v>39613.370000000003</v>
          </cell>
          <cell r="I687">
            <v>39612.959999999999</v>
          </cell>
          <cell r="J687">
            <v>-0.41000000000349202</v>
          </cell>
        </row>
        <row r="688">
          <cell r="A688" t="str">
            <v>6232072740</v>
          </cell>
          <cell r="B688">
            <v>62320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6232072770</v>
          </cell>
          <cell r="B689">
            <v>62320</v>
          </cell>
          <cell r="C689">
            <v>72770</v>
          </cell>
          <cell r="D689" t="str">
            <v>Utilities - Water</v>
          </cell>
          <cell r="E689">
            <v>6935.77</v>
          </cell>
          <cell r="F689">
            <v>9663.6200000000008</v>
          </cell>
          <cell r="G689">
            <v>-2727.85</v>
          </cell>
          <cell r="H689">
            <v>8984.7800000000007</v>
          </cell>
          <cell r="I689">
            <v>13875.62</v>
          </cell>
          <cell r="J689">
            <v>4890.84</v>
          </cell>
        </row>
        <row r="690">
          <cell r="A690" t="str">
            <v>6232076000</v>
          </cell>
          <cell r="B690">
            <v>62320</v>
          </cell>
          <cell r="C690">
            <v>76000</v>
          </cell>
          <cell r="D690" t="str">
            <v>Bldg Maintenance &amp; Repair</v>
          </cell>
          <cell r="E690">
            <v>34892.519999999997</v>
          </cell>
          <cell r="F690">
            <v>33364.57</v>
          </cell>
          <cell r="G690">
            <v>1527.95</v>
          </cell>
          <cell r="H690">
            <v>44528.47</v>
          </cell>
          <cell r="I690">
            <v>47974.83</v>
          </cell>
          <cell r="J690">
            <v>3446.36</v>
          </cell>
        </row>
        <row r="691">
          <cell r="A691" t="str">
            <v>6232076020</v>
          </cell>
          <cell r="B691">
            <v>62320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6232076034</v>
          </cell>
          <cell r="B692">
            <v>62320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6232076050</v>
          </cell>
          <cell r="B693">
            <v>62320</v>
          </cell>
          <cell r="C693">
            <v>76050</v>
          </cell>
          <cell r="D693" t="str">
            <v>Cleaning Expense</v>
          </cell>
          <cell r="E693">
            <v>55606.87</v>
          </cell>
          <cell r="F693">
            <v>55042.19</v>
          </cell>
          <cell r="G693">
            <v>564.67999999999995</v>
          </cell>
          <cell r="H693">
            <v>82104.429999999993</v>
          </cell>
          <cell r="I693">
            <v>82103.789999999994</v>
          </cell>
          <cell r="J693">
            <v>-0.63999999999941803</v>
          </cell>
        </row>
        <row r="694">
          <cell r="A694" t="str">
            <v>6232076056</v>
          </cell>
          <cell r="B694">
            <v>62320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6232076070</v>
          </cell>
          <cell r="B695">
            <v>62320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6232076091</v>
          </cell>
          <cell r="B696">
            <v>62320</v>
          </cell>
          <cell r="C696">
            <v>76091</v>
          </cell>
          <cell r="D696" t="str">
            <v>Parking Maintenance</v>
          </cell>
          <cell r="E696">
            <v>41714.18</v>
          </cell>
          <cell r="F696">
            <v>45268.57</v>
          </cell>
          <cell r="G696">
            <v>-3554.39</v>
          </cell>
          <cell r="H696">
            <v>72494.570000000007</v>
          </cell>
          <cell r="I696">
            <v>67603.570000000007</v>
          </cell>
          <cell r="J696">
            <v>-4891</v>
          </cell>
        </row>
        <row r="697">
          <cell r="A697" t="str">
            <v>6232077000</v>
          </cell>
          <cell r="B697">
            <v>62320</v>
          </cell>
          <cell r="C697">
            <v>77000</v>
          </cell>
          <cell r="D697" t="str">
            <v>Grounds Maintenance</v>
          </cell>
          <cell r="E697">
            <v>54405.97</v>
          </cell>
          <cell r="F697">
            <v>67270.740000000005</v>
          </cell>
          <cell r="G697">
            <v>-12864.77</v>
          </cell>
          <cell r="H697">
            <v>113278.88</v>
          </cell>
          <cell r="I697">
            <v>125411.44</v>
          </cell>
          <cell r="J697">
            <v>12132.56</v>
          </cell>
        </row>
        <row r="698">
          <cell r="A698" t="str">
            <v>6232077053</v>
          </cell>
          <cell r="B698">
            <v>62320</v>
          </cell>
          <cell r="C698">
            <v>77053</v>
          </cell>
          <cell r="D698" t="str">
            <v>Landscaping</v>
          </cell>
          <cell r="E698">
            <v>65833.279999999999</v>
          </cell>
          <cell r="F698">
            <v>71936.539999999994</v>
          </cell>
          <cell r="G698">
            <v>-6103.2599999999902</v>
          </cell>
          <cell r="H698">
            <v>116121.65</v>
          </cell>
          <cell r="I698">
            <v>105102.54</v>
          </cell>
          <cell r="J698">
            <v>-11019.11</v>
          </cell>
        </row>
        <row r="699">
          <cell r="A699" t="str">
            <v>6232078020</v>
          </cell>
          <cell r="B699">
            <v>62320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6232084264</v>
          </cell>
          <cell r="B700">
            <v>62320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6232085555</v>
          </cell>
          <cell r="B701">
            <v>62320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6232085584</v>
          </cell>
          <cell r="B702">
            <v>62320</v>
          </cell>
          <cell r="C702">
            <v>85584</v>
          </cell>
          <cell r="D702" t="str">
            <v>Bldg Admin-Office Costs</v>
          </cell>
          <cell r="E702">
            <v>5299.36</v>
          </cell>
          <cell r="F702">
            <v>5484.65</v>
          </cell>
          <cell r="G702">
            <v>-185.29</v>
          </cell>
          <cell r="H702">
            <v>14388</v>
          </cell>
          <cell r="I702">
            <v>7945</v>
          </cell>
          <cell r="J702">
            <v>-6443</v>
          </cell>
        </row>
        <row r="703">
          <cell r="A703" t="str">
            <v>6232085582</v>
          </cell>
          <cell r="B703">
            <v>62320</v>
          </cell>
          <cell r="C703">
            <v>85582</v>
          </cell>
          <cell r="D703" t="str">
            <v>Bldg Admin-Salaries</v>
          </cell>
          <cell r="E703">
            <v>30371.95</v>
          </cell>
          <cell r="F703">
            <v>31598.1</v>
          </cell>
          <cell r="G703">
            <v>-1226.1500000000001</v>
          </cell>
          <cell r="H703">
            <v>88808.2</v>
          </cell>
          <cell r="I703">
            <v>50753</v>
          </cell>
          <cell r="J703">
            <v>-38055.199999999997</v>
          </cell>
        </row>
        <row r="704">
          <cell r="A704" t="str">
            <v>6232086564</v>
          </cell>
          <cell r="B704">
            <v>62320</v>
          </cell>
          <cell r="C704">
            <v>86564</v>
          </cell>
          <cell r="D704" t="str">
            <v>Insurance</v>
          </cell>
          <cell r="E704">
            <v>46576</v>
          </cell>
          <cell r="F704">
            <v>47280</v>
          </cell>
          <cell r="G704">
            <v>-704</v>
          </cell>
          <cell r="H704">
            <v>52229</v>
          </cell>
          <cell r="I704">
            <v>70920</v>
          </cell>
          <cell r="J704">
            <v>18691</v>
          </cell>
        </row>
        <row r="705">
          <cell r="A705" t="str">
            <v>6232088846</v>
          </cell>
          <cell r="B705">
            <v>62320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6232088890</v>
          </cell>
          <cell r="B706">
            <v>62320</v>
          </cell>
          <cell r="C706">
            <v>88890</v>
          </cell>
          <cell r="D706" t="str">
            <v>Security/Safety</v>
          </cell>
          <cell r="E706">
            <v>68433.02</v>
          </cell>
          <cell r="F706">
            <v>64420.75</v>
          </cell>
          <cell r="G706">
            <v>4012.27</v>
          </cell>
          <cell r="H706">
            <v>102381</v>
          </cell>
          <cell r="I706">
            <v>102380.75</v>
          </cell>
          <cell r="J706">
            <v>-0.25</v>
          </cell>
        </row>
        <row r="707">
          <cell r="A707" t="str">
            <v>6232089775</v>
          </cell>
          <cell r="B707">
            <v>62320</v>
          </cell>
          <cell r="C707">
            <v>89775</v>
          </cell>
          <cell r="D707" t="str">
            <v>Assmt Dist Taxes- Reimb</v>
          </cell>
          <cell r="E707">
            <v>23574.639999999999</v>
          </cell>
          <cell r="F707">
            <v>23574.68</v>
          </cell>
          <cell r="G707">
            <v>-4.0000000000873101E-2</v>
          </cell>
          <cell r="H707">
            <v>46253</v>
          </cell>
          <cell r="I707">
            <v>35362.68</v>
          </cell>
          <cell r="J707">
            <v>-10890.32</v>
          </cell>
        </row>
        <row r="708">
          <cell r="A708" t="str">
            <v>6232089729</v>
          </cell>
          <cell r="B708">
            <v>62320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6232089786</v>
          </cell>
          <cell r="B709">
            <v>62320</v>
          </cell>
          <cell r="C709">
            <v>89786</v>
          </cell>
          <cell r="D709" t="str">
            <v>Property Tax Exp</v>
          </cell>
          <cell r="E709">
            <v>99498</v>
          </cell>
          <cell r="F709">
            <v>99499.68</v>
          </cell>
          <cell r="G709">
            <v>-1.67999999999302</v>
          </cell>
          <cell r="H709">
            <v>191951</v>
          </cell>
          <cell r="I709">
            <v>149251.68</v>
          </cell>
          <cell r="J709">
            <v>-42699.32</v>
          </cell>
        </row>
        <row r="710">
          <cell r="A710" t="str">
            <v>6232071040</v>
          </cell>
          <cell r="B710">
            <v>62320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6232072701</v>
          </cell>
          <cell r="B711">
            <v>62320</v>
          </cell>
          <cell r="C711">
            <v>72701</v>
          </cell>
          <cell r="D711" t="str">
            <v>Utilities</v>
          </cell>
          <cell r="E711">
            <v>-450</v>
          </cell>
          <cell r="F711">
            <v>-450</v>
          </cell>
          <cell r="G711">
            <v>0</v>
          </cell>
          <cell r="H711">
            <v>424.36</v>
          </cell>
          <cell r="I711">
            <v>-25.64</v>
          </cell>
          <cell r="J711">
            <v>-450</v>
          </cell>
        </row>
        <row r="712">
          <cell r="A712" t="str">
            <v>6232072855</v>
          </cell>
          <cell r="B712">
            <v>62320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6232072870</v>
          </cell>
          <cell r="B713">
            <v>62320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6232076010</v>
          </cell>
          <cell r="B714">
            <v>62320</v>
          </cell>
          <cell r="C714">
            <v>76010</v>
          </cell>
          <cell r="D714" t="str">
            <v>Tenant Alterations</v>
          </cell>
          <cell r="E714">
            <v>684.09</v>
          </cell>
          <cell r="F714">
            <v>485</v>
          </cell>
          <cell r="G714">
            <v>199.09</v>
          </cell>
          <cell r="H714">
            <v>0</v>
          </cell>
          <cell r="I714">
            <v>485</v>
          </cell>
          <cell r="J714">
            <v>485</v>
          </cell>
        </row>
        <row r="715">
          <cell r="A715" t="str">
            <v>6232076040</v>
          </cell>
          <cell r="B715">
            <v>62320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6232076051</v>
          </cell>
          <cell r="B716">
            <v>62320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6232076054</v>
          </cell>
          <cell r="B717">
            <v>62320</v>
          </cell>
          <cell r="C717">
            <v>76054</v>
          </cell>
          <cell r="D717" t="str">
            <v>Bldg Maintenance &amp; Repair</v>
          </cell>
          <cell r="E717">
            <v>7879.95</v>
          </cell>
          <cell r="F717">
            <v>5057.83</v>
          </cell>
          <cell r="G717">
            <v>2822.12</v>
          </cell>
          <cell r="H717">
            <v>777.79</v>
          </cell>
          <cell r="I717">
            <v>5057.83</v>
          </cell>
          <cell r="J717">
            <v>4280.04</v>
          </cell>
        </row>
        <row r="718">
          <cell r="A718" t="str">
            <v>6232076060</v>
          </cell>
          <cell r="B718">
            <v>62320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6232076071</v>
          </cell>
          <cell r="B719">
            <v>62320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6232076090</v>
          </cell>
          <cell r="B720">
            <v>62320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6232077001</v>
          </cell>
          <cell r="B721">
            <v>62320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6232077022</v>
          </cell>
          <cell r="B722">
            <v>62320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6232084200</v>
          </cell>
          <cell r="B723">
            <v>62320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6232084240</v>
          </cell>
          <cell r="B724">
            <v>62320</v>
          </cell>
          <cell r="C724">
            <v>84240</v>
          </cell>
          <cell r="D724" t="str">
            <v>Marketing Leasing</v>
          </cell>
          <cell r="E724">
            <v>6870.75</v>
          </cell>
          <cell r="F724">
            <v>13681.27</v>
          </cell>
          <cell r="G724">
            <v>-6810.52</v>
          </cell>
          <cell r="H724">
            <v>33321.699999999997</v>
          </cell>
          <cell r="I724">
            <v>25883.279999999999</v>
          </cell>
          <cell r="J724">
            <v>-7438.42</v>
          </cell>
        </row>
        <row r="725">
          <cell r="A725" t="str">
            <v>6232084242</v>
          </cell>
          <cell r="B725">
            <v>62320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6232084243</v>
          </cell>
          <cell r="B726">
            <v>62320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-27397</v>
          </cell>
          <cell r="I726">
            <v>-27397</v>
          </cell>
          <cell r="J726">
            <v>0</v>
          </cell>
        </row>
        <row r="727">
          <cell r="A727" t="str">
            <v>6232084244</v>
          </cell>
          <cell r="B727">
            <v>62320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6232084265</v>
          </cell>
          <cell r="B728">
            <v>62320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6232088037</v>
          </cell>
          <cell r="B729">
            <v>62320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6232085016</v>
          </cell>
          <cell r="B730">
            <v>62320</v>
          </cell>
          <cell r="C730">
            <v>85016</v>
          </cell>
          <cell r="D730" t="str">
            <v>Prof Svc-Attorney Outside</v>
          </cell>
          <cell r="E730">
            <v>-736</v>
          </cell>
          <cell r="F730">
            <v>1550.47</v>
          </cell>
          <cell r="G730">
            <v>-2286.4699999999998</v>
          </cell>
          <cell r="H730">
            <v>2626.24</v>
          </cell>
          <cell r="I730">
            <v>2626.47</v>
          </cell>
          <cell r="J730">
            <v>0.230000000000018</v>
          </cell>
        </row>
        <row r="731">
          <cell r="A731" t="str">
            <v>6232085022</v>
          </cell>
          <cell r="B731">
            <v>62320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205.33</v>
          </cell>
          <cell r="G731">
            <v>-205.33</v>
          </cell>
          <cell r="H731">
            <v>2572.27</v>
          </cell>
          <cell r="I731">
            <v>2572.27</v>
          </cell>
          <cell r="J731">
            <v>0</v>
          </cell>
        </row>
        <row r="732">
          <cell r="A732" t="str">
            <v>6232085065</v>
          </cell>
          <cell r="B732">
            <v>62320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6232085500</v>
          </cell>
          <cell r="B733">
            <v>62320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7308.89</v>
          </cell>
          <cell r="I733">
            <v>7309</v>
          </cell>
          <cell r="J733">
            <v>0.109999999999673</v>
          </cell>
        </row>
        <row r="734">
          <cell r="A734" t="str">
            <v>6232085566</v>
          </cell>
          <cell r="B734">
            <v>62320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6232085581</v>
          </cell>
          <cell r="B735">
            <v>62320</v>
          </cell>
          <cell r="C735">
            <v>85581</v>
          </cell>
          <cell r="D735" t="str">
            <v>Bldg Admin- Salaries</v>
          </cell>
          <cell r="E735">
            <v>15530.43</v>
          </cell>
          <cell r="F735">
            <v>20569.490000000002</v>
          </cell>
          <cell r="G735">
            <v>-5039.0600000000004</v>
          </cell>
          <cell r="H735">
            <v>67774.7</v>
          </cell>
          <cell r="I735">
            <v>34149</v>
          </cell>
          <cell r="J735">
            <v>-33625.699999999997</v>
          </cell>
        </row>
        <row r="736">
          <cell r="A736" t="str">
            <v>6232085583</v>
          </cell>
          <cell r="B736">
            <v>62320</v>
          </cell>
          <cell r="C736">
            <v>85583</v>
          </cell>
          <cell r="D736" t="str">
            <v>Bldg Admin-Office Exp.</v>
          </cell>
          <cell r="E736">
            <v>2977.46</v>
          </cell>
          <cell r="F736">
            <v>6799.66</v>
          </cell>
          <cell r="G736">
            <v>-3822.2</v>
          </cell>
          <cell r="H736">
            <v>0</v>
          </cell>
          <cell r="I736">
            <v>11825</v>
          </cell>
          <cell r="J736">
            <v>11825</v>
          </cell>
        </row>
        <row r="737">
          <cell r="A737" t="str">
            <v>6232085530</v>
          </cell>
          <cell r="B737">
            <v>62320</v>
          </cell>
          <cell r="C737">
            <v>85530</v>
          </cell>
          <cell r="D737" t="str">
            <v>Bldg Admin - Office Exp</v>
          </cell>
          <cell r="E737">
            <v>2977.46</v>
          </cell>
          <cell r="F737">
            <v>6799.66</v>
          </cell>
          <cell r="G737">
            <v>-3822.2</v>
          </cell>
          <cell r="H737">
            <v>0</v>
          </cell>
          <cell r="I737">
            <v>11825</v>
          </cell>
          <cell r="J737">
            <v>11825</v>
          </cell>
        </row>
        <row r="738">
          <cell r="A738" t="str">
            <v>6232086012</v>
          </cell>
          <cell r="B738">
            <v>62320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6232086037</v>
          </cell>
          <cell r="B739">
            <v>62320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6232083050</v>
          </cell>
          <cell r="B740">
            <v>62320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6232086510</v>
          </cell>
          <cell r="B741">
            <v>62320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6232086537</v>
          </cell>
          <cell r="B742">
            <v>62320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6232086566</v>
          </cell>
          <cell r="B743">
            <v>62320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6232086955</v>
          </cell>
          <cell r="B744">
            <v>62320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6232086985</v>
          </cell>
          <cell r="B745">
            <v>62320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6232086880</v>
          </cell>
          <cell r="B746">
            <v>62320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6232088710</v>
          </cell>
          <cell r="B747">
            <v>62320</v>
          </cell>
          <cell r="C747">
            <v>88710</v>
          </cell>
          <cell r="D747" t="str">
            <v>Losses-Bad Debts</v>
          </cell>
          <cell r="E747">
            <v>83784.429999999993</v>
          </cell>
          <cell r="F747">
            <v>50313.66</v>
          </cell>
          <cell r="G747">
            <v>33470.769999999997</v>
          </cell>
          <cell r="H747">
            <v>74280</v>
          </cell>
          <cell r="I747">
            <v>87453.66</v>
          </cell>
          <cell r="J747">
            <v>13173.66</v>
          </cell>
        </row>
        <row r="748">
          <cell r="A748" t="str">
            <v>6232088711</v>
          </cell>
          <cell r="B748">
            <v>62320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6232088785</v>
          </cell>
          <cell r="B749">
            <v>62320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6232088847</v>
          </cell>
          <cell r="B750">
            <v>62320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6232088866</v>
          </cell>
          <cell r="B751">
            <v>62320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6232088870</v>
          </cell>
          <cell r="B752">
            <v>62320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6232088889</v>
          </cell>
          <cell r="B753">
            <v>62320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6232089776</v>
          </cell>
          <cell r="B754">
            <v>62320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6232089787</v>
          </cell>
          <cell r="B755">
            <v>62320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6232089510</v>
          </cell>
          <cell r="B756">
            <v>62320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6232089511</v>
          </cell>
          <cell r="B757">
            <v>62320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6232089512</v>
          </cell>
          <cell r="B758">
            <v>62320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6232089528</v>
          </cell>
          <cell r="B759">
            <v>62320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6232089529</v>
          </cell>
          <cell r="B760">
            <v>62320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6232089567</v>
          </cell>
          <cell r="B761">
            <v>62320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6232085058</v>
          </cell>
          <cell r="B762">
            <v>62320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6232086513</v>
          </cell>
          <cell r="B763">
            <v>62320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1318.4</v>
          </cell>
          <cell r="G763">
            <v>-1318.4</v>
          </cell>
          <cell r="H763">
            <v>15893.1</v>
          </cell>
          <cell r="I763">
            <v>2794.3</v>
          </cell>
          <cell r="J763">
            <v>-13098.8</v>
          </cell>
        </row>
        <row r="764">
          <cell r="A764" t="str">
            <v>6232086519</v>
          </cell>
          <cell r="B764">
            <v>62320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6232088770</v>
          </cell>
          <cell r="B765">
            <v>62320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6232088862</v>
          </cell>
          <cell r="B766">
            <v>62320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6232088874</v>
          </cell>
          <cell r="B767">
            <v>62320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6232089910</v>
          </cell>
          <cell r="B768">
            <v>62320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620139</v>
          </cell>
          <cell r="G768">
            <v>-620139</v>
          </cell>
          <cell r="H768">
            <v>969670.88</v>
          </cell>
          <cell r="I768">
            <v>940839.07</v>
          </cell>
          <cell r="J768">
            <v>-28831.8100000001</v>
          </cell>
        </row>
        <row r="769">
          <cell r="A769" t="str">
            <v>6232089548</v>
          </cell>
          <cell r="B769">
            <v>62320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6252641010</v>
          </cell>
          <cell r="B770">
            <v>62526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6252641040</v>
          </cell>
          <cell r="B771">
            <v>62526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6252641050</v>
          </cell>
          <cell r="B772">
            <v>62526</v>
          </cell>
          <cell r="C772">
            <v>41050</v>
          </cell>
          <cell r="D772" t="str">
            <v>Rental Income - Fixed</v>
          </cell>
          <cell r="E772">
            <v>-1193050.8799999999</v>
          </cell>
          <cell r="F772">
            <v>-1180325.47</v>
          </cell>
          <cell r="G772">
            <v>-12725.4099999999</v>
          </cell>
          <cell r="H772">
            <v>-1789624.49</v>
          </cell>
          <cell r="I772">
            <v>-1820794.19</v>
          </cell>
          <cell r="J772">
            <v>-31169.7</v>
          </cell>
        </row>
        <row r="773">
          <cell r="A773" t="str">
            <v>6252641074</v>
          </cell>
          <cell r="B773">
            <v>62526</v>
          </cell>
          <cell r="C773">
            <v>41074</v>
          </cell>
          <cell r="D773" t="str">
            <v>Rental Income - Percentage</v>
          </cell>
          <cell r="E773">
            <v>-1755.74</v>
          </cell>
          <cell r="F773">
            <v>-14810</v>
          </cell>
          <cell r="G773">
            <v>13054.26</v>
          </cell>
          <cell r="H773">
            <v>0</v>
          </cell>
          <cell r="I773">
            <v>-14810</v>
          </cell>
          <cell r="J773">
            <v>-14810</v>
          </cell>
        </row>
        <row r="774">
          <cell r="A774" t="str">
            <v>6252641082</v>
          </cell>
          <cell r="B774">
            <v>62526</v>
          </cell>
          <cell r="C774">
            <v>41082</v>
          </cell>
          <cell r="D774" t="str">
            <v>Rental Income - Operating Exp</v>
          </cell>
          <cell r="E774">
            <v>-440785.96</v>
          </cell>
          <cell r="F774">
            <v>-434112.52</v>
          </cell>
          <cell r="G774">
            <v>-6673.44</v>
          </cell>
          <cell r="H774">
            <v>-664168.19999999995</v>
          </cell>
          <cell r="I774">
            <v>-679284.96</v>
          </cell>
          <cell r="J774">
            <v>-15116.76</v>
          </cell>
        </row>
        <row r="775">
          <cell r="A775" t="str">
            <v>6252644610</v>
          </cell>
          <cell r="B775">
            <v>62526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6252645071</v>
          </cell>
          <cell r="B776">
            <v>62526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6252645010</v>
          </cell>
          <cell r="B777">
            <v>62526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6252645046</v>
          </cell>
          <cell r="B778">
            <v>62526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6252645070</v>
          </cell>
          <cell r="B779">
            <v>62526</v>
          </cell>
          <cell r="C779">
            <v>45070</v>
          </cell>
          <cell r="D779" t="str">
            <v>Other Income</v>
          </cell>
          <cell r="E779">
            <v>-1322.13</v>
          </cell>
          <cell r="F779">
            <v>-18830.13</v>
          </cell>
          <cell r="G779">
            <v>17508</v>
          </cell>
          <cell r="H779">
            <v>-61.8</v>
          </cell>
          <cell r="I779">
            <v>-18891.93</v>
          </cell>
          <cell r="J779">
            <v>-18830.13</v>
          </cell>
        </row>
        <row r="780">
          <cell r="A780" t="str">
            <v>6252641060</v>
          </cell>
          <cell r="B780">
            <v>62526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6133.34</v>
          </cell>
          <cell r="G780">
            <v>-6133.34</v>
          </cell>
          <cell r="H780">
            <v>36800</v>
          </cell>
          <cell r="I780">
            <v>18399.98</v>
          </cell>
          <cell r="J780">
            <v>-18400.02</v>
          </cell>
        </row>
        <row r="781">
          <cell r="A781" t="str">
            <v>6252644870</v>
          </cell>
          <cell r="B781">
            <v>62526</v>
          </cell>
          <cell r="C781">
            <v>44870</v>
          </cell>
          <cell r="D781" t="str">
            <v>Late Fees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6252652542</v>
          </cell>
          <cell r="B782">
            <v>62526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6252672710</v>
          </cell>
          <cell r="B783">
            <v>62526</v>
          </cell>
          <cell r="C783">
            <v>72710</v>
          </cell>
          <cell r="D783" t="str">
            <v>Utilities - Electricity</v>
          </cell>
          <cell r="E783">
            <v>20714.849999999999</v>
          </cell>
          <cell r="F783">
            <v>24381.119999999999</v>
          </cell>
          <cell r="G783">
            <v>-3666.27</v>
          </cell>
          <cell r="H783">
            <v>36075.870000000003</v>
          </cell>
          <cell r="I783">
            <v>36076.44</v>
          </cell>
          <cell r="J783">
            <v>0.56999999999970896</v>
          </cell>
        </row>
        <row r="784">
          <cell r="A784" t="str">
            <v>6252672740</v>
          </cell>
          <cell r="B784">
            <v>62526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6252672770</v>
          </cell>
          <cell r="B785">
            <v>62526</v>
          </cell>
          <cell r="C785">
            <v>72770</v>
          </cell>
          <cell r="D785" t="str">
            <v>Utilities - Water</v>
          </cell>
          <cell r="E785">
            <v>8963.8700000000008</v>
          </cell>
          <cell r="F785">
            <v>9396.7999999999993</v>
          </cell>
          <cell r="G785">
            <v>-432.92999999999802</v>
          </cell>
          <cell r="H785">
            <v>9892.92</v>
          </cell>
          <cell r="I785">
            <v>11530.88</v>
          </cell>
          <cell r="J785">
            <v>1637.96</v>
          </cell>
        </row>
        <row r="786">
          <cell r="A786" t="str">
            <v>6252676000</v>
          </cell>
          <cell r="B786">
            <v>62526</v>
          </cell>
          <cell r="C786">
            <v>76000</v>
          </cell>
          <cell r="D786" t="str">
            <v>Bldg Maintenance &amp; Repair</v>
          </cell>
          <cell r="E786">
            <v>45384.65</v>
          </cell>
          <cell r="F786">
            <v>30925.34</v>
          </cell>
          <cell r="G786">
            <v>14459.31</v>
          </cell>
          <cell r="H786">
            <v>47192.08</v>
          </cell>
          <cell r="I786">
            <v>59065.94</v>
          </cell>
          <cell r="J786">
            <v>11873.86</v>
          </cell>
        </row>
        <row r="787">
          <cell r="A787" t="str">
            <v>6252676020</v>
          </cell>
          <cell r="B787">
            <v>62526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6252676034</v>
          </cell>
          <cell r="B788">
            <v>62526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6252676050</v>
          </cell>
          <cell r="B789">
            <v>62526</v>
          </cell>
          <cell r="C789">
            <v>76050</v>
          </cell>
          <cell r="D789" t="str">
            <v>Cleaning Expense</v>
          </cell>
          <cell r="E789">
            <v>52117.36</v>
          </cell>
          <cell r="F789">
            <v>52358.1</v>
          </cell>
          <cell r="G789">
            <v>-240.73999999999799</v>
          </cell>
          <cell r="H789">
            <v>73798.12</v>
          </cell>
          <cell r="I789">
            <v>79950.100000000006</v>
          </cell>
          <cell r="J789">
            <v>6151.9800000000096</v>
          </cell>
        </row>
        <row r="790">
          <cell r="A790" t="str">
            <v>6252676056</v>
          </cell>
          <cell r="B790">
            <v>62526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6252676070</v>
          </cell>
          <cell r="B791">
            <v>62526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6252676091</v>
          </cell>
          <cell r="B792">
            <v>62526</v>
          </cell>
          <cell r="C792">
            <v>76091</v>
          </cell>
          <cell r="D792" t="str">
            <v>Parking Maintenance</v>
          </cell>
          <cell r="E792">
            <v>37025.83</v>
          </cell>
          <cell r="F792">
            <v>35074.980000000003</v>
          </cell>
          <cell r="G792">
            <v>1950.85</v>
          </cell>
          <cell r="H792">
            <v>90407.29</v>
          </cell>
          <cell r="I792">
            <v>81131.5</v>
          </cell>
          <cell r="J792">
            <v>-9275.78999999999</v>
          </cell>
        </row>
        <row r="793">
          <cell r="A793" t="str">
            <v>6252677000</v>
          </cell>
          <cell r="B793">
            <v>62526</v>
          </cell>
          <cell r="C793">
            <v>77000</v>
          </cell>
          <cell r="D793" t="str">
            <v>Grounds Maintenance</v>
          </cell>
          <cell r="E793">
            <v>37488.49</v>
          </cell>
          <cell r="F793">
            <v>31695.7</v>
          </cell>
          <cell r="G793">
            <v>5792.79</v>
          </cell>
          <cell r="H793">
            <v>47531.49</v>
          </cell>
          <cell r="I793">
            <v>46574.16</v>
          </cell>
          <cell r="J793">
            <v>-957.32999999999402</v>
          </cell>
        </row>
        <row r="794">
          <cell r="A794" t="str">
            <v>6252677053</v>
          </cell>
          <cell r="B794">
            <v>62526</v>
          </cell>
          <cell r="C794">
            <v>77053</v>
          </cell>
          <cell r="D794" t="str">
            <v>Landscaping</v>
          </cell>
          <cell r="E794">
            <v>32562.45</v>
          </cell>
          <cell r="F794">
            <v>57508.59</v>
          </cell>
          <cell r="G794">
            <v>-24946.14</v>
          </cell>
          <cell r="H794">
            <v>100977.44</v>
          </cell>
          <cell r="I794">
            <v>100977.55</v>
          </cell>
          <cell r="J794">
            <v>0.11000000000058199</v>
          </cell>
        </row>
        <row r="795">
          <cell r="A795" t="str">
            <v>6252678020</v>
          </cell>
          <cell r="B795">
            <v>62526</v>
          </cell>
          <cell r="C795">
            <v>78020</v>
          </cell>
          <cell r="D795" t="str">
            <v>Amortized CAM Exp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6252684264</v>
          </cell>
          <cell r="B796">
            <v>62526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6252685555</v>
          </cell>
          <cell r="B797">
            <v>62526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6252685584</v>
          </cell>
          <cell r="B798">
            <v>62526</v>
          </cell>
          <cell r="C798">
            <v>85584</v>
          </cell>
          <cell r="D798" t="str">
            <v>Bldg Admin-Office Costs</v>
          </cell>
          <cell r="E798">
            <v>2968.79</v>
          </cell>
          <cell r="F798">
            <v>2828.89</v>
          </cell>
          <cell r="G798">
            <v>139.9</v>
          </cell>
          <cell r="H798">
            <v>5597</v>
          </cell>
          <cell r="I798">
            <v>3835</v>
          </cell>
          <cell r="J798">
            <v>-1762</v>
          </cell>
        </row>
        <row r="799">
          <cell r="A799" t="str">
            <v>6252685582</v>
          </cell>
          <cell r="B799">
            <v>62526</v>
          </cell>
          <cell r="C799">
            <v>85582</v>
          </cell>
          <cell r="D799" t="str">
            <v>Bldg Admin-Salaries</v>
          </cell>
          <cell r="E799">
            <v>14667.22</v>
          </cell>
          <cell r="F799">
            <v>15256.31</v>
          </cell>
          <cell r="G799">
            <v>-589.09</v>
          </cell>
          <cell r="H799">
            <v>34548</v>
          </cell>
          <cell r="I799">
            <v>24500</v>
          </cell>
          <cell r="J799">
            <v>-10048</v>
          </cell>
        </row>
        <row r="800">
          <cell r="A800" t="str">
            <v>6252686564</v>
          </cell>
          <cell r="B800">
            <v>62526</v>
          </cell>
          <cell r="C800">
            <v>86564</v>
          </cell>
          <cell r="D800" t="str">
            <v>Insurance</v>
          </cell>
          <cell r="E800">
            <v>19944</v>
          </cell>
          <cell r="F800">
            <v>18056</v>
          </cell>
          <cell r="G800">
            <v>1888</v>
          </cell>
          <cell r="H800">
            <v>20152</v>
          </cell>
          <cell r="I800">
            <v>27084</v>
          </cell>
          <cell r="J800">
            <v>6932</v>
          </cell>
        </row>
        <row r="801">
          <cell r="A801" t="str">
            <v>6252688846</v>
          </cell>
          <cell r="B801">
            <v>62526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6252688890</v>
          </cell>
          <cell r="B802">
            <v>62526</v>
          </cell>
          <cell r="C802">
            <v>88890</v>
          </cell>
          <cell r="D802" t="str">
            <v>Security/Safety</v>
          </cell>
          <cell r="E802">
            <v>2052.75</v>
          </cell>
          <cell r="F802">
            <v>6912</v>
          </cell>
          <cell r="G802">
            <v>-4859.25</v>
          </cell>
          <cell r="H802">
            <v>10000</v>
          </cell>
          <cell r="I802">
            <v>10000</v>
          </cell>
          <cell r="J802">
            <v>0</v>
          </cell>
        </row>
        <row r="803">
          <cell r="A803" t="str">
            <v>6252689775</v>
          </cell>
          <cell r="B803">
            <v>62526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6252689729</v>
          </cell>
          <cell r="B804">
            <v>62526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6252689786</v>
          </cell>
          <cell r="B805">
            <v>62526</v>
          </cell>
          <cell r="C805">
            <v>89786</v>
          </cell>
          <cell r="D805" t="str">
            <v>Property Tax Exp</v>
          </cell>
          <cell r="E805">
            <v>87128.639999999999</v>
          </cell>
          <cell r="F805">
            <v>87128.320000000007</v>
          </cell>
          <cell r="G805">
            <v>0.319999999992433</v>
          </cell>
          <cell r="H805">
            <v>121639</v>
          </cell>
          <cell r="I805">
            <v>130692.32</v>
          </cell>
          <cell r="J805">
            <v>9053.3200000000106</v>
          </cell>
        </row>
        <row r="806">
          <cell r="A806" t="str">
            <v>6252671040</v>
          </cell>
          <cell r="B806">
            <v>62526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6252672701</v>
          </cell>
          <cell r="B807">
            <v>62526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6252672855</v>
          </cell>
          <cell r="B808">
            <v>62526</v>
          </cell>
          <cell r="C808">
            <v>72855</v>
          </cell>
          <cell r="D808" t="str">
            <v>Rent Expense-Ground</v>
          </cell>
          <cell r="E808">
            <v>233333.36</v>
          </cell>
          <cell r="F808">
            <v>233333.36</v>
          </cell>
          <cell r="G808">
            <v>0</v>
          </cell>
          <cell r="H808">
            <v>350000</v>
          </cell>
          <cell r="I808">
            <v>350000</v>
          </cell>
          <cell r="J808">
            <v>0</v>
          </cell>
        </row>
        <row r="809">
          <cell r="A809" t="str">
            <v>6252672870</v>
          </cell>
          <cell r="B809">
            <v>62526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6252676010</v>
          </cell>
          <cell r="B810">
            <v>62526</v>
          </cell>
          <cell r="C810">
            <v>76010</v>
          </cell>
          <cell r="D810" t="str">
            <v>Tenant Alterations</v>
          </cell>
          <cell r="E810">
            <v>989.25</v>
          </cell>
          <cell r="F810">
            <v>40.64</v>
          </cell>
          <cell r="G810">
            <v>948.61</v>
          </cell>
          <cell r="H810">
            <v>0</v>
          </cell>
          <cell r="I810">
            <v>40.64</v>
          </cell>
          <cell r="J810">
            <v>40.64</v>
          </cell>
        </row>
        <row r="811">
          <cell r="A811" t="str">
            <v>6252676040</v>
          </cell>
          <cell r="B811">
            <v>62526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6252676051</v>
          </cell>
          <cell r="B812">
            <v>62526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6252676054</v>
          </cell>
          <cell r="B813">
            <v>62526</v>
          </cell>
          <cell r="C813">
            <v>76054</v>
          </cell>
          <cell r="D813" t="str">
            <v>Bldg Maintenance &amp; Repair</v>
          </cell>
          <cell r="E813">
            <v>4108.1099999999997</v>
          </cell>
          <cell r="F813">
            <v>897</v>
          </cell>
          <cell r="G813">
            <v>3211.11</v>
          </cell>
          <cell r="H813">
            <v>541.86</v>
          </cell>
          <cell r="I813">
            <v>897</v>
          </cell>
          <cell r="J813">
            <v>355.14</v>
          </cell>
        </row>
        <row r="814">
          <cell r="A814" t="str">
            <v>6252676060</v>
          </cell>
          <cell r="B814">
            <v>62526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6252676071</v>
          </cell>
          <cell r="B815">
            <v>62526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6252676090</v>
          </cell>
          <cell r="B816">
            <v>62526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6252677001</v>
          </cell>
          <cell r="B817">
            <v>62526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6252677022</v>
          </cell>
          <cell r="B818">
            <v>62526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6252684200</v>
          </cell>
          <cell r="B819">
            <v>62526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6252684240</v>
          </cell>
          <cell r="B820">
            <v>62526</v>
          </cell>
          <cell r="C820">
            <v>84240</v>
          </cell>
          <cell r="D820" t="str">
            <v>Marketing Leasing</v>
          </cell>
          <cell r="E820">
            <v>3274.66</v>
          </cell>
          <cell r="F820">
            <v>6645.49</v>
          </cell>
          <cell r="G820">
            <v>-3370.83</v>
          </cell>
          <cell r="H820">
            <v>16280.3</v>
          </cell>
          <cell r="I820">
            <v>12619.98</v>
          </cell>
          <cell r="J820">
            <v>-3660.32</v>
          </cell>
        </row>
        <row r="821">
          <cell r="A821" t="str">
            <v>6252684242</v>
          </cell>
          <cell r="B821">
            <v>62526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6252684243</v>
          </cell>
          <cell r="B822">
            <v>62526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-12897</v>
          </cell>
          <cell r="I822">
            <v>-12897</v>
          </cell>
          <cell r="J822">
            <v>0</v>
          </cell>
        </row>
        <row r="823">
          <cell r="A823" t="str">
            <v>6252684244</v>
          </cell>
          <cell r="B823">
            <v>62526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6252684265</v>
          </cell>
          <cell r="B824">
            <v>62526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6252688037</v>
          </cell>
          <cell r="B825">
            <v>62526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6252685016</v>
          </cell>
          <cell r="B826">
            <v>62526</v>
          </cell>
          <cell r="C826">
            <v>85016</v>
          </cell>
          <cell r="D826" t="str">
            <v>Prof Svc-Attorney Outside</v>
          </cell>
          <cell r="E826">
            <v>368.5</v>
          </cell>
          <cell r="F826">
            <v>368.5</v>
          </cell>
          <cell r="G826">
            <v>0</v>
          </cell>
          <cell r="H826">
            <v>515</v>
          </cell>
          <cell r="I826">
            <v>883.5</v>
          </cell>
          <cell r="J826">
            <v>368.5</v>
          </cell>
        </row>
        <row r="827">
          <cell r="A827" t="str">
            <v>6252685022</v>
          </cell>
          <cell r="B827">
            <v>62526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205.33</v>
          </cell>
          <cell r="G827">
            <v>-205.33</v>
          </cell>
          <cell r="H827">
            <v>1943.97</v>
          </cell>
          <cell r="I827">
            <v>1943.97</v>
          </cell>
          <cell r="J827">
            <v>0</v>
          </cell>
        </row>
        <row r="828">
          <cell r="A828" t="str">
            <v>6252685065</v>
          </cell>
          <cell r="B828">
            <v>62526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6252685500</v>
          </cell>
          <cell r="B829">
            <v>62526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6252685566</v>
          </cell>
          <cell r="B830">
            <v>62526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6252685581</v>
          </cell>
          <cell r="B831">
            <v>62526</v>
          </cell>
          <cell r="C831">
            <v>85581</v>
          </cell>
          <cell r="D831" t="str">
            <v>Bldg Admin- Salaries</v>
          </cell>
          <cell r="E831">
            <v>7548.41</v>
          </cell>
          <cell r="F831">
            <v>9941.1200000000008</v>
          </cell>
          <cell r="G831">
            <v>-2392.71</v>
          </cell>
          <cell r="H831">
            <v>34638.199999999997</v>
          </cell>
          <cell r="I831">
            <v>16484</v>
          </cell>
          <cell r="J831">
            <v>-18154.2</v>
          </cell>
        </row>
        <row r="832">
          <cell r="A832" t="str">
            <v>6252685583</v>
          </cell>
          <cell r="B832">
            <v>62526</v>
          </cell>
          <cell r="C832">
            <v>85583</v>
          </cell>
          <cell r="D832" t="str">
            <v>Bldg Admin-Office Exp.</v>
          </cell>
          <cell r="E832">
            <v>1449.92</v>
          </cell>
          <cell r="F832">
            <v>3288.57</v>
          </cell>
          <cell r="G832">
            <v>-1838.65</v>
          </cell>
          <cell r="H832">
            <v>0</v>
          </cell>
          <cell r="I832">
            <v>5708</v>
          </cell>
          <cell r="J832">
            <v>5708</v>
          </cell>
        </row>
        <row r="833">
          <cell r="A833" t="str">
            <v>6252685530</v>
          </cell>
          <cell r="B833">
            <v>62526</v>
          </cell>
          <cell r="C833">
            <v>85530</v>
          </cell>
          <cell r="D833" t="str">
            <v>Bldg Admin - Office Exp</v>
          </cell>
          <cell r="E833">
            <v>1449.92</v>
          </cell>
          <cell r="F833">
            <v>3288.57</v>
          </cell>
          <cell r="G833">
            <v>-1838.65</v>
          </cell>
          <cell r="H833">
            <v>0</v>
          </cell>
          <cell r="I833">
            <v>5708</v>
          </cell>
          <cell r="J833">
            <v>5708</v>
          </cell>
        </row>
        <row r="834">
          <cell r="A834" t="str">
            <v>6252686012</v>
          </cell>
          <cell r="B834">
            <v>62526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6252686037</v>
          </cell>
          <cell r="B835">
            <v>62526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6252683050</v>
          </cell>
          <cell r="B836">
            <v>62526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6252686510</v>
          </cell>
          <cell r="B837">
            <v>62526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6252686537</v>
          </cell>
          <cell r="B838">
            <v>62526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6252686566</v>
          </cell>
          <cell r="B839">
            <v>62526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6252686955</v>
          </cell>
          <cell r="B840">
            <v>62526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6252686985</v>
          </cell>
          <cell r="B841">
            <v>62526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6252686880</v>
          </cell>
          <cell r="B842">
            <v>62526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6252688710</v>
          </cell>
          <cell r="B843">
            <v>62526</v>
          </cell>
          <cell r="C843">
            <v>88710</v>
          </cell>
          <cell r="D843" t="str">
            <v>Losses-Bad Debts</v>
          </cell>
          <cell r="E843">
            <v>-5850.76</v>
          </cell>
          <cell r="F843">
            <v>-42636.89</v>
          </cell>
          <cell r="G843">
            <v>36786.129999999997</v>
          </cell>
          <cell r="H843">
            <v>36800.639999999999</v>
          </cell>
          <cell r="I843">
            <v>-24236.73</v>
          </cell>
          <cell r="J843">
            <v>-61037.37</v>
          </cell>
        </row>
        <row r="844">
          <cell r="A844" t="str">
            <v>6252688711</v>
          </cell>
          <cell r="B844">
            <v>62526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6252688785</v>
          </cell>
          <cell r="B845">
            <v>62526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6252688847</v>
          </cell>
          <cell r="B846">
            <v>62526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6252688866</v>
          </cell>
          <cell r="B847">
            <v>62526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6252688870</v>
          </cell>
          <cell r="B848">
            <v>62526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6252688889</v>
          </cell>
          <cell r="B849">
            <v>62526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6252689776</v>
          </cell>
          <cell r="B850">
            <v>62526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6252689787</v>
          </cell>
          <cell r="B851">
            <v>62526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6252689510</v>
          </cell>
          <cell r="B852">
            <v>62526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6252689511</v>
          </cell>
          <cell r="B853">
            <v>62526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6252689512</v>
          </cell>
          <cell r="B854">
            <v>62526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6252689528</v>
          </cell>
          <cell r="B855">
            <v>62526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6252689529</v>
          </cell>
          <cell r="B856">
            <v>62526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6252689567</v>
          </cell>
          <cell r="B857">
            <v>62526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6252685058</v>
          </cell>
          <cell r="B858">
            <v>62526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6252686513</v>
          </cell>
          <cell r="B859">
            <v>62526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0</v>
          </cell>
          <cell r="G859">
            <v>0</v>
          </cell>
          <cell r="H859">
            <v>5245.62</v>
          </cell>
          <cell r="I859">
            <v>0</v>
          </cell>
          <cell r="J859">
            <v>-5245.62</v>
          </cell>
        </row>
        <row r="860">
          <cell r="A860" t="str">
            <v>6252686519</v>
          </cell>
          <cell r="B860">
            <v>62526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6252688770</v>
          </cell>
          <cell r="B861">
            <v>62526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6252688862</v>
          </cell>
          <cell r="B862">
            <v>62526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6252688874</v>
          </cell>
          <cell r="B863">
            <v>62526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6252689910</v>
          </cell>
          <cell r="B864">
            <v>62526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183399.11</v>
          </cell>
          <cell r="G864">
            <v>-183399.11</v>
          </cell>
          <cell r="H864">
            <v>274706.71000000002</v>
          </cell>
          <cell r="I864">
            <v>285037</v>
          </cell>
          <cell r="J864">
            <v>10330.290000000001</v>
          </cell>
        </row>
        <row r="865">
          <cell r="A865" t="str">
            <v>6252689548</v>
          </cell>
          <cell r="B865">
            <v>62526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</sheetData>
      <sheetData sheetId="29" refreshError="1">
        <row r="2">
          <cell r="A2" t="str">
            <v>6213541010</v>
          </cell>
          <cell r="B2">
            <v>62135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6213541040</v>
          </cell>
          <cell r="B3">
            <v>62135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6213541050</v>
          </cell>
          <cell r="B4">
            <v>62135</v>
          </cell>
          <cell r="C4">
            <v>41050</v>
          </cell>
          <cell r="D4" t="str">
            <v>Rental Income - Fixed</v>
          </cell>
          <cell r="E4">
            <v>-1082620.67</v>
          </cell>
          <cell r="F4">
            <v>-965278.88</v>
          </cell>
          <cell r="G4">
            <v>-117341.79</v>
          </cell>
          <cell r="H4">
            <v>-1619614.13</v>
          </cell>
          <cell r="I4">
            <v>-1471877.76</v>
          </cell>
          <cell r="J4">
            <v>147736.37</v>
          </cell>
        </row>
        <row r="5">
          <cell r="A5" t="str">
            <v>6213541074</v>
          </cell>
          <cell r="B5">
            <v>62135</v>
          </cell>
          <cell r="C5">
            <v>41074</v>
          </cell>
          <cell r="D5" t="str">
            <v>Rental Income - Percentage</v>
          </cell>
          <cell r="E5">
            <v>-5495.09</v>
          </cell>
          <cell r="F5">
            <v>-2323.19</v>
          </cell>
          <cell r="G5">
            <v>-3171.9</v>
          </cell>
          <cell r="H5">
            <v>-3528</v>
          </cell>
          <cell r="I5">
            <v>-2321.0700000000002</v>
          </cell>
          <cell r="J5">
            <v>1206.93</v>
          </cell>
        </row>
        <row r="6">
          <cell r="A6" t="str">
            <v>6213541082</v>
          </cell>
          <cell r="B6">
            <v>62135</v>
          </cell>
          <cell r="C6">
            <v>41082</v>
          </cell>
          <cell r="D6" t="str">
            <v>Rental Income - Operating Exp</v>
          </cell>
          <cell r="E6">
            <v>-340282.96</v>
          </cell>
          <cell r="F6">
            <v>-297278.53000000003</v>
          </cell>
          <cell r="G6">
            <v>-43004.43</v>
          </cell>
          <cell r="H6">
            <v>-504080.72</v>
          </cell>
          <cell r="I6">
            <v>-481708.73</v>
          </cell>
          <cell r="J6">
            <v>22371.99</v>
          </cell>
        </row>
        <row r="7">
          <cell r="A7" t="str">
            <v>6213544610</v>
          </cell>
          <cell r="B7">
            <v>62135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6213545071</v>
          </cell>
          <cell r="B8">
            <v>62135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-6800</v>
          </cell>
          <cell r="I8">
            <v>0</v>
          </cell>
          <cell r="J8">
            <v>6800</v>
          </cell>
        </row>
        <row r="9">
          <cell r="A9" t="str">
            <v>6213545010</v>
          </cell>
          <cell r="B9">
            <v>62135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6213545046</v>
          </cell>
          <cell r="B10">
            <v>62135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6213545070</v>
          </cell>
          <cell r="B11">
            <v>62135</v>
          </cell>
          <cell r="C11">
            <v>45070</v>
          </cell>
          <cell r="D11" t="str">
            <v>Other Income</v>
          </cell>
          <cell r="E11">
            <v>-6800</v>
          </cell>
          <cell r="F11">
            <v>-539.97</v>
          </cell>
          <cell r="G11">
            <v>-6260.03</v>
          </cell>
          <cell r="H11">
            <v>-12433.01</v>
          </cell>
          <cell r="I11">
            <v>-539.97</v>
          </cell>
          <cell r="J11">
            <v>11893.04</v>
          </cell>
        </row>
        <row r="12">
          <cell r="A12" t="str">
            <v>6213541060</v>
          </cell>
          <cell r="B12">
            <v>62135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0</v>
          </cell>
          <cell r="G12">
            <v>0</v>
          </cell>
          <cell r="H12">
            <v>49657</v>
          </cell>
          <cell r="I12">
            <v>0</v>
          </cell>
          <cell r="J12">
            <v>-49657</v>
          </cell>
        </row>
        <row r="13">
          <cell r="A13" t="str">
            <v>6213544870</v>
          </cell>
          <cell r="B13">
            <v>62135</v>
          </cell>
          <cell r="C13">
            <v>44870</v>
          </cell>
          <cell r="D13" t="str">
            <v>Late Fees</v>
          </cell>
          <cell r="E13">
            <v>-0.87</v>
          </cell>
          <cell r="F13">
            <v>0</v>
          </cell>
          <cell r="G13">
            <v>-0.87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6213552542</v>
          </cell>
          <cell r="B14">
            <v>62135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6213572710</v>
          </cell>
          <cell r="B15">
            <v>62135</v>
          </cell>
          <cell r="C15">
            <v>72710</v>
          </cell>
          <cell r="D15" t="str">
            <v>Utilities - Electricity</v>
          </cell>
          <cell r="E15">
            <v>9686.7999999999993</v>
          </cell>
          <cell r="F15">
            <v>11690.5</v>
          </cell>
          <cell r="G15">
            <v>-2003.7</v>
          </cell>
          <cell r="H15">
            <v>18730.22</v>
          </cell>
          <cell r="I15">
            <v>15977.3</v>
          </cell>
          <cell r="J15">
            <v>-2752.92</v>
          </cell>
        </row>
        <row r="16">
          <cell r="A16" t="str">
            <v>6213572740</v>
          </cell>
          <cell r="B16">
            <v>62135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6213572770</v>
          </cell>
          <cell r="B17">
            <v>62135</v>
          </cell>
          <cell r="C17">
            <v>72770</v>
          </cell>
          <cell r="D17" t="str">
            <v>Utilities - Water</v>
          </cell>
          <cell r="E17">
            <v>6989.02</v>
          </cell>
          <cell r="F17">
            <v>5303.46</v>
          </cell>
          <cell r="G17">
            <v>1685.56</v>
          </cell>
          <cell r="H17">
            <v>9676.26</v>
          </cell>
          <cell r="I17">
            <v>7816.2</v>
          </cell>
          <cell r="J17">
            <v>-1860.06</v>
          </cell>
        </row>
        <row r="18">
          <cell r="A18" t="str">
            <v>6213576000</v>
          </cell>
          <cell r="B18">
            <v>62135</v>
          </cell>
          <cell r="C18">
            <v>76000</v>
          </cell>
          <cell r="D18" t="str">
            <v>Bldg Maintenance &amp; Repair</v>
          </cell>
          <cell r="E18">
            <v>22602.57</v>
          </cell>
          <cell r="F18">
            <v>19898.48</v>
          </cell>
          <cell r="G18">
            <v>2704.09</v>
          </cell>
          <cell r="H18">
            <v>38528.94</v>
          </cell>
          <cell r="I18">
            <v>67854.27</v>
          </cell>
          <cell r="J18">
            <v>29325.33</v>
          </cell>
        </row>
        <row r="19">
          <cell r="A19" t="str">
            <v>6213576020</v>
          </cell>
          <cell r="B19">
            <v>62135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6213576034</v>
          </cell>
          <cell r="B20">
            <v>62135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6213576050</v>
          </cell>
          <cell r="B21">
            <v>62135</v>
          </cell>
          <cell r="C21">
            <v>76050</v>
          </cell>
          <cell r="D21" t="str">
            <v>Cleaning Expense</v>
          </cell>
          <cell r="E21">
            <v>21694.87</v>
          </cell>
          <cell r="F21">
            <v>27072.6</v>
          </cell>
          <cell r="G21">
            <v>-5377.73</v>
          </cell>
          <cell r="H21">
            <v>32807.83</v>
          </cell>
          <cell r="I21">
            <v>37962.94</v>
          </cell>
          <cell r="J21">
            <v>5155.1099999999997</v>
          </cell>
        </row>
        <row r="22">
          <cell r="A22" t="str">
            <v>6213576056</v>
          </cell>
          <cell r="B22">
            <v>62135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6213576070</v>
          </cell>
          <cell r="B23">
            <v>62135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6213576091</v>
          </cell>
          <cell r="B24">
            <v>62135</v>
          </cell>
          <cell r="C24">
            <v>76091</v>
          </cell>
          <cell r="D24" t="str">
            <v>Parking Maintenance</v>
          </cell>
          <cell r="E24">
            <v>20191.29</v>
          </cell>
          <cell r="F24">
            <v>20698.07</v>
          </cell>
          <cell r="G24">
            <v>-506.77999999999901</v>
          </cell>
          <cell r="H24">
            <v>40763.18</v>
          </cell>
          <cell r="I24">
            <v>31323.8</v>
          </cell>
          <cell r="J24">
            <v>-9439.3799999999992</v>
          </cell>
        </row>
        <row r="25">
          <cell r="A25" t="str">
            <v>6213577000</v>
          </cell>
          <cell r="B25">
            <v>62135</v>
          </cell>
          <cell r="C25">
            <v>77000</v>
          </cell>
          <cell r="D25" t="str">
            <v>Grounds Maintenance</v>
          </cell>
          <cell r="E25">
            <v>28227.61</v>
          </cell>
          <cell r="F25">
            <v>15479</v>
          </cell>
          <cell r="G25">
            <v>12748.61</v>
          </cell>
          <cell r="H25">
            <v>56586.5</v>
          </cell>
          <cell r="I25">
            <v>23152.73</v>
          </cell>
          <cell r="J25">
            <v>-33433.769999999997</v>
          </cell>
        </row>
        <row r="26">
          <cell r="A26" t="str">
            <v>6213577053</v>
          </cell>
          <cell r="B26">
            <v>62135</v>
          </cell>
          <cell r="C26">
            <v>77053</v>
          </cell>
          <cell r="D26" t="str">
            <v>Landscaping</v>
          </cell>
          <cell r="E26">
            <v>28421</v>
          </cell>
          <cell r="F26">
            <v>21484.68</v>
          </cell>
          <cell r="G26">
            <v>6936.32</v>
          </cell>
          <cell r="H26">
            <v>39537.03</v>
          </cell>
          <cell r="I26">
            <v>28253.68</v>
          </cell>
          <cell r="J26">
            <v>-11283.35</v>
          </cell>
        </row>
        <row r="27">
          <cell r="A27" t="str">
            <v>6213578020</v>
          </cell>
          <cell r="B27">
            <v>62135</v>
          </cell>
          <cell r="C27">
            <v>78020</v>
          </cell>
          <cell r="D27" t="str">
            <v>Amortized CAM Exp</v>
          </cell>
          <cell r="E27">
            <v>37832.269999999997</v>
          </cell>
          <cell r="F27">
            <v>38375.040000000001</v>
          </cell>
          <cell r="G27">
            <v>-542.77000000000396</v>
          </cell>
          <cell r="H27">
            <v>63491</v>
          </cell>
          <cell r="I27">
            <v>57562.52</v>
          </cell>
          <cell r="J27">
            <v>-5928.48</v>
          </cell>
        </row>
        <row r="28">
          <cell r="A28" t="str">
            <v>6213584264</v>
          </cell>
          <cell r="B28">
            <v>62135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6213585555</v>
          </cell>
          <cell r="B29">
            <v>62135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6213585584</v>
          </cell>
          <cell r="B30">
            <v>62135</v>
          </cell>
          <cell r="C30">
            <v>85584</v>
          </cell>
          <cell r="D30" t="str">
            <v>Bldg Admin-Office Costs</v>
          </cell>
          <cell r="E30">
            <v>3501.83</v>
          </cell>
          <cell r="F30">
            <v>7553</v>
          </cell>
          <cell r="G30">
            <v>-4051.17</v>
          </cell>
          <cell r="H30">
            <v>5408</v>
          </cell>
          <cell r="I30">
            <v>11334.95</v>
          </cell>
          <cell r="J30">
            <v>5926.95</v>
          </cell>
        </row>
        <row r="31">
          <cell r="A31" t="str">
            <v>6213585582</v>
          </cell>
          <cell r="B31">
            <v>62135</v>
          </cell>
          <cell r="C31">
            <v>85582</v>
          </cell>
          <cell r="D31" t="str">
            <v>Bldg Admin-Salaries</v>
          </cell>
          <cell r="E31">
            <v>20671.86</v>
          </cell>
          <cell r="F31">
            <v>29480.33</v>
          </cell>
          <cell r="G31">
            <v>-8808.4699999999993</v>
          </cell>
          <cell r="H31">
            <v>34546</v>
          </cell>
          <cell r="I31">
            <v>46164.63</v>
          </cell>
          <cell r="J31">
            <v>11618.63</v>
          </cell>
        </row>
        <row r="32">
          <cell r="A32" t="str">
            <v>6213586564</v>
          </cell>
          <cell r="B32">
            <v>62135</v>
          </cell>
          <cell r="C32">
            <v>86564</v>
          </cell>
          <cell r="D32" t="str">
            <v>Insurance</v>
          </cell>
          <cell r="E32">
            <v>18080</v>
          </cell>
          <cell r="F32">
            <v>18072</v>
          </cell>
          <cell r="G32">
            <v>8</v>
          </cell>
          <cell r="H32">
            <v>29760</v>
          </cell>
          <cell r="I32">
            <v>27108</v>
          </cell>
          <cell r="J32">
            <v>-2652</v>
          </cell>
        </row>
        <row r="33">
          <cell r="A33" t="str">
            <v>6213588846</v>
          </cell>
          <cell r="B33">
            <v>62135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6213588890</v>
          </cell>
          <cell r="B34">
            <v>62135</v>
          </cell>
          <cell r="C34">
            <v>88890</v>
          </cell>
          <cell r="D34" t="str">
            <v>Security/Safety</v>
          </cell>
          <cell r="E34">
            <v>22701</v>
          </cell>
          <cell r="F34">
            <v>1774.34</v>
          </cell>
          <cell r="G34">
            <v>20926.66</v>
          </cell>
          <cell r="H34">
            <v>13292.4</v>
          </cell>
          <cell r="I34">
            <v>4166.82</v>
          </cell>
          <cell r="J34">
            <v>-9125.58</v>
          </cell>
        </row>
        <row r="35">
          <cell r="A35" t="str">
            <v>6213589775</v>
          </cell>
          <cell r="B35">
            <v>62135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6213589729</v>
          </cell>
          <cell r="B36">
            <v>62135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6213589786</v>
          </cell>
          <cell r="B37">
            <v>62135</v>
          </cell>
          <cell r="C37">
            <v>89786</v>
          </cell>
          <cell r="D37" t="str">
            <v>Property Tax Exp</v>
          </cell>
          <cell r="E37">
            <v>61612.639999999999</v>
          </cell>
          <cell r="F37">
            <v>59816.68</v>
          </cell>
          <cell r="G37">
            <v>1795.96</v>
          </cell>
          <cell r="H37">
            <v>92421.68</v>
          </cell>
          <cell r="I37">
            <v>89856.98</v>
          </cell>
          <cell r="J37">
            <v>-2564.6999999999998</v>
          </cell>
        </row>
        <row r="38">
          <cell r="A38" t="str">
            <v>6213571040</v>
          </cell>
          <cell r="B38">
            <v>62135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6213572701</v>
          </cell>
          <cell r="B39">
            <v>62135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51.5</v>
          </cell>
          <cell r="I39">
            <v>0</v>
          </cell>
          <cell r="J39">
            <v>-51.5</v>
          </cell>
        </row>
        <row r="40">
          <cell r="A40" t="str">
            <v>6213572855</v>
          </cell>
          <cell r="B40">
            <v>62135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6213572870</v>
          </cell>
          <cell r="B41">
            <v>62135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6213576010</v>
          </cell>
          <cell r="B42">
            <v>62135</v>
          </cell>
          <cell r="C42">
            <v>76010</v>
          </cell>
          <cell r="D42" t="str">
            <v>Tenant Alterations</v>
          </cell>
          <cell r="E42">
            <v>2.78</v>
          </cell>
          <cell r="F42">
            <v>0</v>
          </cell>
          <cell r="G42">
            <v>2.78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6213576040</v>
          </cell>
          <cell r="B43">
            <v>62135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6213576051</v>
          </cell>
          <cell r="B44">
            <v>62135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6213576054</v>
          </cell>
          <cell r="B45">
            <v>62135</v>
          </cell>
          <cell r="C45">
            <v>76054</v>
          </cell>
          <cell r="D45" t="str">
            <v>Bldg Maintenance &amp; Repair</v>
          </cell>
          <cell r="E45">
            <v>134.75</v>
          </cell>
          <cell r="F45">
            <v>1595.19</v>
          </cell>
          <cell r="G45">
            <v>-1460.44</v>
          </cell>
          <cell r="H45">
            <v>75228.009999999995</v>
          </cell>
          <cell r="I45">
            <v>1622.08</v>
          </cell>
          <cell r="J45">
            <v>-73605.929999999993</v>
          </cell>
        </row>
        <row r="46">
          <cell r="A46" t="str">
            <v>6213576060</v>
          </cell>
          <cell r="B46">
            <v>62135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6213576071</v>
          </cell>
          <cell r="B47">
            <v>62135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6213576090</v>
          </cell>
          <cell r="B48">
            <v>62135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6213577001</v>
          </cell>
          <cell r="B49">
            <v>62135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6213577022</v>
          </cell>
          <cell r="B50">
            <v>62135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6213584200</v>
          </cell>
          <cell r="B51">
            <v>62135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6213584240</v>
          </cell>
          <cell r="B52">
            <v>62135</v>
          </cell>
          <cell r="C52">
            <v>84240</v>
          </cell>
          <cell r="D52" t="str">
            <v>Marketing Leasing</v>
          </cell>
          <cell r="E52">
            <v>13.89</v>
          </cell>
          <cell r="F52">
            <v>261.01</v>
          </cell>
          <cell r="G52">
            <v>-247.12</v>
          </cell>
          <cell r="H52">
            <v>1298.57</v>
          </cell>
          <cell r="I52">
            <v>348.42</v>
          </cell>
          <cell r="J52">
            <v>-950.15</v>
          </cell>
        </row>
        <row r="53">
          <cell r="A53" t="str">
            <v>6213584242</v>
          </cell>
          <cell r="B53">
            <v>62135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6213584243</v>
          </cell>
          <cell r="B54">
            <v>62135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6213584244</v>
          </cell>
          <cell r="B55">
            <v>62135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6213584265</v>
          </cell>
          <cell r="B56">
            <v>62135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6213588037</v>
          </cell>
          <cell r="B57">
            <v>62135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6213585016</v>
          </cell>
          <cell r="B58">
            <v>62135</v>
          </cell>
          <cell r="C58">
            <v>85016</v>
          </cell>
          <cell r="D58" t="str">
            <v>Prof Svc-Attorney Outside</v>
          </cell>
          <cell r="E58">
            <v>956.97</v>
          </cell>
          <cell r="F58">
            <v>3500.3</v>
          </cell>
          <cell r="G58">
            <v>-2543.33</v>
          </cell>
          <cell r="H58">
            <v>2209.8000000000002</v>
          </cell>
          <cell r="I58">
            <v>3534.3</v>
          </cell>
          <cell r="J58">
            <v>1324.5</v>
          </cell>
        </row>
        <row r="59">
          <cell r="A59" t="str">
            <v>6213585022</v>
          </cell>
          <cell r="B59">
            <v>62135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199.35</v>
          </cell>
          <cell r="G59">
            <v>-199.35</v>
          </cell>
          <cell r="H59">
            <v>2121.13</v>
          </cell>
          <cell r="I59">
            <v>2571.9299999999998</v>
          </cell>
          <cell r="J59">
            <v>450.8</v>
          </cell>
        </row>
        <row r="60">
          <cell r="A60" t="str">
            <v>6213585065</v>
          </cell>
          <cell r="B60">
            <v>62135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6213585500</v>
          </cell>
          <cell r="B61">
            <v>62135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202.5</v>
          </cell>
          <cell r="G61">
            <v>-202.5</v>
          </cell>
          <cell r="H61">
            <v>1030</v>
          </cell>
          <cell r="I61">
            <v>239.53</v>
          </cell>
          <cell r="J61">
            <v>-790.47</v>
          </cell>
        </row>
        <row r="62">
          <cell r="A62" t="str">
            <v>6213585566</v>
          </cell>
          <cell r="B62">
            <v>62135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21405.439999999999</v>
          </cell>
          <cell r="G62">
            <v>-21405.439999999999</v>
          </cell>
          <cell r="H62">
            <v>0</v>
          </cell>
          <cell r="I62">
            <v>32065.41</v>
          </cell>
          <cell r="J62">
            <v>32065.41</v>
          </cell>
        </row>
        <row r="63">
          <cell r="A63" t="str">
            <v>6213585581</v>
          </cell>
          <cell r="B63">
            <v>62135</v>
          </cell>
          <cell r="C63">
            <v>85581</v>
          </cell>
          <cell r="D63" t="str">
            <v>Bldg Admin- Salaries</v>
          </cell>
          <cell r="E63">
            <v>15231.53</v>
          </cell>
          <cell r="F63">
            <v>4144.6000000000004</v>
          </cell>
          <cell r="G63">
            <v>11086.93</v>
          </cell>
          <cell r="H63">
            <v>23244</v>
          </cell>
          <cell r="I63">
            <v>6017.9</v>
          </cell>
          <cell r="J63">
            <v>-17226.099999999999</v>
          </cell>
        </row>
        <row r="64">
          <cell r="A64" t="str">
            <v>6213585583</v>
          </cell>
          <cell r="B64">
            <v>62135</v>
          </cell>
          <cell r="C64">
            <v>85583</v>
          </cell>
          <cell r="D64" t="str">
            <v>Bldg Admin-Office Exp.</v>
          </cell>
          <cell r="E64">
            <v>1953.34</v>
          </cell>
          <cell r="F64">
            <v>0</v>
          </cell>
          <cell r="G64">
            <v>1953.34</v>
          </cell>
          <cell r="H64">
            <v>8049</v>
          </cell>
          <cell r="I64">
            <v>64.650000000000006</v>
          </cell>
          <cell r="J64">
            <v>-7984.35</v>
          </cell>
        </row>
        <row r="65">
          <cell r="A65" t="str">
            <v>6213585530</v>
          </cell>
          <cell r="B65">
            <v>62135</v>
          </cell>
          <cell r="C65">
            <v>85530</v>
          </cell>
          <cell r="D65" t="str">
            <v>Bldg Admin - Office Exp</v>
          </cell>
          <cell r="E65">
            <v>1953.34</v>
          </cell>
          <cell r="F65">
            <v>0</v>
          </cell>
          <cell r="G65">
            <v>1953.34</v>
          </cell>
          <cell r="H65">
            <v>8049</v>
          </cell>
          <cell r="I65">
            <v>64.650000000000006</v>
          </cell>
          <cell r="J65">
            <v>-7984.35</v>
          </cell>
        </row>
        <row r="66">
          <cell r="A66" t="str">
            <v>6213586012</v>
          </cell>
          <cell r="B66">
            <v>62135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6213586037</v>
          </cell>
          <cell r="B67">
            <v>62135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6213583050</v>
          </cell>
          <cell r="B68">
            <v>62135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6213586510</v>
          </cell>
          <cell r="B69">
            <v>62135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6213586537</v>
          </cell>
          <cell r="B70">
            <v>62135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6213586566</v>
          </cell>
          <cell r="B71">
            <v>62135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6213586955</v>
          </cell>
          <cell r="B72">
            <v>62135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6213586985</v>
          </cell>
          <cell r="B73">
            <v>62135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6213586880</v>
          </cell>
          <cell r="B74">
            <v>62135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6213588710</v>
          </cell>
          <cell r="B75">
            <v>62135</v>
          </cell>
          <cell r="C75">
            <v>88710</v>
          </cell>
          <cell r="D75" t="str">
            <v>Losses-Bad Debts</v>
          </cell>
          <cell r="E75">
            <v>2595</v>
          </cell>
          <cell r="F75">
            <v>-3993.52</v>
          </cell>
          <cell r="G75">
            <v>6588.52</v>
          </cell>
          <cell r="H75">
            <v>9956.4</v>
          </cell>
          <cell r="I75">
            <v>6645.41</v>
          </cell>
          <cell r="J75">
            <v>-3310.99</v>
          </cell>
        </row>
        <row r="76">
          <cell r="A76" t="str">
            <v>6213588711</v>
          </cell>
          <cell r="B76">
            <v>62135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6213588785</v>
          </cell>
          <cell r="B77">
            <v>62135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6213588847</v>
          </cell>
          <cell r="B78">
            <v>62135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6213588866</v>
          </cell>
          <cell r="B79">
            <v>62135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6213588870</v>
          </cell>
          <cell r="B80">
            <v>62135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6213588889</v>
          </cell>
          <cell r="B81">
            <v>62135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6213589776</v>
          </cell>
          <cell r="B82">
            <v>62135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6213589787</v>
          </cell>
          <cell r="B83">
            <v>62135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6213589510</v>
          </cell>
          <cell r="B84">
            <v>62135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6213589511</v>
          </cell>
          <cell r="B85">
            <v>62135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6213589512</v>
          </cell>
          <cell r="B86">
            <v>62135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6213589528</v>
          </cell>
          <cell r="B87">
            <v>62135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6213589529</v>
          </cell>
          <cell r="B88">
            <v>62135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6213589567</v>
          </cell>
          <cell r="B89">
            <v>62135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6213585058</v>
          </cell>
          <cell r="B90">
            <v>62135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6213586513</v>
          </cell>
          <cell r="B91">
            <v>62135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6213586519</v>
          </cell>
          <cell r="B92">
            <v>62135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6213588770</v>
          </cell>
          <cell r="B93">
            <v>62135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6213588862</v>
          </cell>
          <cell r="B94">
            <v>62135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6213588874</v>
          </cell>
          <cell r="B95">
            <v>62135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6213589910</v>
          </cell>
          <cell r="B96">
            <v>62135</v>
          </cell>
          <cell r="C96">
            <v>89910</v>
          </cell>
          <cell r="D96" t="str">
            <v>Depreciation</v>
          </cell>
          <cell r="E96">
            <v>0</v>
          </cell>
          <cell r="F96">
            <v>0</v>
          </cell>
          <cell r="G96">
            <v>0</v>
          </cell>
          <cell r="H96">
            <v>89681.19</v>
          </cell>
          <cell r="I96">
            <v>0</v>
          </cell>
          <cell r="J96">
            <v>-89681.19</v>
          </cell>
        </row>
        <row r="97">
          <cell r="A97" t="str">
            <v>6213589548</v>
          </cell>
          <cell r="B97">
            <v>62135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6216041010</v>
          </cell>
          <cell r="B98">
            <v>62160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6216041040</v>
          </cell>
          <cell r="B99">
            <v>62160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6216041050</v>
          </cell>
          <cell r="B100">
            <v>62160</v>
          </cell>
          <cell r="C100">
            <v>41050</v>
          </cell>
          <cell r="D100" t="str">
            <v>Rental Income - Fixed</v>
          </cell>
          <cell r="E100">
            <v>-1251983.01</v>
          </cell>
          <cell r="F100">
            <v>-1114509.28</v>
          </cell>
          <cell r="G100">
            <v>-137473.73000000001</v>
          </cell>
          <cell r="H100">
            <v>-1891717.44</v>
          </cell>
          <cell r="I100">
            <v>-1701806.2</v>
          </cell>
          <cell r="J100">
            <v>189911.24</v>
          </cell>
        </row>
        <row r="101">
          <cell r="A101" t="str">
            <v>6216041074</v>
          </cell>
          <cell r="B101">
            <v>62160</v>
          </cell>
          <cell r="C101">
            <v>41074</v>
          </cell>
          <cell r="D101" t="str">
            <v>Rental Income - Percentage</v>
          </cell>
          <cell r="E101">
            <v>-64993.37</v>
          </cell>
          <cell r="F101">
            <v>-4100.63</v>
          </cell>
          <cell r="G101">
            <v>-60892.74</v>
          </cell>
          <cell r="H101">
            <v>-43309</v>
          </cell>
          <cell r="I101">
            <v>-53476.32</v>
          </cell>
          <cell r="J101">
            <v>-10167.32</v>
          </cell>
        </row>
        <row r="102">
          <cell r="A102" t="str">
            <v>6216041082</v>
          </cell>
          <cell r="B102">
            <v>62160</v>
          </cell>
          <cell r="C102">
            <v>41082</v>
          </cell>
          <cell r="D102" t="str">
            <v>Rental Income - Operating Exp</v>
          </cell>
          <cell r="E102">
            <v>-257473.38</v>
          </cell>
          <cell r="F102">
            <v>-242202.45</v>
          </cell>
          <cell r="G102">
            <v>-15270.93</v>
          </cell>
          <cell r="H102">
            <v>-409670.3</v>
          </cell>
          <cell r="I102">
            <v>-351877.11</v>
          </cell>
          <cell r="J102">
            <v>57793.19</v>
          </cell>
        </row>
        <row r="103">
          <cell r="A103" t="str">
            <v>6216044610</v>
          </cell>
          <cell r="B103">
            <v>62160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6216045071</v>
          </cell>
          <cell r="B104">
            <v>62160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6216045010</v>
          </cell>
          <cell r="B105">
            <v>62160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6216045046</v>
          </cell>
          <cell r="B106">
            <v>62160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6216045070</v>
          </cell>
          <cell r="B107">
            <v>62160</v>
          </cell>
          <cell r="C107">
            <v>45070</v>
          </cell>
          <cell r="D107" t="str">
            <v>Other Income</v>
          </cell>
          <cell r="E107">
            <v>-316.2</v>
          </cell>
          <cell r="F107">
            <v>-632.25</v>
          </cell>
          <cell r="G107">
            <v>316.05</v>
          </cell>
          <cell r="H107">
            <v>-6009.71</v>
          </cell>
          <cell r="I107">
            <v>-882.26</v>
          </cell>
          <cell r="J107">
            <v>5127.45</v>
          </cell>
        </row>
        <row r="108">
          <cell r="A108" t="str">
            <v>6216041060</v>
          </cell>
          <cell r="B108">
            <v>62160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0</v>
          </cell>
          <cell r="G108">
            <v>0</v>
          </cell>
          <cell r="H108">
            <v>11649.98</v>
          </cell>
          <cell r="I108">
            <v>0</v>
          </cell>
          <cell r="J108">
            <v>-11649.98</v>
          </cell>
        </row>
        <row r="109">
          <cell r="A109" t="str">
            <v>6216044870</v>
          </cell>
          <cell r="B109">
            <v>62160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6216052542</v>
          </cell>
          <cell r="B110">
            <v>62160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6216072710</v>
          </cell>
          <cell r="B111">
            <v>62160</v>
          </cell>
          <cell r="C111">
            <v>72710</v>
          </cell>
          <cell r="D111" t="str">
            <v>Utilities - Electricity</v>
          </cell>
          <cell r="E111">
            <v>6037.29</v>
          </cell>
          <cell r="F111">
            <v>7855.89</v>
          </cell>
          <cell r="G111">
            <v>-1818.6</v>
          </cell>
          <cell r="H111">
            <v>10665.13</v>
          </cell>
          <cell r="I111">
            <v>10242.120000000001</v>
          </cell>
          <cell r="J111">
            <v>-423.009999999998</v>
          </cell>
        </row>
        <row r="112">
          <cell r="A112" t="str">
            <v>6216072740</v>
          </cell>
          <cell r="B112">
            <v>62160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6216072770</v>
          </cell>
          <cell r="B113">
            <v>62160</v>
          </cell>
          <cell r="C113">
            <v>72770</v>
          </cell>
          <cell r="D113" t="str">
            <v>Utilities - Water</v>
          </cell>
          <cell r="E113">
            <v>2449.52</v>
          </cell>
          <cell r="F113">
            <v>1983.93</v>
          </cell>
          <cell r="G113">
            <v>465.59</v>
          </cell>
          <cell r="H113">
            <v>3521.07</v>
          </cell>
          <cell r="I113">
            <v>2756.82</v>
          </cell>
          <cell r="J113">
            <v>-764.25</v>
          </cell>
        </row>
        <row r="114">
          <cell r="A114" t="str">
            <v>6216076000</v>
          </cell>
          <cell r="B114">
            <v>62160</v>
          </cell>
          <cell r="C114">
            <v>76000</v>
          </cell>
          <cell r="D114" t="str">
            <v>Bldg Maintenance &amp; Repair</v>
          </cell>
          <cell r="E114">
            <v>19887.02</v>
          </cell>
          <cell r="F114">
            <v>9056.26</v>
          </cell>
          <cell r="G114">
            <v>10830.76</v>
          </cell>
          <cell r="H114">
            <v>26620.01</v>
          </cell>
          <cell r="I114">
            <v>18607.5</v>
          </cell>
          <cell r="J114">
            <v>-8012.51</v>
          </cell>
        </row>
        <row r="115">
          <cell r="A115" t="str">
            <v>6216076020</v>
          </cell>
          <cell r="B115">
            <v>62160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6216076034</v>
          </cell>
          <cell r="B116">
            <v>62160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6216076050</v>
          </cell>
          <cell r="B117">
            <v>62160</v>
          </cell>
          <cell r="C117">
            <v>76050</v>
          </cell>
          <cell r="D117" t="str">
            <v>Cleaning Expense</v>
          </cell>
          <cell r="E117">
            <v>27569.91</v>
          </cell>
          <cell r="F117">
            <v>24629.59</v>
          </cell>
          <cell r="G117">
            <v>2940.32</v>
          </cell>
          <cell r="H117">
            <v>42827.59</v>
          </cell>
          <cell r="I117">
            <v>36816.65</v>
          </cell>
          <cell r="J117">
            <v>-6010.94</v>
          </cell>
        </row>
        <row r="118">
          <cell r="A118" t="str">
            <v>6216076056</v>
          </cell>
          <cell r="B118">
            <v>62160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6216076070</v>
          </cell>
          <cell r="B119">
            <v>62160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6216076091</v>
          </cell>
          <cell r="B120">
            <v>62160</v>
          </cell>
          <cell r="C120">
            <v>76091</v>
          </cell>
          <cell r="D120" t="str">
            <v>Parking Maintenance</v>
          </cell>
          <cell r="E120">
            <v>26103.02</v>
          </cell>
          <cell r="F120">
            <v>16929.54</v>
          </cell>
          <cell r="G120">
            <v>9173.48</v>
          </cell>
          <cell r="H120">
            <v>38334.53</v>
          </cell>
          <cell r="I120">
            <v>35947.11</v>
          </cell>
          <cell r="J120">
            <v>-2387.42</v>
          </cell>
        </row>
        <row r="121">
          <cell r="A121" t="str">
            <v>6216077000</v>
          </cell>
          <cell r="B121">
            <v>62160</v>
          </cell>
          <cell r="C121">
            <v>77000</v>
          </cell>
          <cell r="D121" t="str">
            <v>Grounds Maintenance</v>
          </cell>
          <cell r="E121">
            <v>21781.17</v>
          </cell>
          <cell r="F121">
            <v>20902.84</v>
          </cell>
          <cell r="G121">
            <v>878.32999999999799</v>
          </cell>
          <cell r="H121">
            <v>42714.31</v>
          </cell>
          <cell r="I121">
            <v>26370</v>
          </cell>
          <cell r="J121">
            <v>-16344.31</v>
          </cell>
        </row>
        <row r="122">
          <cell r="A122" t="str">
            <v>6216077053</v>
          </cell>
          <cell r="B122">
            <v>62160</v>
          </cell>
          <cell r="C122">
            <v>77053</v>
          </cell>
          <cell r="D122" t="str">
            <v>Landscaping</v>
          </cell>
          <cell r="E122">
            <v>17980.36</v>
          </cell>
          <cell r="F122">
            <v>17243.580000000002</v>
          </cell>
          <cell r="G122">
            <v>736.77999999999895</v>
          </cell>
          <cell r="H122">
            <v>35266.480000000003</v>
          </cell>
          <cell r="I122">
            <v>23982.58</v>
          </cell>
          <cell r="J122">
            <v>-11283.9</v>
          </cell>
        </row>
        <row r="123">
          <cell r="A123" t="str">
            <v>6216078020</v>
          </cell>
          <cell r="B123">
            <v>62160</v>
          </cell>
          <cell r="C123">
            <v>78020</v>
          </cell>
          <cell r="D123" t="str">
            <v>Amortized CAM Exp</v>
          </cell>
          <cell r="E123">
            <v>11111.12</v>
          </cell>
          <cell r="F123">
            <v>0</v>
          </cell>
          <cell r="G123">
            <v>11111.12</v>
          </cell>
          <cell r="H123">
            <v>16667.560000000001</v>
          </cell>
          <cell r="I123">
            <v>0</v>
          </cell>
          <cell r="J123">
            <v>-16667.560000000001</v>
          </cell>
        </row>
        <row r="124">
          <cell r="A124" t="str">
            <v>6216084264</v>
          </cell>
          <cell r="B124">
            <v>62160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6216085555</v>
          </cell>
          <cell r="B125">
            <v>62160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6216085584</v>
          </cell>
          <cell r="B126">
            <v>62160</v>
          </cell>
          <cell r="C126">
            <v>85584</v>
          </cell>
          <cell r="D126" t="str">
            <v>Bldg Admin-Office Costs</v>
          </cell>
          <cell r="E126">
            <v>3518.84</v>
          </cell>
          <cell r="F126">
            <v>7244.65</v>
          </cell>
          <cell r="G126">
            <v>-3725.81</v>
          </cell>
          <cell r="H126">
            <v>5475</v>
          </cell>
          <cell r="I126">
            <v>10872.17</v>
          </cell>
          <cell r="J126">
            <v>5397.17</v>
          </cell>
        </row>
        <row r="127">
          <cell r="A127" t="str">
            <v>6216085582</v>
          </cell>
          <cell r="B127">
            <v>62160</v>
          </cell>
          <cell r="C127">
            <v>85582</v>
          </cell>
          <cell r="D127" t="str">
            <v>Bldg Admin-Salaries</v>
          </cell>
          <cell r="E127">
            <v>20930.25</v>
          </cell>
          <cell r="F127">
            <v>27101</v>
          </cell>
          <cell r="G127">
            <v>-6170.75</v>
          </cell>
          <cell r="H127">
            <v>34979</v>
          </cell>
          <cell r="I127">
            <v>42083.83</v>
          </cell>
          <cell r="J127">
            <v>7104.83</v>
          </cell>
        </row>
        <row r="128">
          <cell r="A128" t="str">
            <v>6216086564</v>
          </cell>
          <cell r="B128">
            <v>62160</v>
          </cell>
          <cell r="C128">
            <v>86564</v>
          </cell>
          <cell r="D128" t="str">
            <v>Insurance</v>
          </cell>
          <cell r="E128">
            <v>18336</v>
          </cell>
          <cell r="F128">
            <v>18264</v>
          </cell>
          <cell r="G128">
            <v>72</v>
          </cell>
          <cell r="H128">
            <v>30096</v>
          </cell>
          <cell r="I128">
            <v>27405</v>
          </cell>
          <cell r="J128">
            <v>-2691</v>
          </cell>
        </row>
        <row r="129">
          <cell r="A129" t="str">
            <v>6216088846</v>
          </cell>
          <cell r="B129">
            <v>62160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6216088890</v>
          </cell>
          <cell r="B130">
            <v>62160</v>
          </cell>
          <cell r="C130">
            <v>88890</v>
          </cell>
          <cell r="D130" t="str">
            <v>Security/Safety</v>
          </cell>
          <cell r="E130">
            <v>4125</v>
          </cell>
          <cell r="F130">
            <v>0</v>
          </cell>
          <cell r="G130">
            <v>4125</v>
          </cell>
          <cell r="H130">
            <v>12936.52</v>
          </cell>
          <cell r="I130">
            <v>2393.2399999999998</v>
          </cell>
          <cell r="J130">
            <v>-10543.28</v>
          </cell>
        </row>
        <row r="131">
          <cell r="A131" t="str">
            <v>6216089775</v>
          </cell>
          <cell r="B131">
            <v>62160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6216089729</v>
          </cell>
          <cell r="B132">
            <v>62160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6216089786</v>
          </cell>
          <cell r="B133">
            <v>62160</v>
          </cell>
          <cell r="C133">
            <v>89786</v>
          </cell>
          <cell r="D133" t="str">
            <v>Property Tax Exp</v>
          </cell>
          <cell r="E133">
            <v>61937.36</v>
          </cell>
          <cell r="F133">
            <v>68514</v>
          </cell>
          <cell r="G133">
            <v>-6576.64</v>
          </cell>
          <cell r="H133">
            <v>92904</v>
          </cell>
          <cell r="I133">
            <v>87929</v>
          </cell>
          <cell r="J133">
            <v>-4975</v>
          </cell>
        </row>
        <row r="134">
          <cell r="A134" t="str">
            <v>6216071040</v>
          </cell>
          <cell r="B134">
            <v>62160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6216072701</v>
          </cell>
          <cell r="B135">
            <v>62160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514.91</v>
          </cell>
          <cell r="G135">
            <v>-514.91</v>
          </cell>
          <cell r="H135">
            <v>362.01</v>
          </cell>
          <cell r="I135">
            <v>741.96</v>
          </cell>
          <cell r="J135">
            <v>379.95</v>
          </cell>
        </row>
        <row r="136">
          <cell r="A136" t="str">
            <v>6216072855</v>
          </cell>
          <cell r="B136">
            <v>62160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6216072870</v>
          </cell>
          <cell r="B137">
            <v>62160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6216076010</v>
          </cell>
          <cell r="B138">
            <v>62160</v>
          </cell>
          <cell r="C138">
            <v>76010</v>
          </cell>
          <cell r="D138" t="str">
            <v>Tenant Alterations</v>
          </cell>
          <cell r="E138">
            <v>1502.82</v>
          </cell>
          <cell r="F138">
            <v>0</v>
          </cell>
          <cell r="G138">
            <v>1502.82</v>
          </cell>
          <cell r="H138">
            <v>1500</v>
          </cell>
          <cell r="I138">
            <v>0</v>
          </cell>
          <cell r="J138">
            <v>-1500</v>
          </cell>
        </row>
        <row r="139">
          <cell r="A139" t="str">
            <v>6216076040</v>
          </cell>
          <cell r="B139">
            <v>62160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6216076051</v>
          </cell>
          <cell r="B140">
            <v>62160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6216076054</v>
          </cell>
          <cell r="B141">
            <v>62160</v>
          </cell>
          <cell r="C141">
            <v>76054</v>
          </cell>
          <cell r="D141" t="str">
            <v>Bldg Maintenance &amp; Repair</v>
          </cell>
          <cell r="E141">
            <v>-24.88</v>
          </cell>
          <cell r="F141">
            <v>300.08</v>
          </cell>
          <cell r="G141">
            <v>-324.95999999999998</v>
          </cell>
          <cell r="H141">
            <v>309.58999999999997</v>
          </cell>
          <cell r="I141">
            <v>2597.1799999999998</v>
          </cell>
          <cell r="J141">
            <v>2287.59</v>
          </cell>
        </row>
        <row r="142">
          <cell r="A142" t="str">
            <v>6216076060</v>
          </cell>
          <cell r="B142">
            <v>62160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6216076071</v>
          </cell>
          <cell r="B143">
            <v>62160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99000</v>
          </cell>
          <cell r="I143">
            <v>0</v>
          </cell>
          <cell r="J143">
            <v>-99000</v>
          </cell>
        </row>
        <row r="144">
          <cell r="A144" t="str">
            <v>6216076090</v>
          </cell>
          <cell r="B144">
            <v>62160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6216077001</v>
          </cell>
          <cell r="B145">
            <v>62160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6216077022</v>
          </cell>
          <cell r="B146">
            <v>62160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6216084200</v>
          </cell>
          <cell r="B147">
            <v>62160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6216084240</v>
          </cell>
          <cell r="B148">
            <v>62160</v>
          </cell>
          <cell r="C148">
            <v>84240</v>
          </cell>
          <cell r="D148" t="str">
            <v>Marketing Leasing</v>
          </cell>
          <cell r="E148">
            <v>13.32</v>
          </cell>
          <cell r="F148">
            <v>244.68</v>
          </cell>
          <cell r="G148">
            <v>-231.36</v>
          </cell>
          <cell r="H148">
            <v>1324</v>
          </cell>
          <cell r="I148">
            <v>328.51</v>
          </cell>
          <cell r="J148">
            <v>-995.49</v>
          </cell>
        </row>
        <row r="149">
          <cell r="A149" t="str">
            <v>6216084242</v>
          </cell>
          <cell r="B149">
            <v>62160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6216084243</v>
          </cell>
          <cell r="B150">
            <v>62160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6216084244</v>
          </cell>
          <cell r="B151">
            <v>62160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6216084265</v>
          </cell>
          <cell r="B152">
            <v>62160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6216088037</v>
          </cell>
          <cell r="B153">
            <v>62160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6216085016</v>
          </cell>
          <cell r="B154">
            <v>62160</v>
          </cell>
          <cell r="C154">
            <v>85016</v>
          </cell>
          <cell r="D154" t="str">
            <v>Prof Svc-Attorney Outside</v>
          </cell>
          <cell r="E154">
            <v>304</v>
          </cell>
          <cell r="F154">
            <v>1382</v>
          </cell>
          <cell r="G154">
            <v>-1078</v>
          </cell>
          <cell r="H154">
            <v>2453</v>
          </cell>
          <cell r="I154">
            <v>1512.45</v>
          </cell>
          <cell r="J154">
            <v>-940.55</v>
          </cell>
        </row>
        <row r="155">
          <cell r="A155" t="str">
            <v>6216085022</v>
          </cell>
          <cell r="B155">
            <v>62160</v>
          </cell>
          <cell r="C155">
            <v>85022</v>
          </cell>
          <cell r="D155" t="str">
            <v>Prof Svc-Audit/Acctng</v>
          </cell>
          <cell r="E155">
            <v>347.58</v>
          </cell>
          <cell r="F155">
            <v>199.35</v>
          </cell>
          <cell r="G155">
            <v>148.22999999999999</v>
          </cell>
          <cell r="H155">
            <v>3156.07</v>
          </cell>
          <cell r="I155">
            <v>874.35</v>
          </cell>
          <cell r="J155">
            <v>-2281.7199999999998</v>
          </cell>
        </row>
        <row r="156">
          <cell r="A156" t="str">
            <v>6216085065</v>
          </cell>
          <cell r="B156">
            <v>62160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6216085500</v>
          </cell>
          <cell r="B157">
            <v>62160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135</v>
          </cell>
          <cell r="G157">
            <v>-135</v>
          </cell>
          <cell r="H157">
            <v>345</v>
          </cell>
          <cell r="I157">
            <v>170.52</v>
          </cell>
          <cell r="J157">
            <v>-174.48</v>
          </cell>
        </row>
        <row r="158">
          <cell r="A158" t="str">
            <v>6216085566</v>
          </cell>
          <cell r="B158">
            <v>62160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26883.759999999998</v>
          </cell>
          <cell r="G158">
            <v>-26883.759999999998</v>
          </cell>
          <cell r="H158">
            <v>0</v>
          </cell>
          <cell r="I158">
            <v>40271.910000000003</v>
          </cell>
          <cell r="J158">
            <v>40271.910000000003</v>
          </cell>
        </row>
        <row r="159">
          <cell r="A159" t="str">
            <v>6216085581</v>
          </cell>
          <cell r="B159">
            <v>62160</v>
          </cell>
          <cell r="C159">
            <v>85581</v>
          </cell>
          <cell r="D159" t="str">
            <v>Bldg Admin- Salaries</v>
          </cell>
          <cell r="E159">
            <v>15422.17</v>
          </cell>
          <cell r="F159">
            <v>3976.49</v>
          </cell>
          <cell r="G159">
            <v>11445.68</v>
          </cell>
          <cell r="H159">
            <v>23535</v>
          </cell>
          <cell r="I159">
            <v>5774.29</v>
          </cell>
          <cell r="J159">
            <v>-17760.71</v>
          </cell>
        </row>
        <row r="160">
          <cell r="A160" t="str">
            <v>6216085583</v>
          </cell>
          <cell r="B160">
            <v>62160</v>
          </cell>
          <cell r="C160">
            <v>85583</v>
          </cell>
          <cell r="D160" t="str">
            <v>Bldg Admin-Office Exp.</v>
          </cell>
          <cell r="E160">
            <v>2107.11</v>
          </cell>
          <cell r="F160">
            <v>0</v>
          </cell>
          <cell r="G160">
            <v>2107.11</v>
          </cell>
          <cell r="H160">
            <v>8150</v>
          </cell>
          <cell r="I160">
            <v>64.650000000000006</v>
          </cell>
          <cell r="J160">
            <v>-8085.35</v>
          </cell>
        </row>
        <row r="161">
          <cell r="A161" t="str">
            <v>6216085530</v>
          </cell>
          <cell r="B161">
            <v>62160</v>
          </cell>
          <cell r="C161">
            <v>85530</v>
          </cell>
          <cell r="D161" t="str">
            <v>Bldg Admin - Office Exp</v>
          </cell>
          <cell r="E161">
            <v>2107.11</v>
          </cell>
          <cell r="F161">
            <v>0</v>
          </cell>
          <cell r="G161">
            <v>2107.11</v>
          </cell>
          <cell r="H161">
            <v>8150</v>
          </cell>
          <cell r="I161">
            <v>64.650000000000006</v>
          </cell>
          <cell r="J161">
            <v>-8085.35</v>
          </cell>
        </row>
        <row r="162">
          <cell r="A162" t="str">
            <v>6216086012</v>
          </cell>
          <cell r="B162">
            <v>62160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6216086037</v>
          </cell>
          <cell r="B163">
            <v>62160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6216083050</v>
          </cell>
          <cell r="B164">
            <v>62160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6216086510</v>
          </cell>
          <cell r="B165">
            <v>62160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6216086537</v>
          </cell>
          <cell r="B166">
            <v>62160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6216086566</v>
          </cell>
          <cell r="B167">
            <v>62160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6216086955</v>
          </cell>
          <cell r="B168">
            <v>62160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6216086985</v>
          </cell>
          <cell r="B169">
            <v>62160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6216086880</v>
          </cell>
          <cell r="B170">
            <v>62160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6216088710</v>
          </cell>
          <cell r="B171">
            <v>62160</v>
          </cell>
          <cell r="C171">
            <v>88710</v>
          </cell>
          <cell r="D171" t="str">
            <v>Losses-Bad Debts</v>
          </cell>
          <cell r="E171">
            <v>12645.85</v>
          </cell>
          <cell r="F171">
            <v>-7565</v>
          </cell>
          <cell r="G171">
            <v>20210.849999999999</v>
          </cell>
          <cell r="H171">
            <v>23645.39</v>
          </cell>
          <cell r="I171">
            <v>-3821.65</v>
          </cell>
          <cell r="J171">
            <v>-27467.040000000001</v>
          </cell>
        </row>
        <row r="172">
          <cell r="A172" t="str">
            <v>6216088711</v>
          </cell>
          <cell r="B172">
            <v>62160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6216088785</v>
          </cell>
          <cell r="B173">
            <v>62160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6216088847</v>
          </cell>
          <cell r="B174">
            <v>62160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6216088866</v>
          </cell>
          <cell r="B175">
            <v>62160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6216088870</v>
          </cell>
          <cell r="B176">
            <v>62160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6216088889</v>
          </cell>
          <cell r="B177">
            <v>62160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6216089776</v>
          </cell>
          <cell r="B178">
            <v>62160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6216089787</v>
          </cell>
          <cell r="B179">
            <v>62160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6216089510</v>
          </cell>
          <cell r="B180">
            <v>62160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6216089511</v>
          </cell>
          <cell r="B181">
            <v>62160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6216089512</v>
          </cell>
          <cell r="B182">
            <v>62160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6216089528</v>
          </cell>
          <cell r="B183">
            <v>62160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6216089529</v>
          </cell>
          <cell r="B184">
            <v>62160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6216089567</v>
          </cell>
          <cell r="B185">
            <v>62160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6216085058</v>
          </cell>
          <cell r="B186">
            <v>62160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6216086513</v>
          </cell>
          <cell r="B187">
            <v>62160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6216086519</v>
          </cell>
          <cell r="B188">
            <v>62160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6216088770</v>
          </cell>
          <cell r="B189">
            <v>62160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6216088862</v>
          </cell>
          <cell r="B190">
            <v>62160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6216088874</v>
          </cell>
          <cell r="B191">
            <v>62160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6216089910</v>
          </cell>
          <cell r="B192">
            <v>62160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0</v>
          </cell>
          <cell r="G192">
            <v>0</v>
          </cell>
          <cell r="H192">
            <v>134504.03</v>
          </cell>
          <cell r="I192">
            <v>0</v>
          </cell>
          <cell r="J192">
            <v>-134504.03</v>
          </cell>
        </row>
        <row r="193">
          <cell r="A193" t="str">
            <v>6216089548</v>
          </cell>
          <cell r="B193">
            <v>62160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6219741010</v>
          </cell>
          <cell r="B194">
            <v>62197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6219741040</v>
          </cell>
          <cell r="B195">
            <v>62197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6219741050</v>
          </cell>
          <cell r="B196">
            <v>62197</v>
          </cell>
          <cell r="C196">
            <v>41050</v>
          </cell>
          <cell r="D196" t="str">
            <v>Rental Income - Fixed</v>
          </cell>
          <cell r="E196">
            <v>-2788520.2</v>
          </cell>
          <cell r="F196">
            <v>-2738497.47</v>
          </cell>
          <cell r="G196">
            <v>-50022.73</v>
          </cell>
          <cell r="H196">
            <v>-4388568.1100000003</v>
          </cell>
          <cell r="I196">
            <v>-4126767.4</v>
          </cell>
          <cell r="J196">
            <v>261800.71</v>
          </cell>
        </row>
        <row r="197">
          <cell r="A197" t="str">
            <v>6219741074</v>
          </cell>
          <cell r="B197">
            <v>62197</v>
          </cell>
          <cell r="C197">
            <v>41074</v>
          </cell>
          <cell r="D197" t="str">
            <v>Rental Income - Percentage</v>
          </cell>
          <cell r="E197">
            <v>-15356.8</v>
          </cell>
          <cell r="F197">
            <v>-45904.51</v>
          </cell>
          <cell r="G197">
            <v>30547.71</v>
          </cell>
          <cell r="H197">
            <v>-13363.69</v>
          </cell>
          <cell r="I197">
            <v>-63647.21</v>
          </cell>
          <cell r="J197">
            <v>-50283.519999999997</v>
          </cell>
        </row>
        <row r="198">
          <cell r="A198" t="str">
            <v>6219741082</v>
          </cell>
          <cell r="B198">
            <v>62197</v>
          </cell>
          <cell r="C198">
            <v>41082</v>
          </cell>
          <cell r="D198" t="str">
            <v>Rental Income - Operating Exp</v>
          </cell>
          <cell r="E198">
            <v>-733993.57</v>
          </cell>
          <cell r="F198">
            <v>-645770.59</v>
          </cell>
          <cell r="G198">
            <v>-88222.98</v>
          </cell>
          <cell r="H198">
            <v>-1205461.27</v>
          </cell>
          <cell r="I198">
            <v>-1030338.43</v>
          </cell>
          <cell r="J198">
            <v>175122.84</v>
          </cell>
        </row>
        <row r="199">
          <cell r="A199" t="str">
            <v>6219744610</v>
          </cell>
          <cell r="B199">
            <v>62197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6219745071</v>
          </cell>
          <cell r="B200">
            <v>62197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6219745010</v>
          </cell>
          <cell r="B201">
            <v>62197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6219745046</v>
          </cell>
          <cell r="B202">
            <v>62197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6219745070</v>
          </cell>
          <cell r="B203">
            <v>62197</v>
          </cell>
          <cell r="C203">
            <v>45070</v>
          </cell>
          <cell r="D203" t="str">
            <v>Other Income</v>
          </cell>
          <cell r="E203">
            <v>-63532.34</v>
          </cell>
          <cell r="F203">
            <v>-86352.33</v>
          </cell>
          <cell r="G203">
            <v>22819.99</v>
          </cell>
          <cell r="H203">
            <v>-57107.24</v>
          </cell>
          <cell r="I203">
            <v>-109792.49</v>
          </cell>
          <cell r="J203">
            <v>-52685.25</v>
          </cell>
        </row>
        <row r="204">
          <cell r="A204" t="str">
            <v>6219741060</v>
          </cell>
          <cell r="B204">
            <v>62197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0</v>
          </cell>
          <cell r="G204">
            <v>0</v>
          </cell>
          <cell r="H204">
            <v>193944</v>
          </cell>
          <cell r="I204">
            <v>0</v>
          </cell>
          <cell r="J204">
            <v>-193944</v>
          </cell>
        </row>
        <row r="205">
          <cell r="A205" t="str">
            <v>6219744870</v>
          </cell>
          <cell r="B205">
            <v>62197</v>
          </cell>
          <cell r="C205">
            <v>44870</v>
          </cell>
          <cell r="D205" t="str">
            <v>Late Fees</v>
          </cell>
          <cell r="E205">
            <v>-750</v>
          </cell>
          <cell r="F205">
            <v>0</v>
          </cell>
          <cell r="G205">
            <v>-750</v>
          </cell>
          <cell r="H205">
            <v>-750</v>
          </cell>
          <cell r="I205">
            <v>-3950</v>
          </cell>
          <cell r="J205">
            <v>-3200</v>
          </cell>
        </row>
        <row r="206">
          <cell r="A206" t="str">
            <v>6219752542</v>
          </cell>
          <cell r="B206">
            <v>62197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6219772710</v>
          </cell>
          <cell r="B207">
            <v>62197</v>
          </cell>
          <cell r="C207">
            <v>72710</v>
          </cell>
          <cell r="D207" t="str">
            <v>Utilities - Electricity</v>
          </cell>
          <cell r="E207">
            <v>23934.76</v>
          </cell>
          <cell r="F207">
            <v>38392.089999999997</v>
          </cell>
          <cell r="G207">
            <v>-14457.33</v>
          </cell>
          <cell r="H207">
            <v>57616.34</v>
          </cell>
          <cell r="I207">
            <v>52655.73</v>
          </cell>
          <cell r="J207">
            <v>-4960.6099999999897</v>
          </cell>
        </row>
        <row r="208">
          <cell r="A208" t="str">
            <v>6219772740</v>
          </cell>
          <cell r="B208">
            <v>62197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6219772770</v>
          </cell>
          <cell r="B209">
            <v>62197</v>
          </cell>
          <cell r="C209">
            <v>72770</v>
          </cell>
          <cell r="D209" t="str">
            <v>Utilities - Water</v>
          </cell>
          <cell r="E209">
            <v>11207.57</v>
          </cell>
          <cell r="F209">
            <v>13039.24</v>
          </cell>
          <cell r="G209">
            <v>-1831.67</v>
          </cell>
          <cell r="H209">
            <v>22269.82</v>
          </cell>
          <cell r="I209">
            <v>19244.77</v>
          </cell>
          <cell r="J209">
            <v>-3025.05</v>
          </cell>
        </row>
        <row r="210">
          <cell r="A210" t="str">
            <v>6219776000</v>
          </cell>
          <cell r="B210">
            <v>62197</v>
          </cell>
          <cell r="C210">
            <v>76000</v>
          </cell>
          <cell r="D210" t="str">
            <v>Bldg Maintenance &amp; Repair</v>
          </cell>
          <cell r="E210">
            <v>39889.79</v>
          </cell>
          <cell r="F210">
            <v>38731.040000000001</v>
          </cell>
          <cell r="G210">
            <v>1158.75</v>
          </cell>
          <cell r="H210">
            <v>97558.14</v>
          </cell>
          <cell r="I210">
            <v>65087.71</v>
          </cell>
          <cell r="J210">
            <v>-32470.43</v>
          </cell>
        </row>
        <row r="211">
          <cell r="A211" t="str">
            <v>6219776020</v>
          </cell>
          <cell r="B211">
            <v>62197</v>
          </cell>
          <cell r="C211">
            <v>76020</v>
          </cell>
          <cell r="D211" t="str">
            <v>Food Court Expense</v>
          </cell>
          <cell r="E211">
            <v>13134</v>
          </cell>
          <cell r="F211">
            <v>13312</v>
          </cell>
          <cell r="G211">
            <v>-178</v>
          </cell>
          <cell r="H211">
            <v>20341.12</v>
          </cell>
          <cell r="I211">
            <v>19678</v>
          </cell>
          <cell r="J211">
            <v>-663.11999999999898</v>
          </cell>
        </row>
        <row r="212">
          <cell r="A212" t="str">
            <v>6219776034</v>
          </cell>
          <cell r="B212">
            <v>62197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6219776050</v>
          </cell>
          <cell r="B213">
            <v>62197</v>
          </cell>
          <cell r="C213">
            <v>76050</v>
          </cell>
          <cell r="D213" t="str">
            <v>Cleaning Expense</v>
          </cell>
          <cell r="E213">
            <v>72611.58</v>
          </cell>
          <cell r="F213">
            <v>66139.98</v>
          </cell>
          <cell r="G213">
            <v>6471.6000000000104</v>
          </cell>
          <cell r="H213">
            <v>109484.98</v>
          </cell>
          <cell r="I213">
            <v>101255.97</v>
          </cell>
          <cell r="J213">
            <v>-8229.0099999999893</v>
          </cell>
        </row>
        <row r="214">
          <cell r="A214" t="str">
            <v>6219776056</v>
          </cell>
          <cell r="B214">
            <v>62197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6219776070</v>
          </cell>
          <cell r="B215">
            <v>62197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6219776091</v>
          </cell>
          <cell r="B216">
            <v>62197</v>
          </cell>
          <cell r="C216">
            <v>76091</v>
          </cell>
          <cell r="D216" t="str">
            <v>Parking Maintenance</v>
          </cell>
          <cell r="E216">
            <v>35791.14</v>
          </cell>
          <cell r="F216">
            <v>41936.01</v>
          </cell>
          <cell r="G216">
            <v>-6144.87</v>
          </cell>
          <cell r="H216">
            <v>65629.06</v>
          </cell>
          <cell r="I216">
            <v>63472.81</v>
          </cell>
          <cell r="J216">
            <v>-2156.25</v>
          </cell>
        </row>
        <row r="217">
          <cell r="A217" t="str">
            <v>6219777000</v>
          </cell>
          <cell r="B217">
            <v>62197</v>
          </cell>
          <cell r="C217">
            <v>77000</v>
          </cell>
          <cell r="D217" t="str">
            <v>Grounds Maintenance</v>
          </cell>
          <cell r="E217">
            <v>42602.1</v>
          </cell>
          <cell r="F217">
            <v>21591.41</v>
          </cell>
          <cell r="G217">
            <v>21010.69</v>
          </cell>
          <cell r="H217">
            <v>62151.55</v>
          </cell>
          <cell r="I217">
            <v>38958.78</v>
          </cell>
          <cell r="J217">
            <v>-23192.77</v>
          </cell>
        </row>
        <row r="218">
          <cell r="A218" t="str">
            <v>6219777053</v>
          </cell>
          <cell r="B218">
            <v>62197</v>
          </cell>
          <cell r="C218">
            <v>77053</v>
          </cell>
          <cell r="D218" t="str">
            <v>Landscaping</v>
          </cell>
          <cell r="E218">
            <v>65441</v>
          </cell>
          <cell r="F218">
            <v>106438.86</v>
          </cell>
          <cell r="G218">
            <v>-40997.86</v>
          </cell>
          <cell r="H218">
            <v>118414.84</v>
          </cell>
          <cell r="I218">
            <v>129199.86</v>
          </cell>
          <cell r="J218">
            <v>10785.02</v>
          </cell>
        </row>
        <row r="219">
          <cell r="A219" t="str">
            <v>6219778020</v>
          </cell>
          <cell r="B219">
            <v>62197</v>
          </cell>
          <cell r="C219">
            <v>78020</v>
          </cell>
          <cell r="D219" t="str">
            <v>Amortized CAM Exp</v>
          </cell>
          <cell r="E219">
            <v>43333.35</v>
          </cell>
          <cell r="F219">
            <v>0</v>
          </cell>
          <cell r="G219">
            <v>43333.35</v>
          </cell>
          <cell r="H219">
            <v>65002.67</v>
          </cell>
          <cell r="I219">
            <v>23068</v>
          </cell>
          <cell r="J219">
            <v>-41934.67</v>
          </cell>
        </row>
        <row r="220">
          <cell r="A220" t="str">
            <v>6219784264</v>
          </cell>
          <cell r="B220">
            <v>62197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6219785555</v>
          </cell>
          <cell r="B221">
            <v>62197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6219785584</v>
          </cell>
          <cell r="B222">
            <v>62197</v>
          </cell>
          <cell r="C222">
            <v>85584</v>
          </cell>
          <cell r="D222" t="str">
            <v>Bldg Admin-Office Costs</v>
          </cell>
          <cell r="E222">
            <v>15940.14</v>
          </cell>
          <cell r="F222">
            <v>32263.31</v>
          </cell>
          <cell r="G222">
            <v>-16323.17</v>
          </cell>
          <cell r="H222">
            <v>24869</v>
          </cell>
          <cell r="I222">
            <v>48418.17</v>
          </cell>
          <cell r="J222">
            <v>23549.17</v>
          </cell>
        </row>
        <row r="223">
          <cell r="A223" t="str">
            <v>6219785582</v>
          </cell>
          <cell r="B223">
            <v>62197</v>
          </cell>
          <cell r="C223">
            <v>85582</v>
          </cell>
          <cell r="D223" t="str">
            <v>Bldg Admin-Salaries</v>
          </cell>
          <cell r="E223">
            <v>95062.1</v>
          </cell>
          <cell r="F223">
            <v>110140.79</v>
          </cell>
          <cell r="G223">
            <v>-15078.69</v>
          </cell>
          <cell r="H223">
            <v>158871</v>
          </cell>
          <cell r="I223">
            <v>168956.01</v>
          </cell>
          <cell r="J223">
            <v>10085.01</v>
          </cell>
        </row>
        <row r="224">
          <cell r="A224" t="str">
            <v>6219786564</v>
          </cell>
          <cell r="B224">
            <v>62197</v>
          </cell>
          <cell r="C224">
            <v>86564</v>
          </cell>
          <cell r="D224" t="str">
            <v>Insurance</v>
          </cell>
          <cell r="E224">
            <v>52008.2</v>
          </cell>
          <cell r="F224">
            <v>49264</v>
          </cell>
          <cell r="G224">
            <v>2744.2</v>
          </cell>
          <cell r="H224">
            <v>89628</v>
          </cell>
          <cell r="I224">
            <v>73894</v>
          </cell>
          <cell r="J224">
            <v>-15734</v>
          </cell>
        </row>
        <row r="225">
          <cell r="A225" t="str">
            <v>6219788846</v>
          </cell>
          <cell r="B225">
            <v>62197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6219788890</v>
          </cell>
          <cell r="B226">
            <v>62197</v>
          </cell>
          <cell r="C226">
            <v>88890</v>
          </cell>
          <cell r="D226" t="str">
            <v>Security/Safety</v>
          </cell>
          <cell r="E226">
            <v>33441.5</v>
          </cell>
          <cell r="F226">
            <v>33073.19</v>
          </cell>
          <cell r="G226">
            <v>368.30999999999801</v>
          </cell>
          <cell r="H226">
            <v>53439.6</v>
          </cell>
          <cell r="I226">
            <v>49653.87</v>
          </cell>
          <cell r="J226">
            <v>-3785.73</v>
          </cell>
        </row>
        <row r="227">
          <cell r="A227" t="str">
            <v>6219789775</v>
          </cell>
          <cell r="B227">
            <v>62197</v>
          </cell>
          <cell r="C227">
            <v>89775</v>
          </cell>
          <cell r="D227" t="str">
            <v>Assmt Dist Taxes- Reimb</v>
          </cell>
          <cell r="E227">
            <v>62069.36</v>
          </cell>
          <cell r="F227">
            <v>20690</v>
          </cell>
          <cell r="G227">
            <v>41379.360000000001</v>
          </cell>
          <cell r="H227">
            <v>93099.68</v>
          </cell>
          <cell r="I227">
            <v>116808.67</v>
          </cell>
          <cell r="J227">
            <v>23708.99</v>
          </cell>
        </row>
        <row r="228">
          <cell r="A228" t="str">
            <v>6219789729</v>
          </cell>
          <cell r="B228">
            <v>62197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6219789786</v>
          </cell>
          <cell r="B229">
            <v>62197</v>
          </cell>
          <cell r="C229">
            <v>89786</v>
          </cell>
          <cell r="D229" t="str">
            <v>Property Tax Exp</v>
          </cell>
          <cell r="E229">
            <v>127757.92</v>
          </cell>
          <cell r="F229">
            <v>121568.68</v>
          </cell>
          <cell r="G229">
            <v>6189.2400000000098</v>
          </cell>
          <cell r="H229">
            <v>191638.68</v>
          </cell>
          <cell r="I229">
            <v>182352.5</v>
          </cell>
          <cell r="J229">
            <v>-9286.1799999999894</v>
          </cell>
        </row>
        <row r="230">
          <cell r="A230" t="str">
            <v>6219771040</v>
          </cell>
          <cell r="B230">
            <v>62197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6219772701</v>
          </cell>
          <cell r="B231">
            <v>62197</v>
          </cell>
          <cell r="C231">
            <v>72701</v>
          </cell>
          <cell r="D231" t="str">
            <v>Utilities</v>
          </cell>
          <cell r="E231">
            <v>1574.53</v>
          </cell>
          <cell r="F231">
            <v>1909.23</v>
          </cell>
          <cell r="G231">
            <v>-334.7</v>
          </cell>
          <cell r="H231">
            <v>1902.92</v>
          </cell>
          <cell r="I231">
            <v>2552.92</v>
          </cell>
          <cell r="J231">
            <v>650</v>
          </cell>
        </row>
        <row r="232">
          <cell r="A232" t="str">
            <v>6219772855</v>
          </cell>
          <cell r="B232">
            <v>62197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6219772870</v>
          </cell>
          <cell r="B233">
            <v>62197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6219776010</v>
          </cell>
          <cell r="B234">
            <v>62197</v>
          </cell>
          <cell r="C234">
            <v>76010</v>
          </cell>
          <cell r="D234" t="str">
            <v>Tenant Alterations</v>
          </cell>
          <cell r="E234">
            <v>128.28</v>
          </cell>
          <cell r="F234">
            <v>1938</v>
          </cell>
          <cell r="G234">
            <v>-1809.72</v>
          </cell>
          <cell r="H234">
            <v>2305.14</v>
          </cell>
          <cell r="I234">
            <v>1938</v>
          </cell>
          <cell r="J234">
            <v>-367.14</v>
          </cell>
        </row>
        <row r="235">
          <cell r="A235" t="str">
            <v>6219776040</v>
          </cell>
          <cell r="B235">
            <v>62197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6219776051</v>
          </cell>
          <cell r="B236">
            <v>62197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6219776054</v>
          </cell>
          <cell r="B237">
            <v>62197</v>
          </cell>
          <cell r="C237">
            <v>76054</v>
          </cell>
          <cell r="D237" t="str">
            <v>Bldg Maintenance &amp; Repair</v>
          </cell>
          <cell r="E237">
            <v>2552.89</v>
          </cell>
          <cell r="F237">
            <v>4001.82</v>
          </cell>
          <cell r="G237">
            <v>-1448.93</v>
          </cell>
          <cell r="H237">
            <v>84535.23</v>
          </cell>
          <cell r="I237">
            <v>16972.23</v>
          </cell>
          <cell r="J237">
            <v>-67563</v>
          </cell>
        </row>
        <row r="238">
          <cell r="A238" t="str">
            <v>6219776060</v>
          </cell>
          <cell r="B238">
            <v>62197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6219776071</v>
          </cell>
          <cell r="B239">
            <v>62197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6219776090</v>
          </cell>
          <cell r="B240">
            <v>62197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6219777001</v>
          </cell>
          <cell r="B241">
            <v>62197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6219777022</v>
          </cell>
          <cell r="B242">
            <v>62197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6219784200</v>
          </cell>
          <cell r="B243">
            <v>62197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6219784240</v>
          </cell>
          <cell r="B244">
            <v>62197</v>
          </cell>
          <cell r="C244">
            <v>84240</v>
          </cell>
          <cell r="D244" t="str">
            <v>Marketing Leasing</v>
          </cell>
          <cell r="E244">
            <v>10702.59</v>
          </cell>
          <cell r="F244">
            <v>12075.95</v>
          </cell>
          <cell r="G244">
            <v>-1373.36</v>
          </cell>
          <cell r="H244">
            <v>27789.18</v>
          </cell>
          <cell r="I244">
            <v>17468.84</v>
          </cell>
          <cell r="J244">
            <v>-10320.34</v>
          </cell>
        </row>
        <row r="245">
          <cell r="A245" t="str">
            <v>6219784242</v>
          </cell>
          <cell r="B245">
            <v>62197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6219784243</v>
          </cell>
          <cell r="B246">
            <v>62197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-24587.84</v>
          </cell>
          <cell r="I246">
            <v>-25201.52</v>
          </cell>
          <cell r="J246">
            <v>-613.67999999999995</v>
          </cell>
        </row>
        <row r="247">
          <cell r="A247" t="str">
            <v>6219784244</v>
          </cell>
          <cell r="B247">
            <v>62197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21440</v>
          </cell>
          <cell r="G247">
            <v>-21440</v>
          </cell>
          <cell r="H247">
            <v>0</v>
          </cell>
          <cell r="I247">
            <v>20161.22</v>
          </cell>
          <cell r="J247">
            <v>20161.22</v>
          </cell>
        </row>
        <row r="248">
          <cell r="A248" t="str">
            <v>6219784265</v>
          </cell>
          <cell r="B248">
            <v>62197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6219788037</v>
          </cell>
          <cell r="B249">
            <v>62197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6219785016</v>
          </cell>
          <cell r="B250">
            <v>62197</v>
          </cell>
          <cell r="C250">
            <v>85016</v>
          </cell>
          <cell r="D250" t="str">
            <v>Prof Svc-Attorney Outside</v>
          </cell>
          <cell r="E250">
            <v>5991.19</v>
          </cell>
          <cell r="F250">
            <v>1306.43</v>
          </cell>
          <cell r="G250">
            <v>4684.76</v>
          </cell>
          <cell r="H250">
            <v>11547.84</v>
          </cell>
          <cell r="I250">
            <v>9850.43</v>
          </cell>
          <cell r="J250">
            <v>-1697.41</v>
          </cell>
        </row>
        <row r="251">
          <cell r="A251" t="str">
            <v>6219785022</v>
          </cell>
          <cell r="B251">
            <v>62197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1211.8499999999999</v>
          </cell>
          <cell r="G251">
            <v>-1211.8499999999999</v>
          </cell>
          <cell r="H251">
            <v>6563.01</v>
          </cell>
          <cell r="I251">
            <v>4034.43</v>
          </cell>
          <cell r="J251">
            <v>-2528.58</v>
          </cell>
        </row>
        <row r="252">
          <cell r="A252" t="str">
            <v>6219785065</v>
          </cell>
          <cell r="B252">
            <v>62197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6219785500</v>
          </cell>
          <cell r="B253">
            <v>62197</v>
          </cell>
          <cell r="C253">
            <v>85500</v>
          </cell>
          <cell r="D253" t="str">
            <v>Consulting Services</v>
          </cell>
          <cell r="E253">
            <v>150</v>
          </cell>
          <cell r="F253">
            <v>8000.02</v>
          </cell>
          <cell r="G253">
            <v>-7850.02</v>
          </cell>
          <cell r="H253">
            <v>2270.37</v>
          </cell>
          <cell r="I253">
            <v>9653.49</v>
          </cell>
          <cell r="J253">
            <v>7383.12</v>
          </cell>
        </row>
        <row r="254">
          <cell r="A254" t="str">
            <v>6219785566</v>
          </cell>
          <cell r="B254">
            <v>62197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69769.279999999999</v>
          </cell>
          <cell r="G254">
            <v>-69769.279999999999</v>
          </cell>
          <cell r="H254">
            <v>0</v>
          </cell>
          <cell r="I254">
            <v>104514.51</v>
          </cell>
          <cell r="J254">
            <v>104514.51</v>
          </cell>
        </row>
        <row r="255">
          <cell r="A255" t="str">
            <v>6219785581</v>
          </cell>
          <cell r="B255">
            <v>62197</v>
          </cell>
          <cell r="C255">
            <v>85581</v>
          </cell>
          <cell r="D255" t="str">
            <v>Bldg Admin- Salaries</v>
          </cell>
          <cell r="E255">
            <v>59402.63</v>
          </cell>
          <cell r="F255">
            <v>17798.990000000002</v>
          </cell>
          <cell r="G255">
            <v>41603.64</v>
          </cell>
          <cell r="H255">
            <v>106895</v>
          </cell>
          <cell r="I255">
            <v>25858.44</v>
          </cell>
          <cell r="J255">
            <v>-81036.56</v>
          </cell>
        </row>
        <row r="256">
          <cell r="A256" t="str">
            <v>6219785583</v>
          </cell>
          <cell r="B256">
            <v>62197</v>
          </cell>
          <cell r="C256">
            <v>85583</v>
          </cell>
          <cell r="D256" t="str">
            <v>Bldg Admin-Office Exp.</v>
          </cell>
          <cell r="E256">
            <v>9112.32</v>
          </cell>
          <cell r="F256">
            <v>0</v>
          </cell>
          <cell r="G256">
            <v>9112.32</v>
          </cell>
          <cell r="H256">
            <v>37015</v>
          </cell>
          <cell r="I256">
            <v>0</v>
          </cell>
          <cell r="J256">
            <v>-37015</v>
          </cell>
        </row>
        <row r="257">
          <cell r="A257" t="str">
            <v>6219785530</v>
          </cell>
          <cell r="B257">
            <v>62197</v>
          </cell>
          <cell r="C257">
            <v>85530</v>
          </cell>
          <cell r="D257" t="str">
            <v>Bldg Admin - Office Exp</v>
          </cell>
          <cell r="E257">
            <v>9112.32</v>
          </cell>
          <cell r="F257">
            <v>0</v>
          </cell>
          <cell r="G257">
            <v>9112.32</v>
          </cell>
          <cell r="H257">
            <v>37015</v>
          </cell>
          <cell r="I257">
            <v>0</v>
          </cell>
          <cell r="J257">
            <v>-37015</v>
          </cell>
        </row>
        <row r="258">
          <cell r="A258" t="str">
            <v>6219786012</v>
          </cell>
          <cell r="B258">
            <v>62197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6219786037</v>
          </cell>
          <cell r="B259">
            <v>62197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6219783050</v>
          </cell>
          <cell r="B260">
            <v>62197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6219786510</v>
          </cell>
          <cell r="B261">
            <v>62197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6219786537</v>
          </cell>
          <cell r="B262">
            <v>62197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6219786566</v>
          </cell>
          <cell r="B263">
            <v>62197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6219786955</v>
          </cell>
          <cell r="B264">
            <v>62197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6219786985</v>
          </cell>
          <cell r="B265">
            <v>62197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6219786880</v>
          </cell>
          <cell r="B266">
            <v>62197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6219788710</v>
          </cell>
          <cell r="B267">
            <v>62197</v>
          </cell>
          <cell r="C267">
            <v>88710</v>
          </cell>
          <cell r="D267" t="str">
            <v>Losses-Bad Debts</v>
          </cell>
          <cell r="E267">
            <v>-30445.599999999999</v>
          </cell>
          <cell r="F267">
            <v>-12909.94</v>
          </cell>
          <cell r="G267">
            <v>-17535.66</v>
          </cell>
          <cell r="H267">
            <v>67565.039999999994</v>
          </cell>
          <cell r="I267">
            <v>-22970.77</v>
          </cell>
          <cell r="J267">
            <v>-90535.81</v>
          </cell>
        </row>
        <row r="268">
          <cell r="A268" t="str">
            <v>6219788711</v>
          </cell>
          <cell r="B268">
            <v>62197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6219788785</v>
          </cell>
          <cell r="B269">
            <v>62197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6219788847</v>
          </cell>
          <cell r="B270">
            <v>62197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6219788866</v>
          </cell>
          <cell r="B271">
            <v>62197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6219788870</v>
          </cell>
          <cell r="B272">
            <v>62197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6219788889</v>
          </cell>
          <cell r="B273">
            <v>62197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6219789776</v>
          </cell>
          <cell r="B274">
            <v>62197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6219789787</v>
          </cell>
          <cell r="B275">
            <v>62197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6219789510</v>
          </cell>
          <cell r="B276">
            <v>62197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691046</v>
          </cell>
          <cell r="I276">
            <v>0</v>
          </cell>
          <cell r="J276">
            <v>-691046</v>
          </cell>
        </row>
        <row r="277">
          <cell r="A277" t="str">
            <v>6219789511</v>
          </cell>
          <cell r="B277">
            <v>62197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6219789512</v>
          </cell>
          <cell r="B278">
            <v>62197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6219789528</v>
          </cell>
          <cell r="B279">
            <v>62197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6219789529</v>
          </cell>
          <cell r="B280">
            <v>62197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16338</v>
          </cell>
          <cell r="I280">
            <v>0</v>
          </cell>
          <cell r="J280">
            <v>-16338</v>
          </cell>
        </row>
        <row r="281">
          <cell r="A281" t="str">
            <v>6219789567</v>
          </cell>
          <cell r="B281">
            <v>62197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6219785058</v>
          </cell>
          <cell r="B282">
            <v>62197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6219786513</v>
          </cell>
          <cell r="B283">
            <v>62197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0</v>
          </cell>
          <cell r="G283">
            <v>0</v>
          </cell>
          <cell r="H283">
            <v>55558.03</v>
          </cell>
          <cell r="I283">
            <v>0</v>
          </cell>
          <cell r="J283">
            <v>-55558.03</v>
          </cell>
        </row>
        <row r="284">
          <cell r="A284" t="str">
            <v>6219786519</v>
          </cell>
          <cell r="B284">
            <v>62197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6219788770</v>
          </cell>
          <cell r="B285">
            <v>62197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6219788862</v>
          </cell>
          <cell r="B286">
            <v>62197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6219788874</v>
          </cell>
          <cell r="B287">
            <v>62197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6219789910</v>
          </cell>
          <cell r="B288">
            <v>62197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0</v>
          </cell>
          <cell r="G288">
            <v>0</v>
          </cell>
          <cell r="H288">
            <v>398244.7</v>
          </cell>
          <cell r="I288">
            <v>0</v>
          </cell>
          <cell r="J288">
            <v>-398244.7</v>
          </cell>
        </row>
        <row r="289">
          <cell r="A289" t="str">
            <v>6219789548</v>
          </cell>
          <cell r="B289">
            <v>62197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-2349747.16</v>
          </cell>
          <cell r="F292">
            <v>-2386400.2000000002</v>
          </cell>
          <cell r="G292">
            <v>36653.040000000001</v>
          </cell>
          <cell r="H292">
            <v>-3577914.67</v>
          </cell>
          <cell r="I292">
            <v>-3541779.01</v>
          </cell>
          <cell r="J292">
            <v>36135.660000000098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-843070.95</v>
          </cell>
          <cell r="F293">
            <v>-655658.4</v>
          </cell>
          <cell r="G293">
            <v>-187412.55</v>
          </cell>
          <cell r="H293">
            <v>-800083</v>
          </cell>
          <cell r="I293">
            <v>-692785.21</v>
          </cell>
          <cell r="J293">
            <v>107297.79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-782776.64</v>
          </cell>
          <cell r="F294">
            <v>-680495.49</v>
          </cell>
          <cell r="G294">
            <v>-102281.15</v>
          </cell>
          <cell r="H294">
            <v>-1117745.22</v>
          </cell>
          <cell r="I294">
            <v>-1079394.52</v>
          </cell>
          <cell r="J294">
            <v>38350.699999999997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-39831.21</v>
          </cell>
          <cell r="F299">
            <v>-1508.27</v>
          </cell>
          <cell r="G299">
            <v>-38322.94</v>
          </cell>
          <cell r="H299">
            <v>-65609.72</v>
          </cell>
          <cell r="I299">
            <v>-1626.8</v>
          </cell>
          <cell r="J299">
            <v>63982.92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0</v>
          </cell>
          <cell r="G300">
            <v>0</v>
          </cell>
          <cell r="H300">
            <v>27439.5</v>
          </cell>
          <cell r="I300">
            <v>0</v>
          </cell>
          <cell r="J300">
            <v>-27439.5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-773.76</v>
          </cell>
          <cell r="F301">
            <v>0</v>
          </cell>
          <cell r="G301">
            <v>-773.76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18409.900000000001</v>
          </cell>
          <cell r="F303">
            <v>18907.990000000002</v>
          </cell>
          <cell r="G303">
            <v>-498.09</v>
          </cell>
          <cell r="H303">
            <v>28349.55</v>
          </cell>
          <cell r="I303">
            <v>25532.46</v>
          </cell>
          <cell r="J303">
            <v>-2817.09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24672.53</v>
          </cell>
          <cell r="F305">
            <v>25999.88</v>
          </cell>
          <cell r="G305">
            <v>-1327.35</v>
          </cell>
          <cell r="H305">
            <v>37959.589999999997</v>
          </cell>
          <cell r="I305">
            <v>39646.33</v>
          </cell>
          <cell r="J305">
            <v>1686.74000000001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24377.14</v>
          </cell>
          <cell r="F306">
            <v>24252.400000000001</v>
          </cell>
          <cell r="G306">
            <v>124.73999999999801</v>
          </cell>
          <cell r="H306">
            <v>48195.41</v>
          </cell>
          <cell r="I306">
            <v>44642</v>
          </cell>
          <cell r="J306">
            <v>-3553.41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44695</v>
          </cell>
          <cell r="F309">
            <v>43412.959999999999</v>
          </cell>
          <cell r="G309">
            <v>1282.04</v>
          </cell>
          <cell r="H309">
            <v>68062.759999999995</v>
          </cell>
          <cell r="I309">
            <v>64964.44</v>
          </cell>
          <cell r="J309">
            <v>-3098.3199999999902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34213</v>
          </cell>
          <cell r="F312">
            <v>32934.839999999997</v>
          </cell>
          <cell r="G312">
            <v>1278.1600000000001</v>
          </cell>
          <cell r="H312">
            <v>55807.15</v>
          </cell>
          <cell r="I312">
            <v>56913.47</v>
          </cell>
          <cell r="J312">
            <v>1106.32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42031.61</v>
          </cell>
          <cell r="F313">
            <v>24709.94</v>
          </cell>
          <cell r="G313">
            <v>17321.669999999998</v>
          </cell>
          <cell r="H313">
            <v>65696.820000000007</v>
          </cell>
          <cell r="I313">
            <v>34628.29</v>
          </cell>
          <cell r="J313">
            <v>-31068.53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41986.05</v>
          </cell>
          <cell r="F314">
            <v>39268.379999999997</v>
          </cell>
          <cell r="G314">
            <v>2717.6700000000101</v>
          </cell>
          <cell r="H314">
            <v>74286.63</v>
          </cell>
          <cell r="I314">
            <v>90966.83</v>
          </cell>
          <cell r="J314">
            <v>16680.2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29444.66</v>
          </cell>
          <cell r="F315">
            <v>0</v>
          </cell>
          <cell r="G315">
            <v>29444.66</v>
          </cell>
          <cell r="H315">
            <v>44167</v>
          </cell>
          <cell r="I315">
            <v>0</v>
          </cell>
          <cell r="J315">
            <v>-44167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5166.3100000000004</v>
          </cell>
          <cell r="F318">
            <v>10461.07</v>
          </cell>
          <cell r="G318">
            <v>-5294.76</v>
          </cell>
          <cell r="H318">
            <v>8134</v>
          </cell>
          <cell r="I318">
            <v>15699.1</v>
          </cell>
          <cell r="J318">
            <v>7565.1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30799.24</v>
          </cell>
          <cell r="F319">
            <v>39210.720000000001</v>
          </cell>
          <cell r="G319">
            <v>-8411.48</v>
          </cell>
          <cell r="H319">
            <v>51962</v>
          </cell>
          <cell r="I319">
            <v>60843.49</v>
          </cell>
          <cell r="J319">
            <v>8881.49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33680</v>
          </cell>
          <cell r="F320">
            <v>32232</v>
          </cell>
          <cell r="G320">
            <v>1448</v>
          </cell>
          <cell r="H320">
            <v>54912</v>
          </cell>
          <cell r="I320">
            <v>48344</v>
          </cell>
          <cell r="J320">
            <v>-6568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104511.71</v>
          </cell>
          <cell r="F322">
            <v>33417.760000000002</v>
          </cell>
          <cell r="G322">
            <v>71093.95</v>
          </cell>
          <cell r="H322">
            <v>59999.91</v>
          </cell>
          <cell r="I322">
            <v>53886.31</v>
          </cell>
          <cell r="J322">
            <v>-6113.6000000000104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98394</v>
          </cell>
          <cell r="F323">
            <v>111124.66</v>
          </cell>
          <cell r="G323">
            <v>-12730.66</v>
          </cell>
          <cell r="H323">
            <v>147589.32</v>
          </cell>
          <cell r="I323">
            <v>166686.56</v>
          </cell>
          <cell r="J323">
            <v>19097.240000000002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197911.92</v>
          </cell>
          <cell r="F325">
            <v>191816</v>
          </cell>
          <cell r="G325">
            <v>6095.9200000000101</v>
          </cell>
          <cell r="H325">
            <v>296868.64</v>
          </cell>
          <cell r="I325">
            <v>287754.53999999998</v>
          </cell>
          <cell r="J325">
            <v>-9114.1000000000295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226.9</v>
          </cell>
          <cell r="F327">
            <v>57.99</v>
          </cell>
          <cell r="G327">
            <v>168.91</v>
          </cell>
          <cell r="H327">
            <v>286.63</v>
          </cell>
          <cell r="I327">
            <v>143.29</v>
          </cell>
          <cell r="J327">
            <v>-143.34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5308.5</v>
          </cell>
          <cell r="F330">
            <v>0</v>
          </cell>
          <cell r="G330">
            <v>5308.5</v>
          </cell>
          <cell r="H330">
            <v>3969.31</v>
          </cell>
          <cell r="I330">
            <v>0</v>
          </cell>
          <cell r="J330">
            <v>-3969.31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1085.81</v>
          </cell>
          <cell r="F333">
            <v>103.83</v>
          </cell>
          <cell r="G333">
            <v>981.98</v>
          </cell>
          <cell r="H333">
            <v>22052.95</v>
          </cell>
          <cell r="I333">
            <v>-11087.87</v>
          </cell>
          <cell r="J333">
            <v>-33140.82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7404.09</v>
          </cell>
          <cell r="F340">
            <v>9134.39</v>
          </cell>
          <cell r="G340">
            <v>-1730.3</v>
          </cell>
          <cell r="H340">
            <v>29175.38</v>
          </cell>
          <cell r="I340">
            <v>16720.12</v>
          </cell>
          <cell r="J340">
            <v>-12455.26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-39001.57</v>
          </cell>
          <cell r="J342">
            <v>-5055.57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30570</v>
          </cell>
          <cell r="G343">
            <v>-30570</v>
          </cell>
          <cell r="H343">
            <v>0</v>
          </cell>
          <cell r="I343">
            <v>31201.26</v>
          </cell>
          <cell r="J343">
            <v>31201.26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14781.72</v>
          </cell>
          <cell r="F346">
            <v>-3147.42</v>
          </cell>
          <cell r="G346">
            <v>17929.14</v>
          </cell>
          <cell r="H346">
            <v>17264.939999999999</v>
          </cell>
          <cell r="I346">
            <v>28305.97</v>
          </cell>
          <cell r="J346">
            <v>11041.03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-675</v>
          </cell>
          <cell r="F347">
            <v>199.35</v>
          </cell>
          <cell r="G347">
            <v>-874.35</v>
          </cell>
          <cell r="H347">
            <v>5089.83</v>
          </cell>
          <cell r="I347">
            <v>4446.93</v>
          </cell>
          <cell r="J347">
            <v>-642.9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51.29</v>
          </cell>
          <cell r="J349">
            <v>-154.71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51514.559999999998</v>
          </cell>
          <cell r="G350">
            <v>-51514.559999999998</v>
          </cell>
          <cell r="H350">
            <v>0</v>
          </cell>
          <cell r="I350">
            <v>77168.91</v>
          </cell>
          <cell r="J350">
            <v>77168.91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15309.34</v>
          </cell>
          <cell r="F351">
            <v>5770.68</v>
          </cell>
          <cell r="G351">
            <v>9538.66</v>
          </cell>
          <cell r="H351">
            <v>34962</v>
          </cell>
          <cell r="I351">
            <v>8373.0300000000007</v>
          </cell>
          <cell r="J351">
            <v>-26588.97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3147.49</v>
          </cell>
          <cell r="F352">
            <v>0</v>
          </cell>
          <cell r="G352">
            <v>3147.49</v>
          </cell>
          <cell r="H352">
            <v>12106</v>
          </cell>
          <cell r="I352">
            <v>0</v>
          </cell>
          <cell r="J352">
            <v>-12106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3147.49</v>
          </cell>
          <cell r="F353">
            <v>0</v>
          </cell>
          <cell r="G353">
            <v>3147.49</v>
          </cell>
          <cell r="H353">
            <v>12106</v>
          </cell>
          <cell r="I353">
            <v>0</v>
          </cell>
          <cell r="J353">
            <v>-12106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-6836.61</v>
          </cell>
          <cell r="F363">
            <v>42757.89</v>
          </cell>
          <cell r="G363">
            <v>-49594.5</v>
          </cell>
          <cell r="H363">
            <v>43958.22</v>
          </cell>
          <cell r="I363">
            <v>36893.949999999997</v>
          </cell>
          <cell r="J363">
            <v>-7064.27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91868</v>
          </cell>
          <cell r="I372">
            <v>0</v>
          </cell>
          <cell r="J372">
            <v>-91868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1425.66</v>
          </cell>
          <cell r="I379">
            <v>0</v>
          </cell>
          <cell r="J379">
            <v>-1425.66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0</v>
          </cell>
          <cell r="G384">
            <v>0</v>
          </cell>
          <cell r="H384">
            <v>627787.06999999995</v>
          </cell>
          <cell r="I384">
            <v>0</v>
          </cell>
          <cell r="J384">
            <v>-627787.06999999995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6226041010</v>
          </cell>
          <cell r="B386">
            <v>62260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6226041040</v>
          </cell>
          <cell r="B387">
            <v>62260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6226041050</v>
          </cell>
          <cell r="B388">
            <v>62260</v>
          </cell>
          <cell r="C388">
            <v>41050</v>
          </cell>
          <cell r="D388" t="str">
            <v>Rental Income - Fixed</v>
          </cell>
          <cell r="E388">
            <v>-1817853.2</v>
          </cell>
          <cell r="F388">
            <v>-1758273.68</v>
          </cell>
          <cell r="G388">
            <v>-59579.519999999997</v>
          </cell>
          <cell r="H388">
            <v>-2724011.68</v>
          </cell>
          <cell r="I388">
            <v>-2643475.7400000002</v>
          </cell>
          <cell r="J388">
            <v>80535.9399999999</v>
          </cell>
        </row>
        <row r="389">
          <cell r="A389" t="str">
            <v>6226041074</v>
          </cell>
          <cell r="B389">
            <v>62260</v>
          </cell>
          <cell r="C389">
            <v>41074</v>
          </cell>
          <cell r="D389" t="str">
            <v>Rental Income - Percentage</v>
          </cell>
          <cell r="E389">
            <v>-1157.45</v>
          </cell>
          <cell r="F389">
            <v>-22</v>
          </cell>
          <cell r="G389">
            <v>-1135.45</v>
          </cell>
          <cell r="H389">
            <v>-2570</v>
          </cell>
          <cell r="I389">
            <v>-21.96</v>
          </cell>
          <cell r="J389">
            <v>2548.04</v>
          </cell>
        </row>
        <row r="390">
          <cell r="A390" t="str">
            <v>6226041082</v>
          </cell>
          <cell r="B390">
            <v>62260</v>
          </cell>
          <cell r="C390">
            <v>41082</v>
          </cell>
          <cell r="D390" t="str">
            <v>Rental Income - Operating Exp</v>
          </cell>
          <cell r="E390">
            <v>-462405.67</v>
          </cell>
          <cell r="F390">
            <v>-439490.81</v>
          </cell>
          <cell r="G390">
            <v>-22914.86</v>
          </cell>
          <cell r="H390">
            <v>-733502.29</v>
          </cell>
          <cell r="I390">
            <v>-738445.82</v>
          </cell>
          <cell r="J390">
            <v>-4943.5299999999097</v>
          </cell>
        </row>
        <row r="391">
          <cell r="A391" t="str">
            <v>6226044610</v>
          </cell>
          <cell r="B391">
            <v>62260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6226045071</v>
          </cell>
          <cell r="B392">
            <v>62260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6226045010</v>
          </cell>
          <cell r="B393">
            <v>62260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6226045046</v>
          </cell>
          <cell r="B394">
            <v>62260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6226045070</v>
          </cell>
          <cell r="B395">
            <v>62260</v>
          </cell>
          <cell r="C395">
            <v>45070</v>
          </cell>
          <cell r="D395" t="str">
            <v>Other Income</v>
          </cell>
          <cell r="E395">
            <v>1623.96</v>
          </cell>
          <cell r="F395">
            <v>0.3</v>
          </cell>
          <cell r="G395">
            <v>1623.66</v>
          </cell>
          <cell r="H395">
            <v>1986</v>
          </cell>
          <cell r="I395">
            <v>0.3</v>
          </cell>
          <cell r="J395">
            <v>-1985.7</v>
          </cell>
        </row>
        <row r="396">
          <cell r="A396" t="str">
            <v>6226041060</v>
          </cell>
          <cell r="B396">
            <v>62260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0</v>
          </cell>
          <cell r="G396">
            <v>0</v>
          </cell>
          <cell r="H396">
            <v>17403.52</v>
          </cell>
          <cell r="I396">
            <v>0</v>
          </cell>
          <cell r="J396">
            <v>-17403.52</v>
          </cell>
        </row>
        <row r="397">
          <cell r="A397" t="str">
            <v>6226044870</v>
          </cell>
          <cell r="B397">
            <v>62260</v>
          </cell>
          <cell r="C397">
            <v>44870</v>
          </cell>
          <cell r="D397" t="str">
            <v>Late Fees</v>
          </cell>
          <cell r="E397">
            <v>-57.47</v>
          </cell>
          <cell r="F397">
            <v>-1200</v>
          </cell>
          <cell r="G397">
            <v>1142.53</v>
          </cell>
          <cell r="H397">
            <v>0</v>
          </cell>
          <cell r="I397">
            <v>-2575</v>
          </cell>
          <cell r="J397">
            <v>-2575</v>
          </cell>
        </row>
        <row r="398">
          <cell r="A398" t="str">
            <v>6226052542</v>
          </cell>
          <cell r="B398">
            <v>62260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6226072710</v>
          </cell>
          <cell r="B399">
            <v>62260</v>
          </cell>
          <cell r="C399">
            <v>72710</v>
          </cell>
          <cell r="D399" t="str">
            <v>Utilities - Electricity</v>
          </cell>
          <cell r="E399">
            <v>15499.73</v>
          </cell>
          <cell r="F399">
            <v>15682.32</v>
          </cell>
          <cell r="G399">
            <v>-182.59</v>
          </cell>
          <cell r="H399">
            <v>24497.09</v>
          </cell>
          <cell r="I399">
            <v>21207.82</v>
          </cell>
          <cell r="J399">
            <v>-3289.27</v>
          </cell>
        </row>
        <row r="400">
          <cell r="A400" t="str">
            <v>6226072740</v>
          </cell>
          <cell r="B400">
            <v>62260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6226072770</v>
          </cell>
          <cell r="B401">
            <v>62260</v>
          </cell>
          <cell r="C401">
            <v>72770</v>
          </cell>
          <cell r="D401" t="str">
            <v>Utilities - Water</v>
          </cell>
          <cell r="E401">
            <v>9668.84</v>
          </cell>
          <cell r="F401">
            <v>9196.6299999999992</v>
          </cell>
          <cell r="G401">
            <v>472.210000000001</v>
          </cell>
          <cell r="H401">
            <v>16360.28</v>
          </cell>
          <cell r="I401">
            <v>15215.92</v>
          </cell>
          <cell r="J401">
            <v>-1144.3599999999999</v>
          </cell>
        </row>
        <row r="402">
          <cell r="A402" t="str">
            <v>6226076000</v>
          </cell>
          <cell r="B402">
            <v>62260</v>
          </cell>
          <cell r="C402">
            <v>76000</v>
          </cell>
          <cell r="D402" t="str">
            <v>Bldg Maintenance &amp; Repair</v>
          </cell>
          <cell r="E402">
            <v>30059.11</v>
          </cell>
          <cell r="F402">
            <v>24114.19</v>
          </cell>
          <cell r="G402">
            <v>5944.92</v>
          </cell>
          <cell r="H402">
            <v>54201.919999999998</v>
          </cell>
          <cell r="I402">
            <v>49338.36</v>
          </cell>
          <cell r="J402">
            <v>-4863.5600000000004</v>
          </cell>
        </row>
        <row r="403">
          <cell r="A403" t="str">
            <v>6226076020</v>
          </cell>
          <cell r="B403">
            <v>62260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6226076034</v>
          </cell>
          <cell r="B404">
            <v>62260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6226076050</v>
          </cell>
          <cell r="B405">
            <v>62260</v>
          </cell>
          <cell r="C405">
            <v>76050</v>
          </cell>
          <cell r="D405" t="str">
            <v>Cleaning Expense</v>
          </cell>
          <cell r="E405">
            <v>64697.53</v>
          </cell>
          <cell r="F405">
            <v>64043.02</v>
          </cell>
          <cell r="G405">
            <v>654.51000000000204</v>
          </cell>
          <cell r="H405">
            <v>97779.27</v>
          </cell>
          <cell r="I405">
            <v>96224.94</v>
          </cell>
          <cell r="J405">
            <v>-1554.33</v>
          </cell>
        </row>
        <row r="406">
          <cell r="A406" t="str">
            <v>6226076056</v>
          </cell>
          <cell r="B406">
            <v>62260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6226076070</v>
          </cell>
          <cell r="B407">
            <v>62260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6226076091</v>
          </cell>
          <cell r="B408">
            <v>62260</v>
          </cell>
          <cell r="C408">
            <v>76091</v>
          </cell>
          <cell r="D408" t="str">
            <v>Parking Maintenance</v>
          </cell>
          <cell r="E408">
            <v>34128.6</v>
          </cell>
          <cell r="F408">
            <v>32278.9</v>
          </cell>
          <cell r="G408">
            <v>1849.7</v>
          </cell>
          <cell r="H408">
            <v>58308.52</v>
          </cell>
          <cell r="I408">
            <v>48079.6</v>
          </cell>
          <cell r="J408">
            <v>-10228.92</v>
          </cell>
        </row>
        <row r="409">
          <cell r="A409" t="str">
            <v>6226077000</v>
          </cell>
          <cell r="B409">
            <v>62260</v>
          </cell>
          <cell r="C409">
            <v>77000</v>
          </cell>
          <cell r="D409" t="str">
            <v>Grounds Maintenance</v>
          </cell>
          <cell r="E409">
            <v>28708.09</v>
          </cell>
          <cell r="F409">
            <v>36448.19</v>
          </cell>
          <cell r="G409">
            <v>-7740.1</v>
          </cell>
          <cell r="H409">
            <v>56016.59</v>
          </cell>
          <cell r="I409">
            <v>45077.94</v>
          </cell>
          <cell r="J409">
            <v>-10938.65</v>
          </cell>
        </row>
        <row r="410">
          <cell r="A410" t="str">
            <v>6226077053</v>
          </cell>
          <cell r="B410">
            <v>62260</v>
          </cell>
          <cell r="C410">
            <v>77053</v>
          </cell>
          <cell r="D410" t="str">
            <v>Landscaping</v>
          </cell>
          <cell r="E410">
            <v>38146.5</v>
          </cell>
          <cell r="F410">
            <v>40323.81</v>
          </cell>
          <cell r="G410">
            <v>-2177.31</v>
          </cell>
          <cell r="H410">
            <v>56886.95</v>
          </cell>
          <cell r="I410">
            <v>54703.81</v>
          </cell>
          <cell r="J410">
            <v>-2183.14</v>
          </cell>
        </row>
        <row r="411">
          <cell r="A411" t="str">
            <v>6226078020</v>
          </cell>
          <cell r="B411">
            <v>62260</v>
          </cell>
          <cell r="C411">
            <v>78020</v>
          </cell>
          <cell r="D411" t="str">
            <v>Amortized CAM Exp</v>
          </cell>
          <cell r="E411">
            <v>33610.879999999997</v>
          </cell>
          <cell r="F411">
            <v>12500</v>
          </cell>
          <cell r="G411">
            <v>21110.880000000001</v>
          </cell>
          <cell r="H411">
            <v>50421.32</v>
          </cell>
          <cell r="I411">
            <v>56250</v>
          </cell>
          <cell r="J411">
            <v>5828.68</v>
          </cell>
        </row>
        <row r="412">
          <cell r="A412" t="str">
            <v>6226084264</v>
          </cell>
          <cell r="B412">
            <v>62260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6226085555</v>
          </cell>
          <cell r="B413">
            <v>62260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6226085584</v>
          </cell>
          <cell r="B414">
            <v>62260</v>
          </cell>
          <cell r="C414">
            <v>85584</v>
          </cell>
          <cell r="D414" t="str">
            <v>Bldg Admin-Office Costs</v>
          </cell>
          <cell r="E414">
            <v>4778.3599999999997</v>
          </cell>
          <cell r="F414">
            <v>9844.06</v>
          </cell>
          <cell r="G414">
            <v>-5065.7</v>
          </cell>
          <cell r="H414">
            <v>7435</v>
          </cell>
          <cell r="I414">
            <v>14773.19</v>
          </cell>
          <cell r="J414">
            <v>7338.19</v>
          </cell>
        </row>
        <row r="415">
          <cell r="A415" t="str">
            <v>6226085582</v>
          </cell>
          <cell r="B415">
            <v>62260</v>
          </cell>
          <cell r="C415">
            <v>85582</v>
          </cell>
          <cell r="D415" t="str">
            <v>Bldg Admin-Salaries</v>
          </cell>
          <cell r="E415">
            <v>27493.09</v>
          </cell>
          <cell r="F415">
            <v>39345.78</v>
          </cell>
          <cell r="G415">
            <v>-11852.69</v>
          </cell>
          <cell r="H415">
            <v>47494</v>
          </cell>
          <cell r="I415">
            <v>64543.37</v>
          </cell>
          <cell r="J415">
            <v>17049.37</v>
          </cell>
        </row>
        <row r="416">
          <cell r="A416" t="str">
            <v>6226086564</v>
          </cell>
          <cell r="B416">
            <v>62260</v>
          </cell>
          <cell r="C416">
            <v>86564</v>
          </cell>
          <cell r="D416" t="str">
            <v>Insurance</v>
          </cell>
          <cell r="E416">
            <v>26024</v>
          </cell>
          <cell r="F416">
            <v>26256</v>
          </cell>
          <cell r="G416">
            <v>-232</v>
          </cell>
          <cell r="H416">
            <v>42744</v>
          </cell>
          <cell r="I416">
            <v>39382</v>
          </cell>
          <cell r="J416">
            <v>-3362</v>
          </cell>
        </row>
        <row r="417">
          <cell r="A417" t="str">
            <v>6226088846</v>
          </cell>
          <cell r="B417">
            <v>62260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6226088890</v>
          </cell>
          <cell r="B418">
            <v>62260</v>
          </cell>
          <cell r="C418">
            <v>88890</v>
          </cell>
          <cell r="D418" t="str">
            <v>Security/Safety</v>
          </cell>
          <cell r="E418">
            <v>15268.52</v>
          </cell>
          <cell r="F418">
            <v>8743.9599999999991</v>
          </cell>
          <cell r="G418">
            <v>6524.56</v>
          </cell>
          <cell r="H418">
            <v>18306.34</v>
          </cell>
          <cell r="I418">
            <v>14757.38</v>
          </cell>
          <cell r="J418">
            <v>-3548.96</v>
          </cell>
        </row>
        <row r="419">
          <cell r="A419" t="str">
            <v>6226089775</v>
          </cell>
          <cell r="B419">
            <v>62260</v>
          </cell>
          <cell r="C419">
            <v>89775</v>
          </cell>
          <cell r="D419" t="str">
            <v>Assmt Dist Taxes- Reimb</v>
          </cell>
          <cell r="E419">
            <v>24665.360000000001</v>
          </cell>
          <cell r="F419">
            <v>8222</v>
          </cell>
          <cell r="G419">
            <v>16443.36</v>
          </cell>
          <cell r="H419">
            <v>36996.68</v>
          </cell>
          <cell r="I419">
            <v>46417.93</v>
          </cell>
          <cell r="J419">
            <v>9421.25</v>
          </cell>
        </row>
        <row r="420">
          <cell r="A420" t="str">
            <v>6226089729</v>
          </cell>
          <cell r="B420">
            <v>62260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6226089786</v>
          </cell>
          <cell r="B421">
            <v>62260</v>
          </cell>
          <cell r="C421">
            <v>89786</v>
          </cell>
          <cell r="D421" t="str">
            <v>Property Tax Exp</v>
          </cell>
          <cell r="E421">
            <v>77774</v>
          </cell>
          <cell r="F421">
            <v>76614</v>
          </cell>
          <cell r="G421">
            <v>1160</v>
          </cell>
          <cell r="H421">
            <v>116662.36</v>
          </cell>
          <cell r="I421">
            <v>114921.06</v>
          </cell>
          <cell r="J421">
            <v>-1741.3</v>
          </cell>
        </row>
        <row r="422">
          <cell r="A422" t="str">
            <v>6226071040</v>
          </cell>
          <cell r="B422">
            <v>62260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6226072701</v>
          </cell>
          <cell r="B423">
            <v>62260</v>
          </cell>
          <cell r="C423">
            <v>72701</v>
          </cell>
          <cell r="D423" t="str">
            <v>Utilities</v>
          </cell>
          <cell r="E423">
            <v>0</v>
          </cell>
          <cell r="F423">
            <v>0</v>
          </cell>
          <cell r="G423">
            <v>0</v>
          </cell>
          <cell r="H423">
            <v>123.6</v>
          </cell>
          <cell r="I423">
            <v>0</v>
          </cell>
          <cell r="J423">
            <v>-123.6</v>
          </cell>
        </row>
        <row r="424">
          <cell r="A424" t="str">
            <v>6226072855</v>
          </cell>
          <cell r="B424">
            <v>62260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6226072870</v>
          </cell>
          <cell r="B425">
            <v>62260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6226076010</v>
          </cell>
          <cell r="B426">
            <v>62260</v>
          </cell>
          <cell r="C426">
            <v>76010</v>
          </cell>
          <cell r="D426" t="str">
            <v>Tenant Alterations</v>
          </cell>
          <cell r="E426">
            <v>105.12</v>
          </cell>
          <cell r="F426">
            <v>0</v>
          </cell>
          <cell r="G426">
            <v>105.12</v>
          </cell>
          <cell r="H426">
            <v>101.29</v>
          </cell>
          <cell r="I426">
            <v>0</v>
          </cell>
          <cell r="J426">
            <v>-101.29</v>
          </cell>
        </row>
        <row r="427">
          <cell r="A427" t="str">
            <v>6226076040</v>
          </cell>
          <cell r="B427">
            <v>62260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6226076051</v>
          </cell>
          <cell r="B428">
            <v>62260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6226076054</v>
          </cell>
          <cell r="B429">
            <v>62260</v>
          </cell>
          <cell r="C429">
            <v>76054</v>
          </cell>
          <cell r="D429" t="str">
            <v>Bldg Maintenance &amp; Repair</v>
          </cell>
          <cell r="E429">
            <v>1679.89</v>
          </cell>
          <cell r="F429">
            <v>22135.51</v>
          </cell>
          <cell r="G429">
            <v>-20455.62</v>
          </cell>
          <cell r="H429">
            <v>10407.69</v>
          </cell>
          <cell r="I429">
            <v>11159.19</v>
          </cell>
          <cell r="J429">
            <v>751.5</v>
          </cell>
        </row>
        <row r="430">
          <cell r="A430" t="str">
            <v>6226076060</v>
          </cell>
          <cell r="B430">
            <v>62260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6226076071</v>
          </cell>
          <cell r="B431">
            <v>62260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6226076090</v>
          </cell>
          <cell r="B432">
            <v>62260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6226077001</v>
          </cell>
          <cell r="B433">
            <v>62260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6226077022</v>
          </cell>
          <cell r="B434">
            <v>62260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6226084200</v>
          </cell>
          <cell r="B435">
            <v>62260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6226084240</v>
          </cell>
          <cell r="B436">
            <v>62260</v>
          </cell>
          <cell r="C436">
            <v>84240</v>
          </cell>
          <cell r="D436" t="str">
            <v>Marketing Leasing</v>
          </cell>
          <cell r="E436">
            <v>18.100000000000001</v>
          </cell>
          <cell r="F436">
            <v>404.42</v>
          </cell>
          <cell r="G436">
            <v>-386.32</v>
          </cell>
          <cell r="H436">
            <v>1798.78</v>
          </cell>
          <cell r="I436">
            <v>518.35</v>
          </cell>
          <cell r="J436">
            <v>-1280.43</v>
          </cell>
        </row>
        <row r="437">
          <cell r="A437" t="str">
            <v>6226084242</v>
          </cell>
          <cell r="B437">
            <v>62260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6226084243</v>
          </cell>
          <cell r="B438">
            <v>62260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6226084244</v>
          </cell>
          <cell r="B439">
            <v>62260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6226084265</v>
          </cell>
          <cell r="B440">
            <v>62260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6226088037</v>
          </cell>
          <cell r="B441">
            <v>62260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6226085016</v>
          </cell>
          <cell r="B442">
            <v>62260</v>
          </cell>
          <cell r="C442">
            <v>85016</v>
          </cell>
          <cell r="D442" t="str">
            <v>Prof Svc-Attorney Outside</v>
          </cell>
          <cell r="E442">
            <v>8521.58</v>
          </cell>
          <cell r="F442">
            <v>0</v>
          </cell>
          <cell r="G442">
            <v>8521.58</v>
          </cell>
          <cell r="H442">
            <v>2121.8000000000002</v>
          </cell>
          <cell r="I442">
            <v>-929.5</v>
          </cell>
          <cell r="J442">
            <v>-3051.3</v>
          </cell>
        </row>
        <row r="443">
          <cell r="A443" t="str">
            <v>6226085022</v>
          </cell>
          <cell r="B443">
            <v>62260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199.35</v>
          </cell>
          <cell r="G443">
            <v>-199.35</v>
          </cell>
          <cell r="H443">
            <v>2275.14</v>
          </cell>
          <cell r="I443">
            <v>2496.9299999999998</v>
          </cell>
          <cell r="J443">
            <v>221.79</v>
          </cell>
        </row>
        <row r="444">
          <cell r="A444" t="str">
            <v>6226085065</v>
          </cell>
          <cell r="B444">
            <v>62260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6226085500</v>
          </cell>
          <cell r="B445">
            <v>62260</v>
          </cell>
          <cell r="C445">
            <v>85500</v>
          </cell>
          <cell r="D445" t="str">
            <v>Consulting Services</v>
          </cell>
          <cell r="E445">
            <v>50</v>
          </cell>
          <cell r="F445">
            <v>1742</v>
          </cell>
          <cell r="G445">
            <v>-1692</v>
          </cell>
          <cell r="H445">
            <v>4060</v>
          </cell>
          <cell r="I445">
            <v>2132.7600000000002</v>
          </cell>
          <cell r="J445">
            <v>-1927.24</v>
          </cell>
        </row>
        <row r="446">
          <cell r="A446" t="str">
            <v>6226085566</v>
          </cell>
          <cell r="B446">
            <v>62260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38598.639999999999</v>
          </cell>
          <cell r="G446">
            <v>-38598.639999999999</v>
          </cell>
          <cell r="H446">
            <v>0</v>
          </cell>
          <cell r="I446">
            <v>57820.83</v>
          </cell>
          <cell r="J446">
            <v>57820.83</v>
          </cell>
        </row>
        <row r="447">
          <cell r="A447" t="str">
            <v>6226085581</v>
          </cell>
          <cell r="B447">
            <v>62260</v>
          </cell>
          <cell r="C447">
            <v>85581</v>
          </cell>
          <cell r="D447" t="str">
            <v>Bldg Admin- Salaries</v>
          </cell>
          <cell r="E447">
            <v>20940.03</v>
          </cell>
          <cell r="F447">
            <v>5449.91</v>
          </cell>
          <cell r="G447">
            <v>15490.12</v>
          </cell>
          <cell r="H447">
            <v>31956</v>
          </cell>
          <cell r="I447">
            <v>7901.21</v>
          </cell>
          <cell r="J447">
            <v>-24054.79</v>
          </cell>
        </row>
        <row r="448">
          <cell r="A448" t="str">
            <v>6226085583</v>
          </cell>
          <cell r="B448">
            <v>62260</v>
          </cell>
          <cell r="C448">
            <v>85583</v>
          </cell>
          <cell r="D448" t="str">
            <v>Bldg Admin-Office Exp.</v>
          </cell>
          <cell r="E448">
            <v>2685.45</v>
          </cell>
          <cell r="F448">
            <v>0</v>
          </cell>
          <cell r="G448">
            <v>2685.45</v>
          </cell>
          <cell r="H448">
            <v>11065</v>
          </cell>
          <cell r="I448">
            <v>0</v>
          </cell>
          <cell r="J448">
            <v>-11065</v>
          </cell>
        </row>
        <row r="449">
          <cell r="A449" t="str">
            <v>6226085530</v>
          </cell>
          <cell r="B449">
            <v>62260</v>
          </cell>
          <cell r="C449">
            <v>85530</v>
          </cell>
          <cell r="D449" t="str">
            <v>Bldg Admin - Office Exp</v>
          </cell>
          <cell r="E449">
            <v>2685.45</v>
          </cell>
          <cell r="F449">
            <v>0</v>
          </cell>
          <cell r="G449">
            <v>2685.45</v>
          </cell>
          <cell r="H449">
            <v>11065</v>
          </cell>
          <cell r="I449">
            <v>0</v>
          </cell>
          <cell r="J449">
            <v>-11065</v>
          </cell>
        </row>
        <row r="450">
          <cell r="A450" t="str">
            <v>6226086012</v>
          </cell>
          <cell r="B450">
            <v>62260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6226086037</v>
          </cell>
          <cell r="B451">
            <v>62260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6226083050</v>
          </cell>
          <cell r="B452">
            <v>62260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6226086510</v>
          </cell>
          <cell r="B453">
            <v>62260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6226086537</v>
          </cell>
          <cell r="B454">
            <v>62260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6226086566</v>
          </cell>
          <cell r="B455">
            <v>62260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6226086955</v>
          </cell>
          <cell r="B456">
            <v>62260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6226086985</v>
          </cell>
          <cell r="B457">
            <v>62260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6226086880</v>
          </cell>
          <cell r="B458">
            <v>62260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6226088710</v>
          </cell>
          <cell r="B459">
            <v>62260</v>
          </cell>
          <cell r="C459">
            <v>88710</v>
          </cell>
          <cell r="D459" t="str">
            <v>Losses-Bad Debts</v>
          </cell>
          <cell r="E459">
            <v>41785.96</v>
          </cell>
          <cell r="F459">
            <v>6852.6</v>
          </cell>
          <cell r="G459">
            <v>34933.360000000001</v>
          </cell>
          <cell r="H459">
            <v>52298.720000000001</v>
          </cell>
          <cell r="I459">
            <v>6852.6</v>
          </cell>
          <cell r="J459">
            <v>-45446.12</v>
          </cell>
        </row>
        <row r="460">
          <cell r="A460" t="str">
            <v>6226088711</v>
          </cell>
          <cell r="B460">
            <v>62260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6226088785</v>
          </cell>
          <cell r="B461">
            <v>62260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6226088847</v>
          </cell>
          <cell r="B462">
            <v>62260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6226088866</v>
          </cell>
          <cell r="B463">
            <v>62260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6226088870</v>
          </cell>
          <cell r="B464">
            <v>62260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6226088889</v>
          </cell>
          <cell r="B465">
            <v>62260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6226089776</v>
          </cell>
          <cell r="B466">
            <v>62260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6226089787</v>
          </cell>
          <cell r="B467">
            <v>62260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6226089510</v>
          </cell>
          <cell r="B468">
            <v>62260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6226089511</v>
          </cell>
          <cell r="B469">
            <v>62260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6226089512</v>
          </cell>
          <cell r="B470">
            <v>62260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6226089528</v>
          </cell>
          <cell r="B471">
            <v>62260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6226089529</v>
          </cell>
          <cell r="B472">
            <v>62260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6226089567</v>
          </cell>
          <cell r="B473">
            <v>62260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6226085058</v>
          </cell>
          <cell r="B474">
            <v>62260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6226086513</v>
          </cell>
          <cell r="B475">
            <v>62260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0</v>
          </cell>
          <cell r="G475">
            <v>0</v>
          </cell>
          <cell r="H475">
            <v>813.22</v>
          </cell>
          <cell r="I475">
            <v>0</v>
          </cell>
          <cell r="J475">
            <v>-813.22</v>
          </cell>
        </row>
        <row r="476">
          <cell r="A476" t="str">
            <v>6226086519</v>
          </cell>
          <cell r="B476">
            <v>62260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6226088770</v>
          </cell>
          <cell r="B477">
            <v>62260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6226088862</v>
          </cell>
          <cell r="B478">
            <v>62260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6226088874</v>
          </cell>
          <cell r="B479">
            <v>62260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6226089910</v>
          </cell>
          <cell r="B480">
            <v>62260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0</v>
          </cell>
          <cell r="G480">
            <v>0</v>
          </cell>
          <cell r="H480">
            <v>283202.77</v>
          </cell>
          <cell r="I480">
            <v>0</v>
          </cell>
          <cell r="J480">
            <v>-283202.77</v>
          </cell>
        </row>
        <row r="481">
          <cell r="A481" t="str">
            <v>6226089548</v>
          </cell>
          <cell r="B481">
            <v>62260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6226141010</v>
          </cell>
          <cell r="B482">
            <v>62261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6226141040</v>
          </cell>
          <cell r="B483">
            <v>62261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6226141050</v>
          </cell>
          <cell r="B484">
            <v>62261</v>
          </cell>
          <cell r="C484">
            <v>41050</v>
          </cell>
          <cell r="D484" t="str">
            <v>Rental Income - Fixed</v>
          </cell>
          <cell r="E484">
            <v>-348377.52</v>
          </cell>
          <cell r="F484">
            <v>-345368.38</v>
          </cell>
          <cell r="G484">
            <v>-3009.1400000000099</v>
          </cell>
          <cell r="H484">
            <v>-522566.28</v>
          </cell>
          <cell r="I484">
            <v>-519557.14</v>
          </cell>
          <cell r="J484">
            <v>3009.1400000000099</v>
          </cell>
        </row>
        <row r="485">
          <cell r="A485" t="str">
            <v>6226141074</v>
          </cell>
          <cell r="B485">
            <v>62261</v>
          </cell>
          <cell r="C485">
            <v>41074</v>
          </cell>
          <cell r="D485" t="str">
            <v>Rental Income - Percentage</v>
          </cell>
          <cell r="E485">
            <v>-7135</v>
          </cell>
          <cell r="F485">
            <v>13.06</v>
          </cell>
          <cell r="G485">
            <v>-7148.06</v>
          </cell>
          <cell r="H485">
            <v>-7293</v>
          </cell>
          <cell r="I485">
            <v>-1176.3499999999999</v>
          </cell>
          <cell r="J485">
            <v>6116.65</v>
          </cell>
        </row>
        <row r="486">
          <cell r="A486" t="str">
            <v>6226141082</v>
          </cell>
          <cell r="B486">
            <v>62261</v>
          </cell>
          <cell r="C486">
            <v>41082</v>
          </cell>
          <cell r="D486" t="str">
            <v>Rental Income - Operating Exp</v>
          </cell>
          <cell r="E486">
            <v>-87605.59</v>
          </cell>
          <cell r="F486">
            <v>-81362.16</v>
          </cell>
          <cell r="G486">
            <v>-6243.4299999999903</v>
          </cell>
          <cell r="H486">
            <v>-163257.66</v>
          </cell>
          <cell r="I486">
            <v>-144228.67000000001</v>
          </cell>
          <cell r="J486">
            <v>19028.990000000002</v>
          </cell>
        </row>
        <row r="487">
          <cell r="A487" t="str">
            <v>6226144610</v>
          </cell>
          <cell r="B487">
            <v>62261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6226145071</v>
          </cell>
          <cell r="B488">
            <v>62261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-169518.83</v>
          </cell>
          <cell r="I488">
            <v>0</v>
          </cell>
          <cell r="J488">
            <v>169518.83</v>
          </cell>
        </row>
        <row r="489">
          <cell r="A489" t="str">
            <v>6226145010</v>
          </cell>
          <cell r="B489">
            <v>62261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6226145046</v>
          </cell>
          <cell r="B490">
            <v>62261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6226145070</v>
          </cell>
          <cell r="B491">
            <v>62261</v>
          </cell>
          <cell r="C491">
            <v>45070</v>
          </cell>
          <cell r="D491" t="str">
            <v>Other Income</v>
          </cell>
          <cell r="E491">
            <v>-169518.87</v>
          </cell>
          <cell r="F491">
            <v>0</v>
          </cell>
          <cell r="G491">
            <v>-169518.87</v>
          </cell>
          <cell r="H491">
            <v>2364</v>
          </cell>
          <cell r="I491">
            <v>0</v>
          </cell>
          <cell r="J491">
            <v>-2364</v>
          </cell>
        </row>
        <row r="492">
          <cell r="A492" t="str">
            <v>6226141060</v>
          </cell>
          <cell r="B492">
            <v>62261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6226144870</v>
          </cell>
          <cell r="B493">
            <v>62261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6226152542</v>
          </cell>
          <cell r="B494">
            <v>62261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6226172710</v>
          </cell>
          <cell r="B495">
            <v>62261</v>
          </cell>
          <cell r="C495">
            <v>72710</v>
          </cell>
          <cell r="D495" t="str">
            <v>Utilities - Electricity</v>
          </cell>
          <cell r="E495">
            <v>1572.78</v>
          </cell>
          <cell r="F495">
            <v>1441.18</v>
          </cell>
          <cell r="G495">
            <v>131.6</v>
          </cell>
          <cell r="H495">
            <v>3016.23</v>
          </cell>
          <cell r="I495">
            <v>2106.17</v>
          </cell>
          <cell r="J495">
            <v>-910.06</v>
          </cell>
        </row>
        <row r="496">
          <cell r="A496" t="str">
            <v>6226172740</v>
          </cell>
          <cell r="B496">
            <v>62261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6226172770</v>
          </cell>
          <cell r="B497">
            <v>62261</v>
          </cell>
          <cell r="C497">
            <v>72770</v>
          </cell>
          <cell r="D497" t="str">
            <v>Utilities - Water</v>
          </cell>
          <cell r="E497">
            <v>1621.47</v>
          </cell>
          <cell r="F497">
            <v>337.56</v>
          </cell>
          <cell r="G497">
            <v>1283.9100000000001</v>
          </cell>
          <cell r="H497">
            <v>3137.67</v>
          </cell>
          <cell r="I497">
            <v>926.49</v>
          </cell>
          <cell r="J497">
            <v>-2211.1799999999998</v>
          </cell>
        </row>
        <row r="498">
          <cell r="A498" t="str">
            <v>6226176000</v>
          </cell>
          <cell r="B498">
            <v>62261</v>
          </cell>
          <cell r="C498">
            <v>76000</v>
          </cell>
          <cell r="D498" t="str">
            <v>Bldg Maintenance &amp; Repair</v>
          </cell>
          <cell r="E498">
            <v>575.37</v>
          </cell>
          <cell r="F498">
            <v>1242.8599999999999</v>
          </cell>
          <cell r="G498">
            <v>-667.49</v>
          </cell>
          <cell r="H498">
            <v>2338.19</v>
          </cell>
          <cell r="I498">
            <v>2055.21</v>
          </cell>
          <cell r="J498">
            <v>-282.98</v>
          </cell>
        </row>
        <row r="499">
          <cell r="A499" t="str">
            <v>6226176020</v>
          </cell>
          <cell r="B499">
            <v>62261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6226176034</v>
          </cell>
          <cell r="B500">
            <v>62261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6226176050</v>
          </cell>
          <cell r="B501">
            <v>62261</v>
          </cell>
          <cell r="C501">
            <v>76050</v>
          </cell>
          <cell r="D501" t="str">
            <v>Cleaning Expense</v>
          </cell>
          <cell r="E501">
            <v>80</v>
          </cell>
          <cell r="F501">
            <v>630</v>
          </cell>
          <cell r="G501">
            <v>-550</v>
          </cell>
          <cell r="H501">
            <v>735</v>
          </cell>
          <cell r="I501">
            <v>630</v>
          </cell>
          <cell r="J501">
            <v>-105</v>
          </cell>
        </row>
        <row r="502">
          <cell r="A502" t="str">
            <v>6226176056</v>
          </cell>
          <cell r="B502">
            <v>62261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6226176070</v>
          </cell>
          <cell r="B503">
            <v>62261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6226176091</v>
          </cell>
          <cell r="B504">
            <v>62261</v>
          </cell>
          <cell r="C504">
            <v>76091</v>
          </cell>
          <cell r="D504" t="str">
            <v>Parking Maintenance</v>
          </cell>
          <cell r="E504">
            <v>5815.25</v>
          </cell>
          <cell r="F504">
            <v>7367.98</v>
          </cell>
          <cell r="G504">
            <v>-1552.73</v>
          </cell>
          <cell r="H504">
            <v>19151.77</v>
          </cell>
          <cell r="I504">
            <v>10150.379999999999</v>
          </cell>
          <cell r="J504">
            <v>-9001.39</v>
          </cell>
        </row>
        <row r="505">
          <cell r="A505" t="str">
            <v>6226177000</v>
          </cell>
          <cell r="B505">
            <v>62261</v>
          </cell>
          <cell r="C505">
            <v>77000</v>
          </cell>
          <cell r="D505" t="str">
            <v>Grounds Maintenance</v>
          </cell>
          <cell r="E505">
            <v>10163.719999999999</v>
          </cell>
          <cell r="F505">
            <v>9820.16</v>
          </cell>
          <cell r="G505">
            <v>343.55999999999898</v>
          </cell>
          <cell r="H505">
            <v>17580.07</v>
          </cell>
          <cell r="I505">
            <v>11228.39</v>
          </cell>
          <cell r="J505">
            <v>-6351.68</v>
          </cell>
        </row>
        <row r="506">
          <cell r="A506" t="str">
            <v>6226177053</v>
          </cell>
          <cell r="B506">
            <v>62261</v>
          </cell>
          <cell r="C506">
            <v>77053</v>
          </cell>
          <cell r="D506" t="str">
            <v>Landscaping</v>
          </cell>
          <cell r="E506">
            <v>14444.28</v>
          </cell>
          <cell r="F506">
            <v>12856.11</v>
          </cell>
          <cell r="G506">
            <v>1588.17</v>
          </cell>
          <cell r="H506">
            <v>25661.82</v>
          </cell>
          <cell r="I506">
            <v>27623.11</v>
          </cell>
          <cell r="J506">
            <v>1961.29</v>
          </cell>
        </row>
        <row r="507">
          <cell r="A507" t="str">
            <v>6226178020</v>
          </cell>
          <cell r="B507">
            <v>62261</v>
          </cell>
          <cell r="C507">
            <v>78020</v>
          </cell>
          <cell r="D507" t="str">
            <v>Amortized CAM Exp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6226184264</v>
          </cell>
          <cell r="B508">
            <v>62261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6226185555</v>
          </cell>
          <cell r="B509">
            <v>62261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6226185584</v>
          </cell>
          <cell r="B510">
            <v>62261</v>
          </cell>
          <cell r="C510">
            <v>85584</v>
          </cell>
          <cell r="D510" t="str">
            <v>Bldg Admin-Office Costs</v>
          </cell>
          <cell r="E510">
            <v>1061.68</v>
          </cell>
          <cell r="F510">
            <v>2203.7800000000002</v>
          </cell>
          <cell r="G510">
            <v>-1142.0999999999999</v>
          </cell>
          <cell r="H510">
            <v>1649</v>
          </cell>
          <cell r="I510">
            <v>3307.27</v>
          </cell>
          <cell r="J510">
            <v>1658.27</v>
          </cell>
        </row>
        <row r="511">
          <cell r="A511" t="str">
            <v>6226185582</v>
          </cell>
          <cell r="B511">
            <v>62261</v>
          </cell>
          <cell r="C511">
            <v>85582</v>
          </cell>
          <cell r="D511" t="str">
            <v>Bldg Admin-Salaries</v>
          </cell>
          <cell r="E511">
            <v>6097.63</v>
          </cell>
          <cell r="F511">
            <v>8833.27</v>
          </cell>
          <cell r="G511">
            <v>-2735.64</v>
          </cell>
          <cell r="H511">
            <v>10537</v>
          </cell>
          <cell r="I511">
            <v>14487.44</v>
          </cell>
          <cell r="J511">
            <v>3950.44</v>
          </cell>
        </row>
        <row r="512">
          <cell r="A512" t="str">
            <v>6226186564</v>
          </cell>
          <cell r="B512">
            <v>62261</v>
          </cell>
          <cell r="C512">
            <v>86564</v>
          </cell>
          <cell r="D512" t="str">
            <v>Insurance</v>
          </cell>
          <cell r="E512">
            <v>2368</v>
          </cell>
          <cell r="F512">
            <v>1624</v>
          </cell>
          <cell r="G512">
            <v>744</v>
          </cell>
          <cell r="H512">
            <v>11172</v>
          </cell>
          <cell r="I512">
            <v>2439</v>
          </cell>
          <cell r="J512">
            <v>-8733</v>
          </cell>
        </row>
        <row r="513">
          <cell r="A513" t="str">
            <v>6226188846</v>
          </cell>
          <cell r="B513">
            <v>62261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6226188890</v>
          </cell>
          <cell r="B514">
            <v>62261</v>
          </cell>
          <cell r="C514">
            <v>88890</v>
          </cell>
          <cell r="D514" t="str">
            <v>Security/Safety</v>
          </cell>
          <cell r="E514">
            <v>2304.7399999999998</v>
          </cell>
          <cell r="F514">
            <v>1756.86</v>
          </cell>
          <cell r="G514">
            <v>547.88</v>
          </cell>
          <cell r="H514">
            <v>2750.1</v>
          </cell>
          <cell r="I514">
            <v>2581.7800000000002</v>
          </cell>
          <cell r="J514">
            <v>-168.32</v>
          </cell>
        </row>
        <row r="515">
          <cell r="A515" t="str">
            <v>6226189775</v>
          </cell>
          <cell r="B515">
            <v>62261</v>
          </cell>
          <cell r="C515">
            <v>89775</v>
          </cell>
          <cell r="D515" t="str">
            <v>Assmt Dist Taxes- Reimb</v>
          </cell>
          <cell r="E515">
            <v>10286.64</v>
          </cell>
          <cell r="F515">
            <v>3428.66</v>
          </cell>
          <cell r="G515">
            <v>6857.98</v>
          </cell>
          <cell r="H515">
            <v>15430.68</v>
          </cell>
          <cell r="I515">
            <v>19357.78</v>
          </cell>
          <cell r="J515">
            <v>3927.1</v>
          </cell>
        </row>
        <row r="516">
          <cell r="A516" t="str">
            <v>6226189729</v>
          </cell>
          <cell r="B516">
            <v>62261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6226189786</v>
          </cell>
          <cell r="B517">
            <v>62261</v>
          </cell>
          <cell r="C517">
            <v>89786</v>
          </cell>
          <cell r="D517" t="str">
            <v>Property Tax Exp</v>
          </cell>
          <cell r="E517">
            <v>21392</v>
          </cell>
          <cell r="F517">
            <v>21037.34</v>
          </cell>
          <cell r="G517">
            <v>354.66</v>
          </cell>
          <cell r="H517">
            <v>32088</v>
          </cell>
          <cell r="I517">
            <v>31555.48</v>
          </cell>
          <cell r="J517">
            <v>-532.52</v>
          </cell>
        </row>
        <row r="518">
          <cell r="A518" t="str">
            <v>6226171040</v>
          </cell>
          <cell r="B518">
            <v>62261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6226172701</v>
          </cell>
          <cell r="B519">
            <v>62261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6226172855</v>
          </cell>
          <cell r="B520">
            <v>62261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6226172870</v>
          </cell>
          <cell r="B521">
            <v>62261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6226176010</v>
          </cell>
          <cell r="B522">
            <v>62261</v>
          </cell>
          <cell r="C522">
            <v>76010</v>
          </cell>
          <cell r="D522" t="str">
            <v>Tenant Alterations</v>
          </cell>
          <cell r="E522">
            <v>0.85</v>
          </cell>
          <cell r="F522">
            <v>0</v>
          </cell>
          <cell r="G522">
            <v>0.85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6226176040</v>
          </cell>
          <cell r="B523">
            <v>62261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6226176051</v>
          </cell>
          <cell r="B524">
            <v>62261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6226176054</v>
          </cell>
          <cell r="B525">
            <v>62261</v>
          </cell>
          <cell r="C525">
            <v>76054</v>
          </cell>
          <cell r="D525" t="str">
            <v>Bldg Maintenance &amp; Repair</v>
          </cell>
          <cell r="E525">
            <v>3.65</v>
          </cell>
          <cell r="F525">
            <v>2.2999999999999998</v>
          </cell>
          <cell r="G525">
            <v>1.35</v>
          </cell>
          <cell r="H525">
            <v>2.36</v>
          </cell>
          <cell r="I525">
            <v>2.2999999999999998</v>
          </cell>
          <cell r="J525">
            <v>-6.0000000000000102E-2</v>
          </cell>
        </row>
        <row r="526">
          <cell r="A526" t="str">
            <v>6226176060</v>
          </cell>
          <cell r="B526">
            <v>62261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6226176071</v>
          </cell>
          <cell r="B527">
            <v>62261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6226176090</v>
          </cell>
          <cell r="B528">
            <v>62261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6226177001</v>
          </cell>
          <cell r="B529">
            <v>62261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6226177022</v>
          </cell>
          <cell r="B530">
            <v>62261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6226184200</v>
          </cell>
          <cell r="B531">
            <v>62261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6226184240</v>
          </cell>
          <cell r="B532">
            <v>62261</v>
          </cell>
          <cell r="C532">
            <v>84240</v>
          </cell>
          <cell r="D532" t="str">
            <v>Marketing Leasing</v>
          </cell>
          <cell r="E532">
            <v>4.05</v>
          </cell>
          <cell r="F532">
            <v>110.6</v>
          </cell>
          <cell r="G532">
            <v>-106.55</v>
          </cell>
          <cell r="H532">
            <v>399.37</v>
          </cell>
          <cell r="I532">
            <v>136.1</v>
          </cell>
          <cell r="J532">
            <v>-263.27</v>
          </cell>
        </row>
        <row r="533">
          <cell r="A533" t="str">
            <v>6226184242</v>
          </cell>
          <cell r="B533">
            <v>62261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6226184243</v>
          </cell>
          <cell r="B534">
            <v>62261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6226184244</v>
          </cell>
          <cell r="B535">
            <v>62261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6226184265</v>
          </cell>
          <cell r="B536">
            <v>62261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6226188037</v>
          </cell>
          <cell r="B537">
            <v>62261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6226185016</v>
          </cell>
          <cell r="B538">
            <v>62261</v>
          </cell>
          <cell r="C538">
            <v>85016</v>
          </cell>
          <cell r="D538" t="str">
            <v>Prof Svc-Attorney Outside</v>
          </cell>
          <cell r="E538">
            <v>3277</v>
          </cell>
          <cell r="F538">
            <v>1078</v>
          </cell>
          <cell r="G538">
            <v>2199</v>
          </cell>
          <cell r="H538">
            <v>7033.24</v>
          </cell>
          <cell r="I538">
            <v>5183.45</v>
          </cell>
          <cell r="J538">
            <v>-1849.79</v>
          </cell>
        </row>
        <row r="539">
          <cell r="A539" t="str">
            <v>6226185022</v>
          </cell>
          <cell r="B539">
            <v>62261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199.35</v>
          </cell>
          <cell r="G539">
            <v>-199.35</v>
          </cell>
          <cell r="H539">
            <v>1051.99</v>
          </cell>
          <cell r="I539">
            <v>1896.93</v>
          </cell>
          <cell r="J539">
            <v>844.94</v>
          </cell>
        </row>
        <row r="540">
          <cell r="A540" t="str">
            <v>6226185065</v>
          </cell>
          <cell r="B540">
            <v>62261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6226185500</v>
          </cell>
          <cell r="B541">
            <v>62261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10.8</v>
          </cell>
          <cell r="J541">
            <v>10.8</v>
          </cell>
        </row>
        <row r="542">
          <cell r="A542" t="str">
            <v>6226185566</v>
          </cell>
          <cell r="B542">
            <v>62261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7596.96</v>
          </cell>
          <cell r="G542">
            <v>-7596.96</v>
          </cell>
          <cell r="H542">
            <v>0</v>
          </cell>
          <cell r="I542">
            <v>11380.29</v>
          </cell>
          <cell r="J542">
            <v>11380.29</v>
          </cell>
        </row>
        <row r="543">
          <cell r="A543" t="str">
            <v>6226185581</v>
          </cell>
          <cell r="B543">
            <v>62261</v>
          </cell>
          <cell r="C543">
            <v>85581</v>
          </cell>
          <cell r="D543" t="str">
            <v>Bldg Admin- Salaries</v>
          </cell>
          <cell r="E543">
            <v>4645.8</v>
          </cell>
          <cell r="F543">
            <v>1216.76</v>
          </cell>
          <cell r="G543">
            <v>3429.04</v>
          </cell>
          <cell r="H543">
            <v>7090</v>
          </cell>
          <cell r="I543">
            <v>1757.03</v>
          </cell>
          <cell r="J543">
            <v>-5332.97</v>
          </cell>
        </row>
        <row r="544">
          <cell r="A544" t="str">
            <v>6226185583</v>
          </cell>
          <cell r="B544">
            <v>62261</v>
          </cell>
          <cell r="C544">
            <v>85583</v>
          </cell>
          <cell r="D544" t="str">
            <v>Bldg Admin-Office Exp.</v>
          </cell>
          <cell r="E544">
            <v>595.79999999999995</v>
          </cell>
          <cell r="F544">
            <v>0</v>
          </cell>
          <cell r="G544">
            <v>595.79999999999995</v>
          </cell>
          <cell r="H544">
            <v>2455</v>
          </cell>
          <cell r="I544">
            <v>0</v>
          </cell>
          <cell r="J544">
            <v>-2455</v>
          </cell>
        </row>
        <row r="545">
          <cell r="A545" t="str">
            <v>6226185530</v>
          </cell>
          <cell r="B545">
            <v>62261</v>
          </cell>
          <cell r="C545">
            <v>85530</v>
          </cell>
          <cell r="D545" t="str">
            <v>Bldg Admin - Office Exp</v>
          </cell>
          <cell r="E545">
            <v>595.79999999999995</v>
          </cell>
          <cell r="F545">
            <v>0</v>
          </cell>
          <cell r="G545">
            <v>595.79999999999995</v>
          </cell>
          <cell r="H545">
            <v>2455</v>
          </cell>
          <cell r="I545">
            <v>0</v>
          </cell>
          <cell r="J545">
            <v>-2455</v>
          </cell>
        </row>
        <row r="546">
          <cell r="A546" t="str">
            <v>6226186012</v>
          </cell>
          <cell r="B546">
            <v>62261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6226186037</v>
          </cell>
          <cell r="B547">
            <v>62261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6226183050</v>
          </cell>
          <cell r="B548">
            <v>62261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6226186510</v>
          </cell>
          <cell r="B549">
            <v>62261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6226186537</v>
          </cell>
          <cell r="B550">
            <v>62261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6226186566</v>
          </cell>
          <cell r="B551">
            <v>62261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6226186955</v>
          </cell>
          <cell r="B552">
            <v>62261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6226186985</v>
          </cell>
          <cell r="B553">
            <v>62261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6226186880</v>
          </cell>
          <cell r="B554">
            <v>62261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6226188710</v>
          </cell>
          <cell r="B555">
            <v>62261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</v>
          </cell>
          <cell r="G555">
            <v>0</v>
          </cell>
          <cell r="H555">
            <v>3406.4</v>
          </cell>
          <cell r="I555">
            <v>0</v>
          </cell>
          <cell r="J555">
            <v>-3406.4</v>
          </cell>
        </row>
        <row r="556">
          <cell r="A556" t="str">
            <v>6226188711</v>
          </cell>
          <cell r="B556">
            <v>62261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6226188785</v>
          </cell>
          <cell r="B557">
            <v>62261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6226188847</v>
          </cell>
          <cell r="B558">
            <v>62261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6226188866</v>
          </cell>
          <cell r="B559">
            <v>62261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6226188870</v>
          </cell>
          <cell r="B560">
            <v>62261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6226188889</v>
          </cell>
          <cell r="B561">
            <v>62261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6226189776</v>
          </cell>
          <cell r="B562">
            <v>62261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6226189787</v>
          </cell>
          <cell r="B563">
            <v>62261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6226189510</v>
          </cell>
          <cell r="B564">
            <v>62261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6226189511</v>
          </cell>
          <cell r="B565">
            <v>62261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6226189512</v>
          </cell>
          <cell r="B566">
            <v>62261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6226189528</v>
          </cell>
          <cell r="B567">
            <v>62261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6226189529</v>
          </cell>
          <cell r="B568">
            <v>62261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6226189567</v>
          </cell>
          <cell r="B569">
            <v>62261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6226185058</v>
          </cell>
          <cell r="B570">
            <v>62261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6226186513</v>
          </cell>
          <cell r="B571">
            <v>62261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6226186519</v>
          </cell>
          <cell r="B572">
            <v>62261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6226188770</v>
          </cell>
          <cell r="B573">
            <v>62261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6226188862</v>
          </cell>
          <cell r="B574">
            <v>62261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6226188874</v>
          </cell>
          <cell r="B575">
            <v>62261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6226189910</v>
          </cell>
          <cell r="B576">
            <v>62261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0</v>
          </cell>
          <cell r="G576">
            <v>0</v>
          </cell>
          <cell r="H576">
            <v>18081.68</v>
          </cell>
          <cell r="I576">
            <v>0</v>
          </cell>
          <cell r="J576">
            <v>-18081.68</v>
          </cell>
        </row>
        <row r="577">
          <cell r="A577" t="str">
            <v>6226189548</v>
          </cell>
          <cell r="B577">
            <v>62261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6227041010</v>
          </cell>
          <cell r="B578">
            <v>62270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6227041040</v>
          </cell>
          <cell r="B579">
            <v>62270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6227041050</v>
          </cell>
          <cell r="B580">
            <v>62270</v>
          </cell>
          <cell r="C580">
            <v>41050</v>
          </cell>
          <cell r="D580" t="str">
            <v>Rental Income - Fixed</v>
          </cell>
          <cell r="E580">
            <v>-3378428.99</v>
          </cell>
          <cell r="F580">
            <v>-3393445.76</v>
          </cell>
          <cell r="G580">
            <v>15016.7699999996</v>
          </cell>
          <cell r="H580">
            <v>-5109108.28</v>
          </cell>
          <cell r="I580">
            <v>-5061503.71</v>
          </cell>
          <cell r="J580">
            <v>47604.570000000298</v>
          </cell>
        </row>
        <row r="581">
          <cell r="A581" t="str">
            <v>6227041074</v>
          </cell>
          <cell r="B581">
            <v>62270</v>
          </cell>
          <cell r="C581">
            <v>41074</v>
          </cell>
          <cell r="D581" t="str">
            <v>Rental Income - Percentage</v>
          </cell>
          <cell r="E581">
            <v>-25252.84</v>
          </cell>
          <cell r="F581">
            <v>-12961.3</v>
          </cell>
          <cell r="G581">
            <v>-12291.54</v>
          </cell>
          <cell r="H581">
            <v>-37916.6</v>
          </cell>
          <cell r="I581">
            <v>-14491.4</v>
          </cell>
          <cell r="J581">
            <v>23425.200000000001</v>
          </cell>
        </row>
        <row r="582">
          <cell r="A582" t="str">
            <v>6227041082</v>
          </cell>
          <cell r="B582">
            <v>62270</v>
          </cell>
          <cell r="C582">
            <v>41082</v>
          </cell>
          <cell r="D582" t="str">
            <v>Rental Income - Operating Exp</v>
          </cell>
          <cell r="E582">
            <v>-889582.67</v>
          </cell>
          <cell r="F582">
            <v>-844634.9</v>
          </cell>
          <cell r="G582">
            <v>-44947.77</v>
          </cell>
          <cell r="H582">
            <v>-1398620.24</v>
          </cell>
          <cell r="I582">
            <v>-1499026.83</v>
          </cell>
          <cell r="J582">
            <v>-100406.59</v>
          </cell>
        </row>
        <row r="583">
          <cell r="A583" t="str">
            <v>6227044610</v>
          </cell>
          <cell r="B583">
            <v>62270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6227045071</v>
          </cell>
          <cell r="B584">
            <v>62270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6227045010</v>
          </cell>
          <cell r="B585">
            <v>62270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6227045046</v>
          </cell>
          <cell r="B586">
            <v>62270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6227045070</v>
          </cell>
          <cell r="B587">
            <v>62270</v>
          </cell>
          <cell r="C587">
            <v>45070</v>
          </cell>
          <cell r="D587" t="str">
            <v>Other Income</v>
          </cell>
          <cell r="E587">
            <v>-31998.41</v>
          </cell>
          <cell r="F587">
            <v>-558.63</v>
          </cell>
          <cell r="G587">
            <v>-31439.78</v>
          </cell>
          <cell r="H587">
            <v>-35733.08</v>
          </cell>
          <cell r="I587">
            <v>-1549.8</v>
          </cell>
          <cell r="J587">
            <v>34183.279999999999</v>
          </cell>
        </row>
        <row r="588">
          <cell r="A588" t="str">
            <v>6227041060</v>
          </cell>
          <cell r="B588">
            <v>62270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0</v>
          </cell>
          <cell r="G588">
            <v>0</v>
          </cell>
          <cell r="H588">
            <v>32859.519999999997</v>
          </cell>
          <cell r="I588">
            <v>0</v>
          </cell>
          <cell r="J588">
            <v>-32859.519999999997</v>
          </cell>
        </row>
        <row r="589">
          <cell r="A589" t="str">
            <v>6227044870</v>
          </cell>
          <cell r="B589">
            <v>62270</v>
          </cell>
          <cell r="C589">
            <v>44870</v>
          </cell>
          <cell r="D589" t="str">
            <v>Late Fees</v>
          </cell>
          <cell r="E589">
            <v>-825</v>
          </cell>
          <cell r="F589">
            <v>0</v>
          </cell>
          <cell r="G589">
            <v>-825</v>
          </cell>
          <cell r="H589">
            <v>-1030</v>
          </cell>
          <cell r="I589">
            <v>-3115</v>
          </cell>
          <cell r="J589">
            <v>-2085</v>
          </cell>
        </row>
        <row r="590">
          <cell r="A590" t="str">
            <v>6227052542</v>
          </cell>
          <cell r="B590">
            <v>62270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6227072710</v>
          </cell>
          <cell r="B591">
            <v>62270</v>
          </cell>
          <cell r="C591">
            <v>72710</v>
          </cell>
          <cell r="D591" t="str">
            <v>Utilities - Electricity</v>
          </cell>
          <cell r="E591">
            <v>33849.339999999997</v>
          </cell>
          <cell r="F591">
            <v>37944.400000000001</v>
          </cell>
          <cell r="G591">
            <v>-4095.06</v>
          </cell>
          <cell r="H591">
            <v>54627.58</v>
          </cell>
          <cell r="I591">
            <v>53949.34</v>
          </cell>
          <cell r="J591">
            <v>-678.24000000000501</v>
          </cell>
        </row>
        <row r="592">
          <cell r="A592" t="str">
            <v>6227072740</v>
          </cell>
          <cell r="B592">
            <v>62270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6227072770</v>
          </cell>
          <cell r="B593">
            <v>62270</v>
          </cell>
          <cell r="C593">
            <v>72770</v>
          </cell>
          <cell r="D593" t="str">
            <v>Utilities - Water</v>
          </cell>
          <cell r="E593">
            <v>13928.52</v>
          </cell>
          <cell r="F593">
            <v>12587.03</v>
          </cell>
          <cell r="G593">
            <v>1341.49</v>
          </cell>
          <cell r="H593">
            <v>22405.58</v>
          </cell>
          <cell r="I593">
            <v>17874.990000000002</v>
          </cell>
          <cell r="J593">
            <v>-4530.59</v>
          </cell>
        </row>
        <row r="594">
          <cell r="A594" t="str">
            <v>6227076000</v>
          </cell>
          <cell r="B594">
            <v>62270</v>
          </cell>
          <cell r="C594">
            <v>76000</v>
          </cell>
          <cell r="D594" t="str">
            <v>Bldg Maintenance &amp; Repair</v>
          </cell>
          <cell r="E594">
            <v>26630.54</v>
          </cell>
          <cell r="F594">
            <v>22946.9</v>
          </cell>
          <cell r="G594">
            <v>3683.64</v>
          </cell>
          <cell r="H594">
            <v>65918</v>
          </cell>
          <cell r="I594">
            <v>51722.11</v>
          </cell>
          <cell r="J594">
            <v>-14195.89</v>
          </cell>
        </row>
        <row r="595">
          <cell r="A595" t="str">
            <v>6227076020</v>
          </cell>
          <cell r="B595">
            <v>62270</v>
          </cell>
          <cell r="C595">
            <v>76020</v>
          </cell>
          <cell r="D595" t="str">
            <v>Food Court Expense</v>
          </cell>
          <cell r="E595">
            <v>7007</v>
          </cell>
          <cell r="F595">
            <v>6800</v>
          </cell>
          <cell r="G595">
            <v>207</v>
          </cell>
          <cell r="H595">
            <v>10712.5</v>
          </cell>
          <cell r="I595">
            <v>10200</v>
          </cell>
          <cell r="J595">
            <v>-512.5</v>
          </cell>
        </row>
        <row r="596">
          <cell r="A596" t="str">
            <v>6227076034</v>
          </cell>
          <cell r="B596">
            <v>62270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6227076050</v>
          </cell>
          <cell r="B597">
            <v>62270</v>
          </cell>
          <cell r="C597">
            <v>76050</v>
          </cell>
          <cell r="D597" t="str">
            <v>Cleaning Expense</v>
          </cell>
          <cell r="E597">
            <v>54339.45</v>
          </cell>
          <cell r="F597">
            <v>48902.11</v>
          </cell>
          <cell r="G597">
            <v>5437.34</v>
          </cell>
          <cell r="H597">
            <v>83472.5</v>
          </cell>
          <cell r="I597">
            <v>76441.56</v>
          </cell>
          <cell r="J597">
            <v>-7030.94</v>
          </cell>
        </row>
        <row r="598">
          <cell r="A598" t="str">
            <v>6227076056</v>
          </cell>
          <cell r="B598">
            <v>62270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6227076070</v>
          </cell>
          <cell r="B599">
            <v>62270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6227076091</v>
          </cell>
          <cell r="B600">
            <v>62270</v>
          </cell>
          <cell r="C600">
            <v>76091</v>
          </cell>
          <cell r="D600" t="str">
            <v>Parking Maintenance</v>
          </cell>
          <cell r="E600">
            <v>34931.01</v>
          </cell>
          <cell r="F600">
            <v>38513.08</v>
          </cell>
          <cell r="G600">
            <v>-3582.07</v>
          </cell>
          <cell r="H600">
            <v>62319.25</v>
          </cell>
          <cell r="I600">
            <v>58816.51</v>
          </cell>
          <cell r="J600">
            <v>-3502.74</v>
          </cell>
        </row>
        <row r="601">
          <cell r="A601" t="str">
            <v>6227077000</v>
          </cell>
          <cell r="B601">
            <v>62270</v>
          </cell>
          <cell r="C601">
            <v>77000</v>
          </cell>
          <cell r="D601" t="str">
            <v>Grounds Maintenance</v>
          </cell>
          <cell r="E601">
            <v>38057.42</v>
          </cell>
          <cell r="F601">
            <v>20968.099999999999</v>
          </cell>
          <cell r="G601">
            <v>17089.32</v>
          </cell>
          <cell r="H601">
            <v>77642.820000000007</v>
          </cell>
          <cell r="I601">
            <v>40887.65</v>
          </cell>
          <cell r="J601">
            <v>-36755.17</v>
          </cell>
        </row>
        <row r="602">
          <cell r="A602" t="str">
            <v>6227077053</v>
          </cell>
          <cell r="B602">
            <v>62270</v>
          </cell>
          <cell r="C602">
            <v>77053</v>
          </cell>
          <cell r="D602" t="str">
            <v>Landscaping</v>
          </cell>
          <cell r="E602">
            <v>75681</v>
          </cell>
          <cell r="F602">
            <v>101183.08</v>
          </cell>
          <cell r="G602">
            <v>-25502.080000000002</v>
          </cell>
          <cell r="H602">
            <v>121585</v>
          </cell>
          <cell r="I602">
            <v>126387.08</v>
          </cell>
          <cell r="J602">
            <v>4802.08</v>
          </cell>
        </row>
        <row r="603">
          <cell r="A603" t="str">
            <v>6227078020</v>
          </cell>
          <cell r="B603">
            <v>62270</v>
          </cell>
          <cell r="C603">
            <v>78020</v>
          </cell>
          <cell r="D603" t="str">
            <v>Amortized CAM Exp</v>
          </cell>
          <cell r="E603">
            <v>58700</v>
          </cell>
          <cell r="F603">
            <v>54033.54</v>
          </cell>
          <cell r="G603">
            <v>4666.46</v>
          </cell>
          <cell r="H603">
            <v>88050</v>
          </cell>
          <cell r="I603">
            <v>188050.34</v>
          </cell>
          <cell r="J603">
            <v>100000.34</v>
          </cell>
        </row>
        <row r="604">
          <cell r="A604" t="str">
            <v>6227084264</v>
          </cell>
          <cell r="B604">
            <v>62270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6227085555</v>
          </cell>
          <cell r="B605">
            <v>62270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6227085584</v>
          </cell>
          <cell r="B606">
            <v>62270</v>
          </cell>
          <cell r="C606">
            <v>85584</v>
          </cell>
          <cell r="D606" t="str">
            <v>Bldg Admin-Office Costs</v>
          </cell>
          <cell r="E606">
            <v>13336.75</v>
          </cell>
          <cell r="F606">
            <v>27544.3</v>
          </cell>
          <cell r="G606">
            <v>-14207.55</v>
          </cell>
          <cell r="H606">
            <v>20741</v>
          </cell>
          <cell r="I606">
            <v>41336.26</v>
          </cell>
          <cell r="J606">
            <v>20595.259999999998</v>
          </cell>
        </row>
        <row r="607">
          <cell r="A607" t="str">
            <v>6227085582</v>
          </cell>
          <cell r="B607">
            <v>62270</v>
          </cell>
          <cell r="C607">
            <v>85582</v>
          </cell>
          <cell r="D607" t="str">
            <v>Bldg Admin-Salaries</v>
          </cell>
          <cell r="E607">
            <v>79285.22</v>
          </cell>
          <cell r="F607">
            <v>94019.93</v>
          </cell>
          <cell r="G607">
            <v>-14734.71</v>
          </cell>
          <cell r="H607">
            <v>132503</v>
          </cell>
          <cell r="I607">
            <v>144237.19</v>
          </cell>
          <cell r="J607">
            <v>11734.19</v>
          </cell>
        </row>
        <row r="608">
          <cell r="A608" t="str">
            <v>6227086564</v>
          </cell>
          <cell r="B608">
            <v>62270</v>
          </cell>
          <cell r="C608">
            <v>86564</v>
          </cell>
          <cell r="D608" t="str">
            <v>Insurance</v>
          </cell>
          <cell r="E608">
            <v>64088</v>
          </cell>
          <cell r="F608">
            <v>61936</v>
          </cell>
          <cell r="G608">
            <v>2152</v>
          </cell>
          <cell r="H608">
            <v>107076</v>
          </cell>
          <cell r="I608">
            <v>92909</v>
          </cell>
          <cell r="J608">
            <v>-14167</v>
          </cell>
        </row>
        <row r="609">
          <cell r="A609" t="str">
            <v>6227088846</v>
          </cell>
          <cell r="B609">
            <v>62270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6227088890</v>
          </cell>
          <cell r="B610">
            <v>62270</v>
          </cell>
          <cell r="C610">
            <v>88890</v>
          </cell>
          <cell r="D610" t="str">
            <v>Security/Safety</v>
          </cell>
          <cell r="E610">
            <v>29751.759999999998</v>
          </cell>
          <cell r="F610">
            <v>29512.29</v>
          </cell>
          <cell r="G610">
            <v>239.46999999999801</v>
          </cell>
          <cell r="H610">
            <v>44340.56</v>
          </cell>
          <cell r="I610">
            <v>47042.83</v>
          </cell>
          <cell r="J610">
            <v>2702.27</v>
          </cell>
        </row>
        <row r="611">
          <cell r="A611" t="str">
            <v>6227089775</v>
          </cell>
          <cell r="B611">
            <v>62270</v>
          </cell>
          <cell r="C611">
            <v>89775</v>
          </cell>
          <cell r="D611" t="str">
            <v>Assmt Dist Taxes- Reimb</v>
          </cell>
          <cell r="E611">
            <v>82683.360000000001</v>
          </cell>
          <cell r="F611">
            <v>27561.34</v>
          </cell>
          <cell r="G611">
            <v>55122.02</v>
          </cell>
          <cell r="H611">
            <v>124022</v>
          </cell>
          <cell r="I611">
            <v>155601.49</v>
          </cell>
          <cell r="J611">
            <v>31579.49</v>
          </cell>
        </row>
        <row r="612">
          <cell r="A612" t="str">
            <v>6227089729</v>
          </cell>
          <cell r="B612">
            <v>62270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6227089786</v>
          </cell>
          <cell r="B613">
            <v>62270</v>
          </cell>
          <cell r="C613">
            <v>89786</v>
          </cell>
          <cell r="D613" t="str">
            <v>Property Tax Exp</v>
          </cell>
          <cell r="E613">
            <v>235748</v>
          </cell>
          <cell r="F613">
            <v>229017</v>
          </cell>
          <cell r="G613">
            <v>6731</v>
          </cell>
          <cell r="H613">
            <v>353618</v>
          </cell>
          <cell r="I613">
            <v>348823.99</v>
          </cell>
          <cell r="J613">
            <v>-4794.0100000000102</v>
          </cell>
        </row>
        <row r="614">
          <cell r="A614" t="str">
            <v>6227071040</v>
          </cell>
          <cell r="B614">
            <v>62270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6227072701</v>
          </cell>
          <cell r="B615">
            <v>62270</v>
          </cell>
          <cell r="C615">
            <v>72701</v>
          </cell>
          <cell r="D615" t="str">
            <v>Utilities</v>
          </cell>
          <cell r="E615">
            <v>334.74</v>
          </cell>
          <cell r="F615">
            <v>0</v>
          </cell>
          <cell r="G615">
            <v>334.74</v>
          </cell>
          <cell r="H615">
            <v>311.41000000000003</v>
          </cell>
          <cell r="I615">
            <v>215.76</v>
          </cell>
          <cell r="J615">
            <v>-95.65</v>
          </cell>
        </row>
        <row r="616">
          <cell r="A616" t="str">
            <v>6227072855</v>
          </cell>
          <cell r="B616">
            <v>62270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6227072870</v>
          </cell>
          <cell r="B617">
            <v>62270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6227076010</v>
          </cell>
          <cell r="B618">
            <v>62270</v>
          </cell>
          <cell r="C618">
            <v>76010</v>
          </cell>
          <cell r="D618" t="str">
            <v>Tenant Alterations</v>
          </cell>
          <cell r="E618">
            <v>10.68</v>
          </cell>
          <cell r="F618">
            <v>144.08000000000001</v>
          </cell>
          <cell r="G618">
            <v>-133.4</v>
          </cell>
          <cell r="H618">
            <v>354.4</v>
          </cell>
          <cell r="I618">
            <v>144.08000000000001</v>
          </cell>
          <cell r="J618">
            <v>-210.32</v>
          </cell>
        </row>
        <row r="619">
          <cell r="A619" t="str">
            <v>6227076040</v>
          </cell>
          <cell r="B619">
            <v>62270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6227076051</v>
          </cell>
          <cell r="B620">
            <v>62270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6227076054</v>
          </cell>
          <cell r="B621">
            <v>62270</v>
          </cell>
          <cell r="C621">
            <v>76054</v>
          </cell>
          <cell r="D621" t="str">
            <v>Bldg Maintenance &amp; Repair</v>
          </cell>
          <cell r="E621">
            <v>463.24</v>
          </cell>
          <cell r="F621">
            <v>7605.96</v>
          </cell>
          <cell r="G621">
            <v>-7142.72</v>
          </cell>
          <cell r="H621">
            <v>11418.11</v>
          </cell>
          <cell r="I621">
            <v>10267.94</v>
          </cell>
          <cell r="J621">
            <v>-1150.17</v>
          </cell>
        </row>
        <row r="622">
          <cell r="A622" t="str">
            <v>6227076060</v>
          </cell>
          <cell r="B622">
            <v>62270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6227076071</v>
          </cell>
          <cell r="B623">
            <v>62270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6227076090</v>
          </cell>
          <cell r="B624">
            <v>62270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6227077001</v>
          </cell>
          <cell r="B625">
            <v>62270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6227077022</v>
          </cell>
          <cell r="B626">
            <v>62270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6227084200</v>
          </cell>
          <cell r="B627">
            <v>62270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6227084240</v>
          </cell>
          <cell r="B628">
            <v>62270</v>
          </cell>
          <cell r="C628">
            <v>84240</v>
          </cell>
          <cell r="D628" t="str">
            <v>Marketing Leasing</v>
          </cell>
          <cell r="E628">
            <v>50.66</v>
          </cell>
          <cell r="F628">
            <v>10771.57</v>
          </cell>
          <cell r="G628">
            <v>-10720.91</v>
          </cell>
          <cell r="H628">
            <v>5019.34</v>
          </cell>
          <cell r="I628">
            <v>15376.83</v>
          </cell>
          <cell r="J628">
            <v>10357.49</v>
          </cell>
        </row>
        <row r="629">
          <cell r="A629" t="str">
            <v>6227084242</v>
          </cell>
          <cell r="B629">
            <v>62270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6227084243</v>
          </cell>
          <cell r="B630">
            <v>62270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-28500.13</v>
          </cell>
          <cell r="J630">
            <v>-28500.13</v>
          </cell>
        </row>
        <row r="631">
          <cell r="A631" t="str">
            <v>6227084244</v>
          </cell>
          <cell r="B631">
            <v>62270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22960</v>
          </cell>
          <cell r="G631">
            <v>-22960</v>
          </cell>
          <cell r="H631">
            <v>0</v>
          </cell>
          <cell r="I631">
            <v>22800.1</v>
          </cell>
          <cell r="J631">
            <v>22800.1</v>
          </cell>
        </row>
        <row r="632">
          <cell r="A632" t="str">
            <v>6227084265</v>
          </cell>
          <cell r="B632">
            <v>62270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6227088037</v>
          </cell>
          <cell r="B633">
            <v>62270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6227085016</v>
          </cell>
          <cell r="B634">
            <v>62270</v>
          </cell>
          <cell r="C634">
            <v>85016</v>
          </cell>
          <cell r="D634" t="str">
            <v>Prof Svc-Attorney Outside</v>
          </cell>
          <cell r="E634">
            <v>1152.74</v>
          </cell>
          <cell r="F634">
            <v>258.5</v>
          </cell>
          <cell r="G634">
            <v>894.24</v>
          </cell>
          <cell r="H634">
            <v>5299.1</v>
          </cell>
          <cell r="I634">
            <v>9594.25</v>
          </cell>
          <cell r="J634">
            <v>4295.1499999999996</v>
          </cell>
        </row>
        <row r="635">
          <cell r="A635" t="str">
            <v>6227085022</v>
          </cell>
          <cell r="B635">
            <v>62270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1474.35</v>
          </cell>
          <cell r="G635">
            <v>-1474.35</v>
          </cell>
          <cell r="H635">
            <v>5064.87</v>
          </cell>
          <cell r="I635">
            <v>3771.93</v>
          </cell>
          <cell r="J635">
            <v>-1292.94</v>
          </cell>
        </row>
        <row r="636">
          <cell r="A636" t="str">
            <v>6227085065</v>
          </cell>
          <cell r="B636">
            <v>62270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6227085500</v>
          </cell>
          <cell r="B637">
            <v>62270</v>
          </cell>
          <cell r="C637">
            <v>85500</v>
          </cell>
          <cell r="D637" t="str">
            <v>Consulting Services</v>
          </cell>
          <cell r="E637">
            <v>50</v>
          </cell>
          <cell r="F637">
            <v>1903.65</v>
          </cell>
          <cell r="G637">
            <v>-1853.65</v>
          </cell>
          <cell r="H637">
            <v>6449.85</v>
          </cell>
          <cell r="I637">
            <v>2560.88</v>
          </cell>
          <cell r="J637">
            <v>-3888.97</v>
          </cell>
        </row>
        <row r="638">
          <cell r="A638" t="str">
            <v>6227085566</v>
          </cell>
          <cell r="B638">
            <v>62270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71594.64</v>
          </cell>
          <cell r="G638">
            <v>-71594.64</v>
          </cell>
          <cell r="H638">
            <v>0</v>
          </cell>
          <cell r="I638">
            <v>107248.92</v>
          </cell>
          <cell r="J638">
            <v>107248.92</v>
          </cell>
        </row>
        <row r="639">
          <cell r="A639" t="str">
            <v>6227085581</v>
          </cell>
          <cell r="B639">
            <v>62270</v>
          </cell>
          <cell r="C639">
            <v>85581</v>
          </cell>
          <cell r="D639" t="str">
            <v>Bldg Admin- Salaries</v>
          </cell>
          <cell r="E639">
            <v>58420.38</v>
          </cell>
          <cell r="F639">
            <v>15197.85</v>
          </cell>
          <cell r="G639">
            <v>43222.53</v>
          </cell>
          <cell r="H639">
            <v>89153</v>
          </cell>
          <cell r="I639">
            <v>22075.29</v>
          </cell>
          <cell r="J639">
            <v>-67077.710000000006</v>
          </cell>
        </row>
        <row r="640">
          <cell r="A640" t="str">
            <v>6227085583</v>
          </cell>
          <cell r="B640">
            <v>62270</v>
          </cell>
          <cell r="C640">
            <v>85583</v>
          </cell>
          <cell r="D640" t="str">
            <v>Bldg Admin-Office Exp.</v>
          </cell>
          <cell r="E640">
            <v>7492.08</v>
          </cell>
          <cell r="F640">
            <v>0</v>
          </cell>
          <cell r="G640">
            <v>7492.08</v>
          </cell>
          <cell r="H640">
            <v>30871</v>
          </cell>
          <cell r="I640">
            <v>0</v>
          </cell>
          <cell r="J640">
            <v>-30871</v>
          </cell>
        </row>
        <row r="641">
          <cell r="A641" t="str">
            <v>6227085530</v>
          </cell>
          <cell r="B641">
            <v>62270</v>
          </cell>
          <cell r="C641">
            <v>85530</v>
          </cell>
          <cell r="D641" t="str">
            <v>Bldg Admin - Office Exp</v>
          </cell>
          <cell r="E641">
            <v>7492.08</v>
          </cell>
          <cell r="F641">
            <v>0</v>
          </cell>
          <cell r="G641">
            <v>7492.08</v>
          </cell>
          <cell r="H641">
            <v>30871</v>
          </cell>
          <cell r="I641">
            <v>0</v>
          </cell>
          <cell r="J641">
            <v>-30871</v>
          </cell>
        </row>
        <row r="642">
          <cell r="A642" t="str">
            <v>6227086012</v>
          </cell>
          <cell r="B642">
            <v>62270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6227086037</v>
          </cell>
          <cell r="B643">
            <v>62270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6227083050</v>
          </cell>
          <cell r="B644">
            <v>62270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6227086510</v>
          </cell>
          <cell r="B645">
            <v>62270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6227086537</v>
          </cell>
          <cell r="B646">
            <v>62270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6227086566</v>
          </cell>
          <cell r="B647">
            <v>62270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6227086955</v>
          </cell>
          <cell r="B648">
            <v>62270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6227086985</v>
          </cell>
          <cell r="B649">
            <v>62270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6227086880</v>
          </cell>
          <cell r="B650">
            <v>62270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6227088710</v>
          </cell>
          <cell r="B651">
            <v>62270</v>
          </cell>
          <cell r="C651">
            <v>88710</v>
          </cell>
          <cell r="D651" t="str">
            <v>Losses-Bad Debts</v>
          </cell>
          <cell r="E651">
            <v>-8274.09</v>
          </cell>
          <cell r="F651">
            <v>-74385.649999999994</v>
          </cell>
          <cell r="G651">
            <v>66111.56</v>
          </cell>
          <cell r="H651">
            <v>39180.67</v>
          </cell>
          <cell r="I651">
            <v>-87770.85</v>
          </cell>
          <cell r="J651">
            <v>-126951.52</v>
          </cell>
        </row>
        <row r="652">
          <cell r="A652" t="str">
            <v>6227088711</v>
          </cell>
          <cell r="B652">
            <v>62270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6227088785</v>
          </cell>
          <cell r="B653">
            <v>62270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6227088847</v>
          </cell>
          <cell r="B654">
            <v>62270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6227088866</v>
          </cell>
          <cell r="B655">
            <v>62270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6227088870</v>
          </cell>
          <cell r="B656">
            <v>62270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6227088889</v>
          </cell>
          <cell r="B657">
            <v>62270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6227089776</v>
          </cell>
          <cell r="B658">
            <v>62270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6227089787</v>
          </cell>
          <cell r="B659">
            <v>62270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6227089510</v>
          </cell>
          <cell r="B660">
            <v>62270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660333</v>
          </cell>
          <cell r="I660">
            <v>0</v>
          </cell>
          <cell r="J660">
            <v>-660333</v>
          </cell>
        </row>
        <row r="661">
          <cell r="A661" t="str">
            <v>6227089511</v>
          </cell>
          <cell r="B661">
            <v>62270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6227089512</v>
          </cell>
          <cell r="B662">
            <v>62270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6227089528</v>
          </cell>
          <cell r="B663">
            <v>62270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6227089529</v>
          </cell>
          <cell r="B664">
            <v>62270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15610</v>
          </cell>
          <cell r="I664">
            <v>0</v>
          </cell>
          <cell r="J664">
            <v>-15610</v>
          </cell>
        </row>
        <row r="665">
          <cell r="A665" t="str">
            <v>6227089567</v>
          </cell>
          <cell r="B665">
            <v>62270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6227085058</v>
          </cell>
          <cell r="B666">
            <v>62270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6227086513</v>
          </cell>
          <cell r="B667">
            <v>62270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0</v>
          </cell>
          <cell r="G667">
            <v>0</v>
          </cell>
          <cell r="H667">
            <v>199.22</v>
          </cell>
          <cell r="I667">
            <v>0</v>
          </cell>
          <cell r="J667">
            <v>-199.22</v>
          </cell>
        </row>
        <row r="668">
          <cell r="A668" t="str">
            <v>6227086519</v>
          </cell>
          <cell r="B668">
            <v>62270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6227088770</v>
          </cell>
          <cell r="B669">
            <v>62270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6227088862</v>
          </cell>
          <cell r="B670">
            <v>62270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6227088874</v>
          </cell>
          <cell r="B671">
            <v>62270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6227089910</v>
          </cell>
          <cell r="B672">
            <v>62270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0</v>
          </cell>
          <cell r="G672">
            <v>0</v>
          </cell>
          <cell r="H672">
            <v>594321.80000000005</v>
          </cell>
          <cell r="I672">
            <v>0</v>
          </cell>
          <cell r="J672">
            <v>-594321.80000000005</v>
          </cell>
        </row>
        <row r="673">
          <cell r="A673" t="str">
            <v>6227089548</v>
          </cell>
          <cell r="B673">
            <v>62270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6232041010</v>
          </cell>
          <cell r="B674">
            <v>62320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6232041040</v>
          </cell>
          <cell r="B675">
            <v>62320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6232041050</v>
          </cell>
          <cell r="B676">
            <v>62320</v>
          </cell>
          <cell r="C676">
            <v>41050</v>
          </cell>
          <cell r="D676" t="str">
            <v>Rental Income - Fixed</v>
          </cell>
          <cell r="E676">
            <v>-1406722.58</v>
          </cell>
          <cell r="F676">
            <v>-966889.92</v>
          </cell>
          <cell r="G676">
            <v>-439832.66</v>
          </cell>
          <cell r="H676">
            <v>-2628522.35</v>
          </cell>
          <cell r="I676">
            <v>-1431339.33</v>
          </cell>
          <cell r="J676">
            <v>1197183.02</v>
          </cell>
        </row>
        <row r="677">
          <cell r="A677" t="str">
            <v>6232041074</v>
          </cell>
          <cell r="B677">
            <v>62320</v>
          </cell>
          <cell r="C677">
            <v>41074</v>
          </cell>
          <cell r="D677" t="str">
            <v>Rental Income - Percentage</v>
          </cell>
          <cell r="E677">
            <v>-318617.06</v>
          </cell>
          <cell r="F677">
            <v>-247467</v>
          </cell>
          <cell r="G677">
            <v>-71150.06</v>
          </cell>
          <cell r="H677">
            <v>-258444.98</v>
          </cell>
          <cell r="I677">
            <v>-160143.51999999999</v>
          </cell>
          <cell r="J677">
            <v>98301.46</v>
          </cell>
        </row>
        <row r="678">
          <cell r="A678" t="str">
            <v>6232041082</v>
          </cell>
          <cell r="B678">
            <v>62320</v>
          </cell>
          <cell r="C678">
            <v>41082</v>
          </cell>
          <cell r="D678" t="str">
            <v>Rental Income - Operating Exp</v>
          </cell>
          <cell r="E678">
            <v>-507939.66</v>
          </cell>
          <cell r="F678">
            <v>-335901.85</v>
          </cell>
          <cell r="G678">
            <v>-172037.81</v>
          </cell>
          <cell r="H678">
            <v>-816005.18</v>
          </cell>
          <cell r="I678">
            <v>-593886.65</v>
          </cell>
          <cell r="J678">
            <v>222118.53</v>
          </cell>
        </row>
        <row r="679">
          <cell r="A679" t="str">
            <v>6232044610</v>
          </cell>
          <cell r="B679">
            <v>62320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6232045071</v>
          </cell>
          <cell r="B680">
            <v>62320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6232045010</v>
          </cell>
          <cell r="B681">
            <v>62320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6232045046</v>
          </cell>
          <cell r="B682">
            <v>62320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6232045070</v>
          </cell>
          <cell r="B683">
            <v>62320</v>
          </cell>
          <cell r="C683">
            <v>45070</v>
          </cell>
          <cell r="D683" t="str">
            <v>Other Income</v>
          </cell>
          <cell r="E683">
            <v>-1977.24</v>
          </cell>
          <cell r="F683">
            <v>-749.94</v>
          </cell>
          <cell r="G683">
            <v>-1227.3</v>
          </cell>
          <cell r="H683">
            <v>-17810.75</v>
          </cell>
          <cell r="I683">
            <v>-2500.54</v>
          </cell>
          <cell r="J683">
            <v>15310.21</v>
          </cell>
        </row>
        <row r="684">
          <cell r="A684" t="str">
            <v>6232041060</v>
          </cell>
          <cell r="B684">
            <v>62320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0</v>
          </cell>
          <cell r="G684">
            <v>0</v>
          </cell>
          <cell r="H684">
            <v>53772</v>
          </cell>
          <cell r="I684">
            <v>0</v>
          </cell>
          <cell r="J684">
            <v>-53772</v>
          </cell>
        </row>
        <row r="685">
          <cell r="A685" t="str">
            <v>6232044870</v>
          </cell>
          <cell r="B685">
            <v>62320</v>
          </cell>
          <cell r="C685">
            <v>44870</v>
          </cell>
          <cell r="D685" t="str">
            <v>Late Fees</v>
          </cell>
          <cell r="E685">
            <v>-397.66</v>
          </cell>
          <cell r="F685">
            <v>0</v>
          </cell>
          <cell r="G685">
            <v>-397.66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6232052542</v>
          </cell>
          <cell r="B686">
            <v>62320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6232072710</v>
          </cell>
          <cell r="B687">
            <v>62320</v>
          </cell>
          <cell r="C687">
            <v>72710</v>
          </cell>
          <cell r="D687" t="str">
            <v>Utilities - Electricity</v>
          </cell>
          <cell r="E687">
            <v>28782.04</v>
          </cell>
          <cell r="F687">
            <v>27018.63</v>
          </cell>
          <cell r="G687">
            <v>1763.41</v>
          </cell>
          <cell r="H687">
            <v>39612.959999999999</v>
          </cell>
          <cell r="I687">
            <v>37706.83</v>
          </cell>
          <cell r="J687">
            <v>-1906.13</v>
          </cell>
        </row>
        <row r="688">
          <cell r="A688" t="str">
            <v>6232072740</v>
          </cell>
          <cell r="B688">
            <v>62320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6232072770</v>
          </cell>
          <cell r="B689">
            <v>62320</v>
          </cell>
          <cell r="C689">
            <v>72770</v>
          </cell>
          <cell r="D689" t="str">
            <v>Utilities - Water</v>
          </cell>
          <cell r="E689">
            <v>6935.77</v>
          </cell>
          <cell r="F689">
            <v>4589.21</v>
          </cell>
          <cell r="G689">
            <v>2346.56</v>
          </cell>
          <cell r="H689">
            <v>13875.62</v>
          </cell>
          <cell r="I689">
            <v>8586.84</v>
          </cell>
          <cell r="J689">
            <v>-5288.78</v>
          </cell>
        </row>
        <row r="690">
          <cell r="A690" t="str">
            <v>6232076000</v>
          </cell>
          <cell r="B690">
            <v>62320</v>
          </cell>
          <cell r="C690">
            <v>76000</v>
          </cell>
          <cell r="D690" t="str">
            <v>Bldg Maintenance &amp; Repair</v>
          </cell>
          <cell r="E690">
            <v>34892.519999999997</v>
          </cell>
          <cell r="F690">
            <v>24932.799999999999</v>
          </cell>
          <cell r="G690">
            <v>9959.7199999999993</v>
          </cell>
          <cell r="H690">
            <v>47974.83</v>
          </cell>
          <cell r="I690">
            <v>35086.769999999997</v>
          </cell>
          <cell r="J690">
            <v>-12888.06</v>
          </cell>
        </row>
        <row r="691">
          <cell r="A691" t="str">
            <v>6232076020</v>
          </cell>
          <cell r="B691">
            <v>62320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6232076034</v>
          </cell>
          <cell r="B692">
            <v>62320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6232076050</v>
          </cell>
          <cell r="B693">
            <v>62320</v>
          </cell>
          <cell r="C693">
            <v>76050</v>
          </cell>
          <cell r="D693" t="str">
            <v>Cleaning Expense</v>
          </cell>
          <cell r="E693">
            <v>55606.87</v>
          </cell>
          <cell r="F693">
            <v>53006.57</v>
          </cell>
          <cell r="G693">
            <v>2600.3000000000002</v>
          </cell>
          <cell r="H693">
            <v>82103.789999999994</v>
          </cell>
          <cell r="I693">
            <v>80862.67</v>
          </cell>
          <cell r="J693">
            <v>-1241.1199999999999</v>
          </cell>
        </row>
        <row r="694">
          <cell r="A694" t="str">
            <v>6232076056</v>
          </cell>
          <cell r="B694">
            <v>62320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6232076070</v>
          </cell>
          <cell r="B695">
            <v>62320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6232076091</v>
          </cell>
          <cell r="B696">
            <v>62320</v>
          </cell>
          <cell r="C696">
            <v>76091</v>
          </cell>
          <cell r="D696" t="str">
            <v>Parking Maintenance</v>
          </cell>
          <cell r="E696">
            <v>41714.18</v>
          </cell>
          <cell r="F696">
            <v>42671.06</v>
          </cell>
          <cell r="G696">
            <v>-956.87999999999704</v>
          </cell>
          <cell r="H696">
            <v>67603.570000000007</v>
          </cell>
          <cell r="I696">
            <v>108016.15</v>
          </cell>
          <cell r="J696">
            <v>40412.58</v>
          </cell>
        </row>
        <row r="697">
          <cell r="A697" t="str">
            <v>6232077000</v>
          </cell>
          <cell r="B697">
            <v>62320</v>
          </cell>
          <cell r="C697">
            <v>77000</v>
          </cell>
          <cell r="D697" t="str">
            <v>Grounds Maintenance</v>
          </cell>
          <cell r="E697">
            <v>54405.97</v>
          </cell>
          <cell r="F697">
            <v>41340.36</v>
          </cell>
          <cell r="G697">
            <v>13065.61</v>
          </cell>
          <cell r="H697">
            <v>125411.44</v>
          </cell>
          <cell r="I697">
            <v>65248.51</v>
          </cell>
          <cell r="J697">
            <v>-60162.93</v>
          </cell>
        </row>
        <row r="698">
          <cell r="A698" t="str">
            <v>6232077053</v>
          </cell>
          <cell r="B698">
            <v>62320</v>
          </cell>
          <cell r="C698">
            <v>77053</v>
          </cell>
          <cell r="D698" t="str">
            <v>Landscaping</v>
          </cell>
          <cell r="E698">
            <v>65833.279999999999</v>
          </cell>
          <cell r="F698">
            <v>64131.27</v>
          </cell>
          <cell r="G698">
            <v>1702.01</v>
          </cell>
          <cell r="H698">
            <v>105102.54</v>
          </cell>
          <cell r="I698">
            <v>94545.27</v>
          </cell>
          <cell r="J698">
            <v>-10557.27</v>
          </cell>
        </row>
        <row r="699">
          <cell r="A699" t="str">
            <v>6232078020</v>
          </cell>
          <cell r="B699">
            <v>62320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6232084264</v>
          </cell>
          <cell r="B700">
            <v>62320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6232085555</v>
          </cell>
          <cell r="B701">
            <v>62320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6232085584</v>
          </cell>
          <cell r="B702">
            <v>62320</v>
          </cell>
          <cell r="C702">
            <v>85584</v>
          </cell>
          <cell r="D702" t="str">
            <v>Bldg Admin-Office Costs</v>
          </cell>
          <cell r="E702">
            <v>5299.36</v>
          </cell>
          <cell r="F702">
            <v>12776.94</v>
          </cell>
          <cell r="G702">
            <v>-7477.58</v>
          </cell>
          <cell r="H702">
            <v>7945</v>
          </cell>
          <cell r="I702">
            <v>19137.91</v>
          </cell>
          <cell r="J702">
            <v>11192.91</v>
          </cell>
        </row>
        <row r="703">
          <cell r="A703" t="str">
            <v>6232085582</v>
          </cell>
          <cell r="B703">
            <v>62320</v>
          </cell>
          <cell r="C703">
            <v>85582</v>
          </cell>
          <cell r="D703" t="str">
            <v>Bldg Admin-Salaries</v>
          </cell>
          <cell r="E703">
            <v>30371.95</v>
          </cell>
          <cell r="F703">
            <v>49617</v>
          </cell>
          <cell r="G703">
            <v>-19245.05</v>
          </cell>
          <cell r="H703">
            <v>50753</v>
          </cell>
          <cell r="I703">
            <v>75849.759999999995</v>
          </cell>
          <cell r="J703">
            <v>25096.76</v>
          </cell>
        </row>
        <row r="704">
          <cell r="A704" t="str">
            <v>6232086564</v>
          </cell>
          <cell r="B704">
            <v>62320</v>
          </cell>
          <cell r="C704">
            <v>86564</v>
          </cell>
          <cell r="D704" t="str">
            <v>Insurance</v>
          </cell>
          <cell r="E704">
            <v>46576</v>
          </cell>
          <cell r="F704">
            <v>34824</v>
          </cell>
          <cell r="G704">
            <v>11752</v>
          </cell>
          <cell r="H704">
            <v>70920</v>
          </cell>
          <cell r="I704">
            <v>52229</v>
          </cell>
          <cell r="J704">
            <v>-18691</v>
          </cell>
        </row>
        <row r="705">
          <cell r="A705" t="str">
            <v>6232088846</v>
          </cell>
          <cell r="B705">
            <v>62320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6232088890</v>
          </cell>
          <cell r="B706">
            <v>62320</v>
          </cell>
          <cell r="C706">
            <v>88890</v>
          </cell>
          <cell r="D706" t="str">
            <v>Security/Safety</v>
          </cell>
          <cell r="E706">
            <v>68433.02</v>
          </cell>
          <cell r="F706">
            <v>38344.9</v>
          </cell>
          <cell r="G706">
            <v>30088.12</v>
          </cell>
          <cell r="H706">
            <v>102380.75</v>
          </cell>
          <cell r="I706">
            <v>59228.28</v>
          </cell>
          <cell r="J706">
            <v>-43152.47</v>
          </cell>
        </row>
        <row r="707">
          <cell r="A707" t="str">
            <v>6232089775</v>
          </cell>
          <cell r="B707">
            <v>62320</v>
          </cell>
          <cell r="C707">
            <v>89775</v>
          </cell>
          <cell r="D707" t="str">
            <v>Assmt Dist Taxes- Reimb</v>
          </cell>
          <cell r="E707">
            <v>23574.639999999999</v>
          </cell>
          <cell r="F707">
            <v>14144.66</v>
          </cell>
          <cell r="G707">
            <v>9429.98</v>
          </cell>
          <cell r="H707">
            <v>35362.68</v>
          </cell>
          <cell r="I707">
            <v>21217</v>
          </cell>
          <cell r="J707">
            <v>-14145.68</v>
          </cell>
        </row>
        <row r="708">
          <cell r="A708" t="str">
            <v>6232089729</v>
          </cell>
          <cell r="B708">
            <v>62320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6232089786</v>
          </cell>
          <cell r="B709">
            <v>62320</v>
          </cell>
          <cell r="C709">
            <v>89786</v>
          </cell>
          <cell r="D709" t="str">
            <v>Property Tax Exp</v>
          </cell>
          <cell r="E709">
            <v>99498</v>
          </cell>
          <cell r="F709">
            <v>126202.68</v>
          </cell>
          <cell r="G709">
            <v>-26704.68</v>
          </cell>
          <cell r="H709">
            <v>149251.68</v>
          </cell>
          <cell r="I709">
            <v>189303.63</v>
          </cell>
          <cell r="J709">
            <v>40051.949999999997</v>
          </cell>
        </row>
        <row r="710">
          <cell r="A710" t="str">
            <v>6232071040</v>
          </cell>
          <cell r="B710">
            <v>62320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6232072701</v>
          </cell>
          <cell r="B711">
            <v>62320</v>
          </cell>
          <cell r="C711">
            <v>72701</v>
          </cell>
          <cell r="D711" t="str">
            <v>Utilities</v>
          </cell>
          <cell r="E711">
            <v>-450</v>
          </cell>
          <cell r="F711">
            <v>0</v>
          </cell>
          <cell r="G711">
            <v>-450</v>
          </cell>
          <cell r="H711">
            <v>-25.64</v>
          </cell>
          <cell r="I711">
            <v>0</v>
          </cell>
          <cell r="J711">
            <v>25.64</v>
          </cell>
        </row>
        <row r="712">
          <cell r="A712" t="str">
            <v>6232072855</v>
          </cell>
          <cell r="B712">
            <v>62320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6232072870</v>
          </cell>
          <cell r="B713">
            <v>62320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6232076010</v>
          </cell>
          <cell r="B714">
            <v>62320</v>
          </cell>
          <cell r="C714">
            <v>76010</v>
          </cell>
          <cell r="D714" t="str">
            <v>Tenant Alterations</v>
          </cell>
          <cell r="E714">
            <v>684.09</v>
          </cell>
          <cell r="F714">
            <v>0</v>
          </cell>
          <cell r="G714">
            <v>684.09</v>
          </cell>
          <cell r="H714">
            <v>485</v>
          </cell>
          <cell r="I714">
            <v>0</v>
          </cell>
          <cell r="J714">
            <v>-485</v>
          </cell>
        </row>
        <row r="715">
          <cell r="A715" t="str">
            <v>6232076040</v>
          </cell>
          <cell r="B715">
            <v>62320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6232076051</v>
          </cell>
          <cell r="B716">
            <v>62320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6232076054</v>
          </cell>
          <cell r="B717">
            <v>62320</v>
          </cell>
          <cell r="C717">
            <v>76054</v>
          </cell>
          <cell r="D717" t="str">
            <v>Bldg Maintenance &amp; Repair</v>
          </cell>
          <cell r="E717">
            <v>7879.95</v>
          </cell>
          <cell r="F717">
            <v>755.14</v>
          </cell>
          <cell r="G717">
            <v>7124.81</v>
          </cell>
          <cell r="H717">
            <v>5057.83</v>
          </cell>
          <cell r="I717">
            <v>34254.370000000003</v>
          </cell>
          <cell r="J717">
            <v>29196.54</v>
          </cell>
        </row>
        <row r="718">
          <cell r="A718" t="str">
            <v>6232076060</v>
          </cell>
          <cell r="B718">
            <v>62320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6232076071</v>
          </cell>
          <cell r="B719">
            <v>62320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6232076090</v>
          </cell>
          <cell r="B720">
            <v>62320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6232077001</v>
          </cell>
          <cell r="B721">
            <v>62320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6232077022</v>
          </cell>
          <cell r="B722">
            <v>62320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6232084200</v>
          </cell>
          <cell r="B723">
            <v>62320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6232084240</v>
          </cell>
          <cell r="B724">
            <v>62320</v>
          </cell>
          <cell r="C724">
            <v>84240</v>
          </cell>
          <cell r="D724" t="str">
            <v>Marketing Leasing</v>
          </cell>
          <cell r="E724">
            <v>6870.75</v>
          </cell>
          <cell r="F724">
            <v>10934.66</v>
          </cell>
          <cell r="G724">
            <v>-4063.91</v>
          </cell>
          <cell r="H724">
            <v>25883.279999999999</v>
          </cell>
          <cell r="I724">
            <v>16507.07</v>
          </cell>
          <cell r="J724">
            <v>-9376.2099999999991</v>
          </cell>
        </row>
        <row r="725">
          <cell r="A725" t="str">
            <v>6232084242</v>
          </cell>
          <cell r="B725">
            <v>62320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6232084243</v>
          </cell>
          <cell r="B726">
            <v>62320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-27397</v>
          </cell>
          <cell r="I726">
            <v>-24998.240000000002</v>
          </cell>
          <cell r="J726">
            <v>2398.7600000000002</v>
          </cell>
        </row>
        <row r="727">
          <cell r="A727" t="str">
            <v>6232084244</v>
          </cell>
          <cell r="B727">
            <v>62320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20364.240000000002</v>
          </cell>
          <cell r="G727">
            <v>-20364.240000000002</v>
          </cell>
          <cell r="H727">
            <v>0</v>
          </cell>
          <cell r="I727">
            <v>20446.830000000002</v>
          </cell>
          <cell r="J727">
            <v>20446.830000000002</v>
          </cell>
        </row>
        <row r="728">
          <cell r="A728" t="str">
            <v>6232084265</v>
          </cell>
          <cell r="B728">
            <v>62320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6232088037</v>
          </cell>
          <cell r="B729">
            <v>62320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6232085016</v>
          </cell>
          <cell r="B730">
            <v>62320</v>
          </cell>
          <cell r="C730">
            <v>85016</v>
          </cell>
          <cell r="D730" t="str">
            <v>Prof Svc-Attorney Outside</v>
          </cell>
          <cell r="E730">
            <v>-736</v>
          </cell>
          <cell r="F730">
            <v>1249.75</v>
          </cell>
          <cell r="G730">
            <v>-1985.75</v>
          </cell>
          <cell r="H730">
            <v>2626.47</v>
          </cell>
          <cell r="I730">
            <v>13281.84</v>
          </cell>
          <cell r="J730">
            <v>10655.37</v>
          </cell>
        </row>
        <row r="731">
          <cell r="A731" t="str">
            <v>6232085022</v>
          </cell>
          <cell r="B731">
            <v>62320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199.35</v>
          </cell>
          <cell r="G731">
            <v>-199.35</v>
          </cell>
          <cell r="H731">
            <v>2572.27</v>
          </cell>
          <cell r="I731">
            <v>2571.9299999999998</v>
          </cell>
          <cell r="J731">
            <v>-0.34000000000014602</v>
          </cell>
        </row>
        <row r="732">
          <cell r="A732" t="str">
            <v>6232085065</v>
          </cell>
          <cell r="B732">
            <v>62320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6232085500</v>
          </cell>
          <cell r="B733">
            <v>62320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6996.01</v>
          </cell>
          <cell r="G733">
            <v>-6996.01</v>
          </cell>
          <cell r="H733">
            <v>7309</v>
          </cell>
          <cell r="I733">
            <v>15418.65</v>
          </cell>
          <cell r="J733">
            <v>8109.65</v>
          </cell>
        </row>
        <row r="734">
          <cell r="A734" t="str">
            <v>6232085566</v>
          </cell>
          <cell r="B734">
            <v>62320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52318.64</v>
          </cell>
          <cell r="G734">
            <v>-52318.64</v>
          </cell>
          <cell r="H734">
            <v>0</v>
          </cell>
          <cell r="I734">
            <v>78373.440000000002</v>
          </cell>
          <cell r="J734">
            <v>78373.440000000002</v>
          </cell>
        </row>
        <row r="735">
          <cell r="A735" t="str">
            <v>6232085581</v>
          </cell>
          <cell r="B735">
            <v>62320</v>
          </cell>
          <cell r="C735">
            <v>85581</v>
          </cell>
          <cell r="D735" t="str">
            <v>Bldg Admin- Salaries</v>
          </cell>
          <cell r="E735">
            <v>15530.43</v>
          </cell>
          <cell r="F735">
            <v>7293</v>
          </cell>
          <cell r="G735">
            <v>8237.43</v>
          </cell>
          <cell r="H735">
            <v>34149</v>
          </cell>
          <cell r="I735">
            <v>10461.61</v>
          </cell>
          <cell r="J735">
            <v>-23687.39</v>
          </cell>
        </row>
        <row r="736">
          <cell r="A736" t="str">
            <v>6232085583</v>
          </cell>
          <cell r="B736">
            <v>62320</v>
          </cell>
          <cell r="C736">
            <v>85583</v>
          </cell>
          <cell r="D736" t="str">
            <v>Bldg Admin-Office Exp.</v>
          </cell>
          <cell r="E736">
            <v>2977.46</v>
          </cell>
          <cell r="F736">
            <v>0</v>
          </cell>
          <cell r="G736">
            <v>2977.46</v>
          </cell>
          <cell r="H736">
            <v>11825</v>
          </cell>
          <cell r="I736">
            <v>0</v>
          </cell>
          <cell r="J736">
            <v>-11825</v>
          </cell>
        </row>
        <row r="737">
          <cell r="A737" t="str">
            <v>6232085530</v>
          </cell>
          <cell r="B737">
            <v>62320</v>
          </cell>
          <cell r="C737">
            <v>85530</v>
          </cell>
          <cell r="D737" t="str">
            <v>Bldg Admin - Office Exp</v>
          </cell>
          <cell r="E737">
            <v>2977.46</v>
          </cell>
          <cell r="F737">
            <v>0</v>
          </cell>
          <cell r="G737">
            <v>2977.46</v>
          </cell>
          <cell r="H737">
            <v>11825</v>
          </cell>
          <cell r="I737">
            <v>0</v>
          </cell>
          <cell r="J737">
            <v>-11825</v>
          </cell>
        </row>
        <row r="738">
          <cell r="A738" t="str">
            <v>6232086012</v>
          </cell>
          <cell r="B738">
            <v>62320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6232086037</v>
          </cell>
          <cell r="B739">
            <v>62320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6232083050</v>
          </cell>
          <cell r="B740">
            <v>62320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6232086510</v>
          </cell>
          <cell r="B741">
            <v>62320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6232086537</v>
          </cell>
          <cell r="B742">
            <v>62320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6232086566</v>
          </cell>
          <cell r="B743">
            <v>62320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6232086955</v>
          </cell>
          <cell r="B744">
            <v>62320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6232086985</v>
          </cell>
          <cell r="B745">
            <v>62320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6232086880</v>
          </cell>
          <cell r="B746">
            <v>62320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6232088710</v>
          </cell>
          <cell r="B747">
            <v>62320</v>
          </cell>
          <cell r="C747">
            <v>88710</v>
          </cell>
          <cell r="D747" t="str">
            <v>Losses-Bad Debts</v>
          </cell>
          <cell r="E747">
            <v>83784.429999999993</v>
          </cell>
          <cell r="F747">
            <v>-43630.6</v>
          </cell>
          <cell r="G747">
            <v>127415.03</v>
          </cell>
          <cell r="H747">
            <v>87453.66</v>
          </cell>
          <cell r="I747">
            <v>-18124.62</v>
          </cell>
          <cell r="J747">
            <v>-105578.28</v>
          </cell>
        </row>
        <row r="748">
          <cell r="A748" t="str">
            <v>6232088711</v>
          </cell>
          <cell r="B748">
            <v>62320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6232088785</v>
          </cell>
          <cell r="B749">
            <v>62320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6232088847</v>
          </cell>
          <cell r="B750">
            <v>62320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6232088866</v>
          </cell>
          <cell r="B751">
            <v>62320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6232088870</v>
          </cell>
          <cell r="B752">
            <v>62320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6232088889</v>
          </cell>
          <cell r="B753">
            <v>62320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6232089776</v>
          </cell>
          <cell r="B754">
            <v>62320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6232089787</v>
          </cell>
          <cell r="B755">
            <v>62320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6232089510</v>
          </cell>
          <cell r="B756">
            <v>62320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6232089511</v>
          </cell>
          <cell r="B757">
            <v>62320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6232089512</v>
          </cell>
          <cell r="B758">
            <v>62320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6232089528</v>
          </cell>
          <cell r="B759">
            <v>62320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6232089529</v>
          </cell>
          <cell r="B760">
            <v>62320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6232089567</v>
          </cell>
          <cell r="B761">
            <v>62320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6232085058</v>
          </cell>
          <cell r="B762">
            <v>62320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6232086513</v>
          </cell>
          <cell r="B763">
            <v>62320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2794.3</v>
          </cell>
          <cell r="I763">
            <v>0</v>
          </cell>
          <cell r="J763">
            <v>-2794.3</v>
          </cell>
        </row>
        <row r="764">
          <cell r="A764" t="str">
            <v>6232086519</v>
          </cell>
          <cell r="B764">
            <v>62320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6232088770</v>
          </cell>
          <cell r="B765">
            <v>62320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6232088862</v>
          </cell>
          <cell r="B766">
            <v>62320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6232088874</v>
          </cell>
          <cell r="B767">
            <v>62320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6232089910</v>
          </cell>
          <cell r="B768">
            <v>62320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0</v>
          </cell>
          <cell r="G768">
            <v>0</v>
          </cell>
          <cell r="H768">
            <v>940839.07</v>
          </cell>
          <cell r="I768">
            <v>0</v>
          </cell>
          <cell r="J768">
            <v>-940839.07</v>
          </cell>
        </row>
        <row r="769">
          <cell r="A769" t="str">
            <v>6232089548</v>
          </cell>
          <cell r="B769">
            <v>62320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6252641010</v>
          </cell>
          <cell r="B770">
            <v>62526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6252641040</v>
          </cell>
          <cell r="B771">
            <v>62526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6252641050</v>
          </cell>
          <cell r="B772">
            <v>62526</v>
          </cell>
          <cell r="C772">
            <v>41050</v>
          </cell>
          <cell r="D772" t="str">
            <v>Rental Income - Fixed</v>
          </cell>
          <cell r="E772">
            <v>-1193050.8799999999</v>
          </cell>
          <cell r="F772">
            <v>-858663.77</v>
          </cell>
          <cell r="G772">
            <v>-334387.11</v>
          </cell>
          <cell r="H772">
            <v>-1820794.19</v>
          </cell>
          <cell r="I772">
            <v>-1291645.42</v>
          </cell>
          <cell r="J772">
            <v>529148.77</v>
          </cell>
        </row>
        <row r="773">
          <cell r="A773" t="str">
            <v>6252641074</v>
          </cell>
          <cell r="B773">
            <v>62526</v>
          </cell>
          <cell r="C773">
            <v>41074</v>
          </cell>
          <cell r="D773" t="str">
            <v>Rental Income - Percentage</v>
          </cell>
          <cell r="E773">
            <v>-1755.74</v>
          </cell>
          <cell r="F773">
            <v>0</v>
          </cell>
          <cell r="G773">
            <v>-1755.74</v>
          </cell>
          <cell r="H773">
            <v>-14810</v>
          </cell>
          <cell r="I773">
            <v>0</v>
          </cell>
          <cell r="J773">
            <v>14810</v>
          </cell>
        </row>
        <row r="774">
          <cell r="A774" t="str">
            <v>6252641082</v>
          </cell>
          <cell r="B774">
            <v>62526</v>
          </cell>
          <cell r="C774">
            <v>41082</v>
          </cell>
          <cell r="D774" t="str">
            <v>Rental Income - Operating Exp</v>
          </cell>
          <cell r="E774">
            <v>-440785.96</v>
          </cell>
          <cell r="F774">
            <v>-378340.27</v>
          </cell>
          <cell r="G774">
            <v>-62445.69</v>
          </cell>
          <cell r="H774">
            <v>-679284.96</v>
          </cell>
          <cell r="I774">
            <v>-466633.72</v>
          </cell>
          <cell r="J774">
            <v>212651.24</v>
          </cell>
        </row>
        <row r="775">
          <cell r="A775" t="str">
            <v>6252644610</v>
          </cell>
          <cell r="B775">
            <v>62526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6252645071</v>
          </cell>
          <cell r="B776">
            <v>62526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6252645010</v>
          </cell>
          <cell r="B777">
            <v>62526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6252645046</v>
          </cell>
          <cell r="B778">
            <v>62526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6252645070</v>
          </cell>
          <cell r="B779">
            <v>62526</v>
          </cell>
          <cell r="C779">
            <v>45070</v>
          </cell>
          <cell r="D779" t="str">
            <v>Other Income</v>
          </cell>
          <cell r="E779">
            <v>-1322.13</v>
          </cell>
          <cell r="F779">
            <v>-450.41</v>
          </cell>
          <cell r="G779">
            <v>-871.72</v>
          </cell>
          <cell r="H779">
            <v>-18891.93</v>
          </cell>
          <cell r="I779">
            <v>-3901.15</v>
          </cell>
          <cell r="J779">
            <v>14990.78</v>
          </cell>
        </row>
        <row r="780">
          <cell r="A780" t="str">
            <v>6252641060</v>
          </cell>
          <cell r="B780">
            <v>62526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0</v>
          </cell>
          <cell r="G780">
            <v>0</v>
          </cell>
          <cell r="H780">
            <v>18399.98</v>
          </cell>
          <cell r="I780">
            <v>0</v>
          </cell>
          <cell r="J780">
            <v>-18399.98</v>
          </cell>
        </row>
        <row r="781">
          <cell r="A781" t="str">
            <v>6252644870</v>
          </cell>
          <cell r="B781">
            <v>62526</v>
          </cell>
          <cell r="C781">
            <v>44870</v>
          </cell>
          <cell r="D781" t="str">
            <v>Late Fees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6252652542</v>
          </cell>
          <cell r="B782">
            <v>62526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6252672710</v>
          </cell>
          <cell r="B783">
            <v>62526</v>
          </cell>
          <cell r="C783">
            <v>72710</v>
          </cell>
          <cell r="D783" t="str">
            <v>Utilities - Electricity</v>
          </cell>
          <cell r="E783">
            <v>20714.849999999999</v>
          </cell>
          <cell r="F783">
            <v>23902.51</v>
          </cell>
          <cell r="G783">
            <v>-3187.66</v>
          </cell>
          <cell r="H783">
            <v>36076.44</v>
          </cell>
          <cell r="I783">
            <v>31791.9</v>
          </cell>
          <cell r="J783">
            <v>-4284.54</v>
          </cell>
        </row>
        <row r="784">
          <cell r="A784" t="str">
            <v>6252672740</v>
          </cell>
          <cell r="B784">
            <v>62526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6252672770</v>
          </cell>
          <cell r="B785">
            <v>62526</v>
          </cell>
          <cell r="C785">
            <v>72770</v>
          </cell>
          <cell r="D785" t="str">
            <v>Utilities - Water</v>
          </cell>
          <cell r="E785">
            <v>8963.8700000000008</v>
          </cell>
          <cell r="F785">
            <v>7460.43</v>
          </cell>
          <cell r="G785">
            <v>1503.44</v>
          </cell>
          <cell r="H785">
            <v>11530.88</v>
          </cell>
          <cell r="I785">
            <v>11690.82</v>
          </cell>
          <cell r="J785">
            <v>159.94000000000099</v>
          </cell>
        </row>
        <row r="786">
          <cell r="A786" t="str">
            <v>6252676000</v>
          </cell>
          <cell r="B786">
            <v>62526</v>
          </cell>
          <cell r="C786">
            <v>76000</v>
          </cell>
          <cell r="D786" t="str">
            <v>Bldg Maintenance &amp; Repair</v>
          </cell>
          <cell r="E786">
            <v>45384.65</v>
          </cell>
          <cell r="F786">
            <v>17310.98</v>
          </cell>
          <cell r="G786">
            <v>28073.67</v>
          </cell>
          <cell r="H786">
            <v>59065.94</v>
          </cell>
          <cell r="I786">
            <v>30025.65</v>
          </cell>
          <cell r="J786">
            <v>-29040.29</v>
          </cell>
        </row>
        <row r="787">
          <cell r="A787" t="str">
            <v>6252676020</v>
          </cell>
          <cell r="B787">
            <v>62526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6252676034</v>
          </cell>
          <cell r="B788">
            <v>62526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6252676050</v>
          </cell>
          <cell r="B789">
            <v>62526</v>
          </cell>
          <cell r="C789">
            <v>76050</v>
          </cell>
          <cell r="D789" t="str">
            <v>Cleaning Expense</v>
          </cell>
          <cell r="E789">
            <v>52117.36</v>
          </cell>
          <cell r="F789">
            <v>45644.6</v>
          </cell>
          <cell r="G789">
            <v>6472.76</v>
          </cell>
          <cell r="H789">
            <v>79950.100000000006</v>
          </cell>
          <cell r="I789">
            <v>70667.78</v>
          </cell>
          <cell r="J789">
            <v>-9282.3200000000106</v>
          </cell>
        </row>
        <row r="790">
          <cell r="A790" t="str">
            <v>6252676056</v>
          </cell>
          <cell r="B790">
            <v>62526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6252676070</v>
          </cell>
          <cell r="B791">
            <v>62526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6252676091</v>
          </cell>
          <cell r="B792">
            <v>62526</v>
          </cell>
          <cell r="C792">
            <v>76091</v>
          </cell>
          <cell r="D792" t="str">
            <v>Parking Maintenance</v>
          </cell>
          <cell r="E792">
            <v>37025.83</v>
          </cell>
          <cell r="F792">
            <v>27530.18</v>
          </cell>
          <cell r="G792">
            <v>9495.65</v>
          </cell>
          <cell r="H792">
            <v>81131.5</v>
          </cell>
          <cell r="I792">
            <v>41160.620000000003</v>
          </cell>
          <cell r="J792">
            <v>-39970.879999999997</v>
          </cell>
        </row>
        <row r="793">
          <cell r="A793" t="str">
            <v>6252677000</v>
          </cell>
          <cell r="B793">
            <v>62526</v>
          </cell>
          <cell r="C793">
            <v>77000</v>
          </cell>
          <cell r="D793" t="str">
            <v>Grounds Maintenance</v>
          </cell>
          <cell r="E793">
            <v>37488.49</v>
          </cell>
          <cell r="F793">
            <v>22737.96</v>
          </cell>
          <cell r="G793">
            <v>14750.53</v>
          </cell>
          <cell r="H793">
            <v>46574.16</v>
          </cell>
          <cell r="I793">
            <v>36666.160000000003</v>
          </cell>
          <cell r="J793">
            <v>-9908</v>
          </cell>
        </row>
        <row r="794">
          <cell r="A794" t="str">
            <v>6252677053</v>
          </cell>
          <cell r="B794">
            <v>62526</v>
          </cell>
          <cell r="C794">
            <v>77053</v>
          </cell>
          <cell r="D794" t="str">
            <v>Landscaping</v>
          </cell>
          <cell r="E794">
            <v>32562.45</v>
          </cell>
          <cell r="F794">
            <v>58673.35</v>
          </cell>
          <cell r="G794">
            <v>-26110.9</v>
          </cell>
          <cell r="H794">
            <v>100977.55</v>
          </cell>
          <cell r="I794">
            <v>81947.320000000007</v>
          </cell>
          <cell r="J794">
            <v>-19030.23</v>
          </cell>
        </row>
        <row r="795">
          <cell r="A795" t="str">
            <v>6252678020</v>
          </cell>
          <cell r="B795">
            <v>62526</v>
          </cell>
          <cell r="C795">
            <v>78020</v>
          </cell>
          <cell r="D795" t="str">
            <v>Amortized CAM Exp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6252684264</v>
          </cell>
          <cell r="B796">
            <v>62526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6252685555</v>
          </cell>
          <cell r="B797">
            <v>62526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6252685584</v>
          </cell>
          <cell r="B798">
            <v>62526</v>
          </cell>
          <cell r="C798">
            <v>85584</v>
          </cell>
          <cell r="D798" t="str">
            <v>Bldg Admin-Office Costs</v>
          </cell>
          <cell r="E798">
            <v>2968.79</v>
          </cell>
          <cell r="F798">
            <v>10524.51</v>
          </cell>
          <cell r="G798">
            <v>-7555.72</v>
          </cell>
          <cell r="H798">
            <v>3835</v>
          </cell>
          <cell r="I798">
            <v>15794.34</v>
          </cell>
          <cell r="J798">
            <v>11959.34</v>
          </cell>
        </row>
        <row r="799">
          <cell r="A799" t="str">
            <v>6252685582</v>
          </cell>
          <cell r="B799">
            <v>62526</v>
          </cell>
          <cell r="C799">
            <v>85582</v>
          </cell>
          <cell r="D799" t="str">
            <v>Bldg Admin-Salaries</v>
          </cell>
          <cell r="E799">
            <v>14667.22</v>
          </cell>
          <cell r="F799">
            <v>50925.97</v>
          </cell>
          <cell r="G799">
            <v>-36258.75</v>
          </cell>
          <cell r="H799">
            <v>24500</v>
          </cell>
          <cell r="I799">
            <v>76329.81</v>
          </cell>
          <cell r="J799">
            <v>51829.81</v>
          </cell>
        </row>
        <row r="800">
          <cell r="A800" t="str">
            <v>6252686564</v>
          </cell>
          <cell r="B800">
            <v>62526</v>
          </cell>
          <cell r="C800">
            <v>86564</v>
          </cell>
          <cell r="D800" t="str">
            <v>Insurance</v>
          </cell>
          <cell r="E800">
            <v>19944</v>
          </cell>
          <cell r="F800">
            <v>13440</v>
          </cell>
          <cell r="G800">
            <v>6504</v>
          </cell>
          <cell r="H800">
            <v>27084</v>
          </cell>
          <cell r="I800">
            <v>20152</v>
          </cell>
          <cell r="J800">
            <v>-6932</v>
          </cell>
        </row>
        <row r="801">
          <cell r="A801" t="str">
            <v>6252688846</v>
          </cell>
          <cell r="B801">
            <v>62526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6252688890</v>
          </cell>
          <cell r="B802">
            <v>62526</v>
          </cell>
          <cell r="C802">
            <v>88890</v>
          </cell>
          <cell r="D802" t="str">
            <v>Security/Safety</v>
          </cell>
          <cell r="E802">
            <v>2052.75</v>
          </cell>
          <cell r="F802">
            <v>10560.77</v>
          </cell>
          <cell r="G802">
            <v>-8508.02</v>
          </cell>
          <cell r="H802">
            <v>10000</v>
          </cell>
          <cell r="I802">
            <v>13892.18</v>
          </cell>
          <cell r="J802">
            <v>3892.18</v>
          </cell>
        </row>
        <row r="803">
          <cell r="A803" t="str">
            <v>6252689775</v>
          </cell>
          <cell r="B803">
            <v>62526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6252689729</v>
          </cell>
          <cell r="B804">
            <v>62526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6252689786</v>
          </cell>
          <cell r="B805">
            <v>62526</v>
          </cell>
          <cell r="C805">
            <v>89786</v>
          </cell>
          <cell r="D805" t="str">
            <v>Property Tax Exp</v>
          </cell>
          <cell r="E805">
            <v>87128.639999999999</v>
          </cell>
          <cell r="F805">
            <v>79592</v>
          </cell>
          <cell r="G805">
            <v>7536.64</v>
          </cell>
          <cell r="H805">
            <v>130692.32</v>
          </cell>
          <cell r="I805">
            <v>127057.04</v>
          </cell>
          <cell r="J805">
            <v>-3635.2800000000102</v>
          </cell>
        </row>
        <row r="806">
          <cell r="A806" t="str">
            <v>6252671040</v>
          </cell>
          <cell r="B806">
            <v>62526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6252672701</v>
          </cell>
          <cell r="B807">
            <v>62526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6252672855</v>
          </cell>
          <cell r="B808">
            <v>62526</v>
          </cell>
          <cell r="C808">
            <v>72855</v>
          </cell>
          <cell r="D808" t="str">
            <v>Rent Expense-Ground</v>
          </cell>
          <cell r="E808">
            <v>233333.36</v>
          </cell>
          <cell r="F808">
            <v>233333.36</v>
          </cell>
          <cell r="G808">
            <v>0</v>
          </cell>
          <cell r="H808">
            <v>350000</v>
          </cell>
          <cell r="I808">
            <v>350000.04</v>
          </cell>
          <cell r="J808">
            <v>3.99999999790452E-2</v>
          </cell>
        </row>
        <row r="809">
          <cell r="A809" t="str">
            <v>6252672870</v>
          </cell>
          <cell r="B809">
            <v>62526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6252676010</v>
          </cell>
          <cell r="B810">
            <v>62526</v>
          </cell>
          <cell r="C810">
            <v>76010</v>
          </cell>
          <cell r="D810" t="str">
            <v>Tenant Alterations</v>
          </cell>
          <cell r="E810">
            <v>989.25</v>
          </cell>
          <cell r="F810">
            <v>0</v>
          </cell>
          <cell r="G810">
            <v>989.25</v>
          </cell>
          <cell r="H810">
            <v>40.64</v>
          </cell>
          <cell r="I810">
            <v>0</v>
          </cell>
          <cell r="J810">
            <v>-40.64</v>
          </cell>
        </row>
        <row r="811">
          <cell r="A811" t="str">
            <v>6252676040</v>
          </cell>
          <cell r="B811">
            <v>62526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6252676051</v>
          </cell>
          <cell r="B812">
            <v>62526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6252676054</v>
          </cell>
          <cell r="B813">
            <v>62526</v>
          </cell>
          <cell r="C813">
            <v>76054</v>
          </cell>
          <cell r="D813" t="str">
            <v>Bldg Maintenance &amp; Repair</v>
          </cell>
          <cell r="E813">
            <v>4108.1099999999997</v>
          </cell>
          <cell r="F813">
            <v>526.07000000000005</v>
          </cell>
          <cell r="G813">
            <v>3582.04</v>
          </cell>
          <cell r="H813">
            <v>897</v>
          </cell>
          <cell r="I813">
            <v>786.42</v>
          </cell>
          <cell r="J813">
            <v>-110.58</v>
          </cell>
        </row>
        <row r="814">
          <cell r="A814" t="str">
            <v>6252676060</v>
          </cell>
          <cell r="B814">
            <v>62526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6252676071</v>
          </cell>
          <cell r="B815">
            <v>62526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6252676090</v>
          </cell>
          <cell r="B816">
            <v>62526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6252677001</v>
          </cell>
          <cell r="B817">
            <v>62526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6252677022</v>
          </cell>
          <cell r="B818">
            <v>62526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6252684200</v>
          </cell>
          <cell r="B819">
            <v>62526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6252684240</v>
          </cell>
          <cell r="B820">
            <v>62526</v>
          </cell>
          <cell r="C820">
            <v>84240</v>
          </cell>
          <cell r="D820" t="str">
            <v>Marketing Leasing</v>
          </cell>
          <cell r="E820">
            <v>3274.66</v>
          </cell>
          <cell r="F820">
            <v>11761.49</v>
          </cell>
          <cell r="G820">
            <v>-8486.83</v>
          </cell>
          <cell r="H820">
            <v>12619.98</v>
          </cell>
          <cell r="I820">
            <v>16196.15</v>
          </cell>
          <cell r="J820">
            <v>3576.17</v>
          </cell>
        </row>
        <row r="821">
          <cell r="A821" t="str">
            <v>6252684242</v>
          </cell>
          <cell r="B821">
            <v>62526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6252684243</v>
          </cell>
          <cell r="B822">
            <v>62526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-12897</v>
          </cell>
          <cell r="I822">
            <v>-13920.33</v>
          </cell>
          <cell r="J822">
            <v>-1023.33</v>
          </cell>
        </row>
        <row r="823">
          <cell r="A823" t="str">
            <v>6252684244</v>
          </cell>
          <cell r="B823">
            <v>62526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10610</v>
          </cell>
          <cell r="G823">
            <v>-10610</v>
          </cell>
          <cell r="H823">
            <v>0</v>
          </cell>
          <cell r="I823">
            <v>11136.26</v>
          </cell>
          <cell r="J823">
            <v>11136.26</v>
          </cell>
        </row>
        <row r="824">
          <cell r="A824" t="str">
            <v>6252684265</v>
          </cell>
          <cell r="B824">
            <v>62526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6252688037</v>
          </cell>
          <cell r="B825">
            <v>62526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6252685016</v>
          </cell>
          <cell r="B826">
            <v>62526</v>
          </cell>
          <cell r="C826">
            <v>85016</v>
          </cell>
          <cell r="D826" t="str">
            <v>Prof Svc-Attorney Outside</v>
          </cell>
          <cell r="E826">
            <v>368.5</v>
          </cell>
          <cell r="F826">
            <v>0</v>
          </cell>
          <cell r="G826">
            <v>368.5</v>
          </cell>
          <cell r="H826">
            <v>883.5</v>
          </cell>
          <cell r="I826">
            <v>-1987.1</v>
          </cell>
          <cell r="J826">
            <v>-2870.6</v>
          </cell>
        </row>
        <row r="827">
          <cell r="A827" t="str">
            <v>6252685022</v>
          </cell>
          <cell r="B827">
            <v>62526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199.35</v>
          </cell>
          <cell r="G827">
            <v>-199.35</v>
          </cell>
          <cell r="H827">
            <v>1943.97</v>
          </cell>
          <cell r="I827">
            <v>1221.93</v>
          </cell>
          <cell r="J827">
            <v>-722.04</v>
          </cell>
        </row>
        <row r="828">
          <cell r="A828" t="str">
            <v>6252685065</v>
          </cell>
          <cell r="B828">
            <v>62526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6252685500</v>
          </cell>
          <cell r="B829">
            <v>62526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51.6</v>
          </cell>
          <cell r="J829">
            <v>51.6</v>
          </cell>
        </row>
        <row r="830">
          <cell r="A830" t="str">
            <v>6252685566</v>
          </cell>
          <cell r="B830">
            <v>62526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28779.84</v>
          </cell>
          <cell r="G830">
            <v>-28779.84</v>
          </cell>
          <cell r="H830">
            <v>0</v>
          </cell>
          <cell r="I830">
            <v>43112.25</v>
          </cell>
          <cell r="J830">
            <v>43112.25</v>
          </cell>
        </row>
        <row r="831">
          <cell r="A831" t="str">
            <v>6252685581</v>
          </cell>
          <cell r="B831">
            <v>62526</v>
          </cell>
          <cell r="C831">
            <v>85581</v>
          </cell>
          <cell r="D831" t="str">
            <v>Bldg Admin- Salaries</v>
          </cell>
          <cell r="E831">
            <v>7548.41</v>
          </cell>
          <cell r="F831">
            <v>7446.08</v>
          </cell>
          <cell r="G831">
            <v>102.33</v>
          </cell>
          <cell r="H831">
            <v>16484</v>
          </cell>
          <cell r="I831">
            <v>10285.459999999999</v>
          </cell>
          <cell r="J831">
            <v>-6198.54</v>
          </cell>
        </row>
        <row r="832">
          <cell r="A832" t="str">
            <v>6252685583</v>
          </cell>
          <cell r="B832">
            <v>62526</v>
          </cell>
          <cell r="C832">
            <v>85583</v>
          </cell>
          <cell r="D832" t="str">
            <v>Bldg Admin-Office Exp.</v>
          </cell>
          <cell r="E832">
            <v>1449.92</v>
          </cell>
          <cell r="F832">
            <v>0</v>
          </cell>
          <cell r="G832">
            <v>1449.92</v>
          </cell>
          <cell r="H832">
            <v>5708</v>
          </cell>
          <cell r="I832">
            <v>171.33</v>
          </cell>
          <cell r="J832">
            <v>-5536.67</v>
          </cell>
        </row>
        <row r="833">
          <cell r="A833" t="str">
            <v>6252685530</v>
          </cell>
          <cell r="B833">
            <v>62526</v>
          </cell>
          <cell r="C833">
            <v>85530</v>
          </cell>
          <cell r="D833" t="str">
            <v>Bldg Admin - Office Exp</v>
          </cell>
          <cell r="E833">
            <v>1449.92</v>
          </cell>
          <cell r="F833">
            <v>0</v>
          </cell>
          <cell r="G833">
            <v>1449.92</v>
          </cell>
          <cell r="H833">
            <v>5708</v>
          </cell>
          <cell r="I833">
            <v>171.33</v>
          </cell>
          <cell r="J833">
            <v>-5536.67</v>
          </cell>
        </row>
        <row r="834">
          <cell r="A834" t="str">
            <v>6252686012</v>
          </cell>
          <cell r="B834">
            <v>62526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6252686037</v>
          </cell>
          <cell r="B835">
            <v>62526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6252683050</v>
          </cell>
          <cell r="B836">
            <v>62526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6252686510</v>
          </cell>
          <cell r="B837">
            <v>62526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6252686537</v>
          </cell>
          <cell r="B838">
            <v>62526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6252686566</v>
          </cell>
          <cell r="B839">
            <v>62526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6252686955</v>
          </cell>
          <cell r="B840">
            <v>62526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6252686985</v>
          </cell>
          <cell r="B841">
            <v>62526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6252686880</v>
          </cell>
          <cell r="B842">
            <v>62526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6252688710</v>
          </cell>
          <cell r="B843">
            <v>62526</v>
          </cell>
          <cell r="C843">
            <v>88710</v>
          </cell>
          <cell r="D843" t="str">
            <v>Losses-Bad Debts</v>
          </cell>
          <cell r="E843">
            <v>-5850.76</v>
          </cell>
          <cell r="F843">
            <v>36957.07</v>
          </cell>
          <cell r="G843">
            <v>-42807.83</v>
          </cell>
          <cell r="H843">
            <v>-24236.73</v>
          </cell>
          <cell r="I843">
            <v>-3960.41</v>
          </cell>
          <cell r="J843">
            <v>20276.32</v>
          </cell>
        </row>
        <row r="844">
          <cell r="A844" t="str">
            <v>6252688711</v>
          </cell>
          <cell r="B844">
            <v>62526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6252688785</v>
          </cell>
          <cell r="B845">
            <v>62526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6252688847</v>
          </cell>
          <cell r="B846">
            <v>62526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6252688866</v>
          </cell>
          <cell r="B847">
            <v>62526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6252688870</v>
          </cell>
          <cell r="B848">
            <v>62526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6252688889</v>
          </cell>
          <cell r="B849">
            <v>62526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6252689776</v>
          </cell>
          <cell r="B850">
            <v>62526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6252689787</v>
          </cell>
          <cell r="B851">
            <v>62526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6252689510</v>
          </cell>
          <cell r="B852">
            <v>62526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6252689511</v>
          </cell>
          <cell r="B853">
            <v>62526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6252689512</v>
          </cell>
          <cell r="B854">
            <v>62526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6252689528</v>
          </cell>
          <cell r="B855">
            <v>62526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6252689529</v>
          </cell>
          <cell r="B856">
            <v>62526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6252689567</v>
          </cell>
          <cell r="B857">
            <v>62526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6252685058</v>
          </cell>
          <cell r="B858">
            <v>62526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6252686513</v>
          </cell>
          <cell r="B859">
            <v>62526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6252686519</v>
          </cell>
          <cell r="B860">
            <v>62526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6252688770</v>
          </cell>
          <cell r="B861">
            <v>62526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6252688862</v>
          </cell>
          <cell r="B862">
            <v>62526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6252688874</v>
          </cell>
          <cell r="B863">
            <v>62526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6252689910</v>
          </cell>
          <cell r="B864">
            <v>62526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0</v>
          </cell>
          <cell r="G864">
            <v>0</v>
          </cell>
          <cell r="H864">
            <v>285037</v>
          </cell>
          <cell r="I864">
            <v>0</v>
          </cell>
          <cell r="J864">
            <v>-285037</v>
          </cell>
        </row>
        <row r="865">
          <cell r="A865" t="str">
            <v>6252689548</v>
          </cell>
          <cell r="B865">
            <v>62526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bor View"/>
      <sheetName val="variance"/>
    </sheetNames>
    <sheetDataSet>
      <sheetData sheetId="0" refreshError="1"/>
      <sheetData sheetId="1" refreshError="1">
        <row r="2">
          <cell r="A2" t="str">
            <v>6216041010</v>
          </cell>
          <cell r="B2">
            <v>62160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6216041040</v>
          </cell>
          <cell r="B3">
            <v>62160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6216041050</v>
          </cell>
          <cell r="B4">
            <v>62160</v>
          </cell>
          <cell r="C4">
            <v>41050</v>
          </cell>
          <cell r="D4" t="str">
            <v>Rental Income - Fixed</v>
          </cell>
          <cell r="E4">
            <v>-1701806.2</v>
          </cell>
          <cell r="F4">
            <v>-1710299.84</v>
          </cell>
          <cell r="G4">
            <v>8493.6400000001304</v>
          </cell>
          <cell r="H4">
            <v>-1740878.67</v>
          </cell>
          <cell r="I4">
            <v>-1710299.84</v>
          </cell>
          <cell r="J4">
            <v>30578.829999999802</v>
          </cell>
        </row>
        <row r="5">
          <cell r="A5" t="str">
            <v>6216041074</v>
          </cell>
          <cell r="B5">
            <v>62160</v>
          </cell>
          <cell r="C5">
            <v>41074</v>
          </cell>
          <cell r="D5" t="str">
            <v>Rental Income - Percentage</v>
          </cell>
          <cell r="E5">
            <v>-53476.32</v>
          </cell>
          <cell r="F5">
            <v>-4100.63</v>
          </cell>
          <cell r="G5">
            <v>-49375.69</v>
          </cell>
          <cell r="H5">
            <v>627.33000000000095</v>
          </cell>
          <cell r="I5">
            <v>-4100.63</v>
          </cell>
          <cell r="J5">
            <v>-4727.96</v>
          </cell>
        </row>
        <row r="6">
          <cell r="A6" t="str">
            <v>6216041082</v>
          </cell>
          <cell r="B6">
            <v>62160</v>
          </cell>
          <cell r="C6">
            <v>41082</v>
          </cell>
          <cell r="D6" t="str">
            <v>Rental Income - Operating Exp</v>
          </cell>
          <cell r="E6">
            <v>-351877.11</v>
          </cell>
          <cell r="F6">
            <v>-356920.51</v>
          </cell>
          <cell r="G6">
            <v>5043.4000000000196</v>
          </cell>
          <cell r="H6">
            <v>-350941.76</v>
          </cell>
          <cell r="I6">
            <v>-356920.51</v>
          </cell>
          <cell r="J6">
            <v>-5978.75</v>
          </cell>
        </row>
        <row r="7">
          <cell r="A7" t="str">
            <v>6216044610</v>
          </cell>
          <cell r="B7">
            <v>62160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6216045071</v>
          </cell>
          <cell r="B8">
            <v>62160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6216045010</v>
          </cell>
          <cell r="B9">
            <v>62160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6216045046</v>
          </cell>
          <cell r="B10">
            <v>62160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6216045070</v>
          </cell>
          <cell r="B11">
            <v>62160</v>
          </cell>
          <cell r="C11">
            <v>45070</v>
          </cell>
          <cell r="D11" t="str">
            <v>Other Income</v>
          </cell>
          <cell r="E11">
            <v>-882.26</v>
          </cell>
          <cell r="F11">
            <v>-902.25</v>
          </cell>
          <cell r="G11">
            <v>19.989999999999998</v>
          </cell>
          <cell r="H11">
            <v>-810</v>
          </cell>
          <cell r="I11">
            <v>-902.25</v>
          </cell>
          <cell r="J11">
            <v>-92.25</v>
          </cell>
        </row>
        <row r="12">
          <cell r="A12" t="str">
            <v>6216041060</v>
          </cell>
          <cell r="B12">
            <v>62160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13976</v>
          </cell>
          <cell r="G12">
            <v>-13976</v>
          </cell>
          <cell r="H12">
            <v>41928</v>
          </cell>
          <cell r="I12">
            <v>13976</v>
          </cell>
          <cell r="J12">
            <v>-27952</v>
          </cell>
        </row>
        <row r="13">
          <cell r="A13" t="str">
            <v>6216044870</v>
          </cell>
          <cell r="B13">
            <v>62160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6216052542</v>
          </cell>
          <cell r="B14">
            <v>62160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6216072710</v>
          </cell>
          <cell r="B15">
            <v>62160</v>
          </cell>
          <cell r="C15">
            <v>72710</v>
          </cell>
          <cell r="D15" t="str">
            <v>Utilities - Electricity</v>
          </cell>
          <cell r="E15">
            <v>10242.120000000001</v>
          </cell>
          <cell r="F15">
            <v>10455.89</v>
          </cell>
          <cell r="G15">
            <v>-213.76999999999899</v>
          </cell>
          <cell r="H15">
            <v>9330</v>
          </cell>
          <cell r="I15">
            <v>10455.89</v>
          </cell>
          <cell r="J15">
            <v>1125.8900000000001</v>
          </cell>
        </row>
        <row r="16">
          <cell r="A16" t="str">
            <v>6216072740</v>
          </cell>
          <cell r="B16">
            <v>62160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6216072770</v>
          </cell>
          <cell r="B17">
            <v>62160</v>
          </cell>
          <cell r="C17">
            <v>72770</v>
          </cell>
          <cell r="D17" t="str">
            <v>Utilities - Water</v>
          </cell>
          <cell r="E17">
            <v>2756.82</v>
          </cell>
          <cell r="F17">
            <v>2833.93</v>
          </cell>
          <cell r="G17">
            <v>-77.109999999999701</v>
          </cell>
          <cell r="H17">
            <v>2781</v>
          </cell>
          <cell r="I17">
            <v>2833.93</v>
          </cell>
          <cell r="J17">
            <v>52.929999999999801</v>
          </cell>
        </row>
        <row r="18">
          <cell r="A18" t="str">
            <v>6216076000</v>
          </cell>
          <cell r="B18">
            <v>62160</v>
          </cell>
          <cell r="C18">
            <v>76000</v>
          </cell>
          <cell r="D18" t="str">
            <v>Bldg Maintenance &amp; Repair</v>
          </cell>
          <cell r="E18">
            <v>18607.5</v>
          </cell>
          <cell r="F18">
            <v>13351.26</v>
          </cell>
          <cell r="G18">
            <v>5256.24</v>
          </cell>
          <cell r="H18">
            <v>12357</v>
          </cell>
          <cell r="I18">
            <v>13351.26</v>
          </cell>
          <cell r="J18">
            <v>994.26</v>
          </cell>
        </row>
        <row r="19">
          <cell r="A19" t="str">
            <v>6216076020</v>
          </cell>
          <cell r="B19">
            <v>62160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6216076034</v>
          </cell>
          <cell r="B20">
            <v>62160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6216076050</v>
          </cell>
          <cell r="B21">
            <v>62160</v>
          </cell>
          <cell r="C21">
            <v>76050</v>
          </cell>
          <cell r="D21" t="str">
            <v>Cleaning Expense</v>
          </cell>
          <cell r="E21">
            <v>36816.65</v>
          </cell>
          <cell r="F21">
            <v>36033.589999999997</v>
          </cell>
          <cell r="G21">
            <v>783.06000000000495</v>
          </cell>
          <cell r="H21">
            <v>34212</v>
          </cell>
          <cell r="I21">
            <v>36033.589999999997</v>
          </cell>
          <cell r="J21">
            <v>1821.59</v>
          </cell>
        </row>
        <row r="22">
          <cell r="A22" t="str">
            <v>6216076056</v>
          </cell>
          <cell r="B22">
            <v>62160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6216076070</v>
          </cell>
          <cell r="B23">
            <v>62160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6216076091</v>
          </cell>
          <cell r="B24">
            <v>62160</v>
          </cell>
          <cell r="C24">
            <v>76091</v>
          </cell>
          <cell r="D24" t="str">
            <v>Parking Maintenance</v>
          </cell>
          <cell r="E24">
            <v>35947.11</v>
          </cell>
          <cell r="F24">
            <v>27187.54</v>
          </cell>
          <cell r="G24">
            <v>8759.57</v>
          </cell>
          <cell r="H24">
            <v>25484</v>
          </cell>
          <cell r="I24">
            <v>27187.54</v>
          </cell>
          <cell r="J24">
            <v>1703.54</v>
          </cell>
        </row>
        <row r="25">
          <cell r="A25" t="str">
            <v>6216077000</v>
          </cell>
          <cell r="B25">
            <v>62160</v>
          </cell>
          <cell r="C25">
            <v>77000</v>
          </cell>
          <cell r="D25" t="str">
            <v>Grounds Maintenance</v>
          </cell>
          <cell r="E25">
            <v>26370</v>
          </cell>
          <cell r="F25">
            <v>32820.839999999997</v>
          </cell>
          <cell r="G25">
            <v>-6450.84</v>
          </cell>
          <cell r="H25">
            <v>30090</v>
          </cell>
          <cell r="I25">
            <v>32820.839999999997</v>
          </cell>
          <cell r="J25">
            <v>2730.84</v>
          </cell>
        </row>
        <row r="26">
          <cell r="A26" t="str">
            <v>6216077053</v>
          </cell>
          <cell r="B26">
            <v>62160</v>
          </cell>
          <cell r="C26">
            <v>77053</v>
          </cell>
          <cell r="D26" t="str">
            <v>Landscaping</v>
          </cell>
          <cell r="E26">
            <v>23982.58</v>
          </cell>
          <cell r="F26">
            <v>38818.58</v>
          </cell>
          <cell r="G26">
            <v>-14836</v>
          </cell>
          <cell r="H26">
            <v>45925</v>
          </cell>
          <cell r="I26">
            <v>38818.58</v>
          </cell>
          <cell r="J26">
            <v>-7106.42</v>
          </cell>
        </row>
        <row r="27">
          <cell r="A27" t="str">
            <v>6216078020</v>
          </cell>
          <cell r="B27">
            <v>62160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6216084264</v>
          </cell>
          <cell r="B28">
            <v>62160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6216085555</v>
          </cell>
          <cell r="B29">
            <v>62160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6216085584</v>
          </cell>
          <cell r="B30">
            <v>62160</v>
          </cell>
          <cell r="C30">
            <v>85584</v>
          </cell>
          <cell r="D30" t="str">
            <v>Bldg Admin-Office Costs</v>
          </cell>
          <cell r="E30">
            <v>10872.17</v>
          </cell>
          <cell r="F30">
            <v>10068.65</v>
          </cell>
          <cell r="G30">
            <v>803.52</v>
          </cell>
          <cell r="H30">
            <v>8189</v>
          </cell>
          <cell r="I30">
            <v>10068.65</v>
          </cell>
          <cell r="J30">
            <v>1879.65</v>
          </cell>
        </row>
        <row r="31">
          <cell r="A31" t="str">
            <v>6216085582</v>
          </cell>
          <cell r="B31">
            <v>62160</v>
          </cell>
          <cell r="C31">
            <v>85582</v>
          </cell>
          <cell r="D31" t="str">
            <v>Bldg Admin-Salaries</v>
          </cell>
          <cell r="E31">
            <v>42083.83</v>
          </cell>
          <cell r="F31">
            <v>44507</v>
          </cell>
          <cell r="G31">
            <v>-2423.17</v>
          </cell>
          <cell r="H31">
            <v>49382.3</v>
          </cell>
          <cell r="I31">
            <v>44507</v>
          </cell>
          <cell r="J31">
            <v>-4875.3</v>
          </cell>
        </row>
        <row r="32">
          <cell r="A32" t="str">
            <v>6216086564</v>
          </cell>
          <cell r="B32">
            <v>62160</v>
          </cell>
          <cell r="C32">
            <v>86564</v>
          </cell>
          <cell r="D32" t="str">
            <v>Insurance</v>
          </cell>
          <cell r="E32">
            <v>27405</v>
          </cell>
          <cell r="F32">
            <v>27405</v>
          </cell>
          <cell r="G32">
            <v>0</v>
          </cell>
          <cell r="H32">
            <v>34926</v>
          </cell>
          <cell r="I32">
            <v>27405</v>
          </cell>
          <cell r="J32">
            <v>-7521</v>
          </cell>
        </row>
        <row r="33">
          <cell r="A33" t="str">
            <v>6216088846</v>
          </cell>
          <cell r="B33">
            <v>62160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6216088890</v>
          </cell>
          <cell r="B34">
            <v>62160</v>
          </cell>
          <cell r="C34">
            <v>88890</v>
          </cell>
          <cell r="D34" t="str">
            <v>Security/Safety</v>
          </cell>
          <cell r="E34">
            <v>2393.2399999999998</v>
          </cell>
          <cell r="F34">
            <v>892</v>
          </cell>
          <cell r="G34">
            <v>1501.24</v>
          </cell>
          <cell r="H34">
            <v>5868</v>
          </cell>
          <cell r="I34">
            <v>892</v>
          </cell>
          <cell r="J34">
            <v>-4976</v>
          </cell>
        </row>
        <row r="35">
          <cell r="A35" t="str">
            <v>6216089775</v>
          </cell>
          <cell r="B35">
            <v>62160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6216089729</v>
          </cell>
          <cell r="B36">
            <v>62160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6216089786</v>
          </cell>
          <cell r="B37">
            <v>62160</v>
          </cell>
          <cell r="C37">
            <v>89786</v>
          </cell>
          <cell r="D37" t="str">
            <v>Property Tax Exp</v>
          </cell>
          <cell r="E37">
            <v>87929</v>
          </cell>
          <cell r="F37">
            <v>87930</v>
          </cell>
          <cell r="G37">
            <v>-1</v>
          </cell>
          <cell r="H37">
            <v>85856</v>
          </cell>
          <cell r="I37">
            <v>87930</v>
          </cell>
          <cell r="J37">
            <v>2074</v>
          </cell>
        </row>
        <row r="38">
          <cell r="A38" t="str">
            <v>6216071040</v>
          </cell>
          <cell r="B38">
            <v>62160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6216072701</v>
          </cell>
          <cell r="B39">
            <v>62160</v>
          </cell>
          <cell r="C39">
            <v>72701</v>
          </cell>
          <cell r="D39" t="str">
            <v>Utilities</v>
          </cell>
          <cell r="E39">
            <v>741.96</v>
          </cell>
          <cell r="F39">
            <v>514.91</v>
          </cell>
          <cell r="G39">
            <v>227.05</v>
          </cell>
          <cell r="H39">
            <v>0</v>
          </cell>
          <cell r="I39">
            <v>514.91</v>
          </cell>
          <cell r="J39">
            <v>514.91</v>
          </cell>
        </row>
        <row r="40">
          <cell r="A40" t="str">
            <v>6216072855</v>
          </cell>
          <cell r="B40">
            <v>62160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6216072870</v>
          </cell>
          <cell r="B41">
            <v>62160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6216076010</v>
          </cell>
          <cell r="B42">
            <v>62160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1000</v>
          </cell>
          <cell r="I42">
            <v>0</v>
          </cell>
          <cell r="J42">
            <v>-1000</v>
          </cell>
        </row>
        <row r="43">
          <cell r="A43" t="str">
            <v>6216076040</v>
          </cell>
          <cell r="B43">
            <v>62160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6216076051</v>
          </cell>
          <cell r="B44">
            <v>62160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6216076054</v>
          </cell>
          <cell r="B45">
            <v>62160</v>
          </cell>
          <cell r="C45">
            <v>76054</v>
          </cell>
          <cell r="D45" t="str">
            <v>Bldg Maintenance &amp; Repair</v>
          </cell>
          <cell r="E45">
            <v>2597.1799999999998</v>
          </cell>
          <cell r="F45">
            <v>300.08</v>
          </cell>
          <cell r="G45">
            <v>2297.1</v>
          </cell>
          <cell r="H45">
            <v>0</v>
          </cell>
          <cell r="I45">
            <v>300.08</v>
          </cell>
          <cell r="J45">
            <v>300.08</v>
          </cell>
        </row>
        <row r="46">
          <cell r="A46" t="str">
            <v>6216076060</v>
          </cell>
          <cell r="B46">
            <v>62160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6216076071</v>
          </cell>
          <cell r="B47">
            <v>62160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9600</v>
          </cell>
          <cell r="G47">
            <v>-9600</v>
          </cell>
          <cell r="H47">
            <v>0</v>
          </cell>
          <cell r="I47">
            <v>9600</v>
          </cell>
          <cell r="J47">
            <v>9600</v>
          </cell>
        </row>
        <row r="48">
          <cell r="A48" t="str">
            <v>6216076090</v>
          </cell>
          <cell r="B48">
            <v>62160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6216077001</v>
          </cell>
          <cell r="B49">
            <v>62160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6216077022</v>
          </cell>
          <cell r="B50">
            <v>62160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6216084200</v>
          </cell>
          <cell r="B51">
            <v>62160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6216084240</v>
          </cell>
          <cell r="B52">
            <v>62160</v>
          </cell>
          <cell r="C52">
            <v>84240</v>
          </cell>
          <cell r="D52" t="str">
            <v>Marketing Leasing</v>
          </cell>
          <cell r="E52">
            <v>328.51</v>
          </cell>
          <cell r="F52">
            <v>244.68</v>
          </cell>
          <cell r="G52">
            <v>83.83</v>
          </cell>
          <cell r="H52">
            <v>0</v>
          </cell>
          <cell r="I52">
            <v>244.68</v>
          </cell>
          <cell r="J52">
            <v>244.68</v>
          </cell>
        </row>
        <row r="53">
          <cell r="A53" t="str">
            <v>6216084242</v>
          </cell>
          <cell r="B53">
            <v>62160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6216084243</v>
          </cell>
          <cell r="B54">
            <v>62160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6216084244</v>
          </cell>
          <cell r="B55">
            <v>62160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6216084265</v>
          </cell>
          <cell r="B56">
            <v>62160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6216088037</v>
          </cell>
          <cell r="B57">
            <v>62160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6216085016</v>
          </cell>
          <cell r="B58">
            <v>62160</v>
          </cell>
          <cell r="C58">
            <v>85016</v>
          </cell>
          <cell r="D58" t="str">
            <v>Prof Svc-Attorney Outside</v>
          </cell>
          <cell r="E58">
            <v>1512.45</v>
          </cell>
          <cell r="F58">
            <v>2382</v>
          </cell>
          <cell r="G58">
            <v>-869.55</v>
          </cell>
          <cell r="H58">
            <v>2000</v>
          </cell>
          <cell r="I58">
            <v>2382</v>
          </cell>
          <cell r="J58">
            <v>382</v>
          </cell>
        </row>
        <row r="59">
          <cell r="A59" t="str">
            <v>6216085022</v>
          </cell>
          <cell r="B59">
            <v>62160</v>
          </cell>
          <cell r="C59">
            <v>85022</v>
          </cell>
          <cell r="D59" t="str">
            <v>Prof Svc-Audit/Acctng</v>
          </cell>
          <cell r="E59">
            <v>874.35</v>
          </cell>
          <cell r="F59">
            <v>2071.35</v>
          </cell>
          <cell r="G59">
            <v>-1197</v>
          </cell>
          <cell r="H59">
            <v>1872</v>
          </cell>
          <cell r="I59">
            <v>2071.35</v>
          </cell>
          <cell r="J59">
            <v>199.35</v>
          </cell>
        </row>
        <row r="60">
          <cell r="A60" t="str">
            <v>6216085065</v>
          </cell>
          <cell r="B60">
            <v>62160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6216085500</v>
          </cell>
          <cell r="B61">
            <v>62160</v>
          </cell>
          <cell r="C61">
            <v>85500</v>
          </cell>
          <cell r="D61" t="str">
            <v>Consulting Services</v>
          </cell>
          <cell r="E61">
            <v>170.52</v>
          </cell>
          <cell r="F61">
            <v>335</v>
          </cell>
          <cell r="G61">
            <v>-164.48</v>
          </cell>
          <cell r="H61">
            <v>800</v>
          </cell>
          <cell r="I61">
            <v>335</v>
          </cell>
          <cell r="J61">
            <v>-465</v>
          </cell>
        </row>
        <row r="62">
          <cell r="A62" t="str">
            <v>6216085566</v>
          </cell>
          <cell r="B62">
            <v>62160</v>
          </cell>
          <cell r="C62">
            <v>85566</v>
          </cell>
          <cell r="D62" t="str">
            <v>Management Fee</v>
          </cell>
          <cell r="E62">
            <v>40271.910000000003</v>
          </cell>
          <cell r="F62">
            <v>40271.760000000002</v>
          </cell>
          <cell r="G62">
            <v>0.150000000001455</v>
          </cell>
          <cell r="H62">
            <v>40272</v>
          </cell>
          <cell r="I62">
            <v>40271.760000000002</v>
          </cell>
          <cell r="J62">
            <v>-0.23999999999796301</v>
          </cell>
        </row>
        <row r="63">
          <cell r="A63" t="str">
            <v>6216085581</v>
          </cell>
          <cell r="B63">
            <v>62160</v>
          </cell>
          <cell r="C63">
            <v>85581</v>
          </cell>
          <cell r="D63" t="str">
            <v>Bldg Admin- Salaries</v>
          </cell>
          <cell r="E63">
            <v>5774.29</v>
          </cell>
          <cell r="F63">
            <v>6562.49</v>
          </cell>
          <cell r="G63">
            <v>-788.2</v>
          </cell>
          <cell r="H63">
            <v>6717.7</v>
          </cell>
          <cell r="I63">
            <v>6562.49</v>
          </cell>
          <cell r="J63">
            <v>-155.21</v>
          </cell>
        </row>
        <row r="64">
          <cell r="A64" t="str">
            <v>6216085583</v>
          </cell>
          <cell r="B64">
            <v>62160</v>
          </cell>
          <cell r="C64">
            <v>85583</v>
          </cell>
          <cell r="D64" t="str">
            <v>Bldg Admin-Office Exp.</v>
          </cell>
          <cell r="E64">
            <v>64.650000000000006</v>
          </cell>
          <cell r="F64">
            <v>0</v>
          </cell>
          <cell r="G64">
            <v>64.650000000000006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6216085534</v>
          </cell>
          <cell r="B65">
            <v>62160</v>
          </cell>
          <cell r="C65">
            <v>85534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6216086012</v>
          </cell>
          <cell r="B66">
            <v>62160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6216086037</v>
          </cell>
          <cell r="B67">
            <v>62160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6216083050</v>
          </cell>
          <cell r="B68">
            <v>62160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6216086510</v>
          </cell>
          <cell r="B69">
            <v>62160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6216086537</v>
          </cell>
          <cell r="B70">
            <v>62160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6216086566</v>
          </cell>
          <cell r="B71">
            <v>62160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6216086955</v>
          </cell>
          <cell r="B72">
            <v>62160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6216086985</v>
          </cell>
          <cell r="B73">
            <v>62160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6216086880</v>
          </cell>
          <cell r="B74">
            <v>62160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6216088710</v>
          </cell>
          <cell r="B75">
            <v>62160</v>
          </cell>
          <cell r="C75">
            <v>88710</v>
          </cell>
          <cell r="D75" t="str">
            <v>Losses-Bad Debts</v>
          </cell>
          <cell r="E75">
            <v>-3821.65</v>
          </cell>
          <cell r="F75">
            <v>2927</v>
          </cell>
          <cell r="G75">
            <v>-6748.65</v>
          </cell>
          <cell r="H75">
            <v>42364.72</v>
          </cell>
          <cell r="I75">
            <v>2927</v>
          </cell>
          <cell r="J75">
            <v>-39437.72</v>
          </cell>
        </row>
        <row r="76">
          <cell r="A76" t="str">
            <v>6216088711</v>
          </cell>
          <cell r="B76">
            <v>62160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6216088785</v>
          </cell>
          <cell r="B77">
            <v>62160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6216088847</v>
          </cell>
          <cell r="B78">
            <v>62160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6216088866</v>
          </cell>
          <cell r="B79">
            <v>62160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6216088870</v>
          </cell>
          <cell r="B80">
            <v>62160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6216088889</v>
          </cell>
          <cell r="B81">
            <v>62160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6216089776</v>
          </cell>
          <cell r="B82">
            <v>62160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6216089787</v>
          </cell>
          <cell r="B83">
            <v>62160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6216089510</v>
          </cell>
          <cell r="B84">
            <v>62160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243144</v>
          </cell>
          <cell r="G84">
            <v>-243144</v>
          </cell>
          <cell r="H84">
            <v>433410</v>
          </cell>
          <cell r="I84">
            <v>243144</v>
          </cell>
          <cell r="J84">
            <v>-190266</v>
          </cell>
        </row>
        <row r="85">
          <cell r="A85" t="str">
            <v>6216089511</v>
          </cell>
          <cell r="B85">
            <v>62160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6216089512</v>
          </cell>
          <cell r="B86">
            <v>62160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6216089528</v>
          </cell>
          <cell r="B87">
            <v>62160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6216089529</v>
          </cell>
          <cell r="B88">
            <v>62160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5681</v>
          </cell>
          <cell r="G88">
            <v>-5681</v>
          </cell>
          <cell r="H88">
            <v>9231</v>
          </cell>
          <cell r="I88">
            <v>5681</v>
          </cell>
          <cell r="J88">
            <v>-3550</v>
          </cell>
        </row>
        <row r="89">
          <cell r="A89" t="str">
            <v>6216089567</v>
          </cell>
          <cell r="B89">
            <v>62160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6216085058</v>
          </cell>
          <cell r="B90">
            <v>62160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6216086513</v>
          </cell>
          <cell r="B91">
            <v>62160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757.14</v>
          </cell>
          <cell r="G91">
            <v>-757.14</v>
          </cell>
          <cell r="H91">
            <v>5279.8</v>
          </cell>
          <cell r="I91">
            <v>757.14</v>
          </cell>
          <cell r="J91">
            <v>-4522.66</v>
          </cell>
        </row>
        <row r="92">
          <cell r="A92" t="str">
            <v>6216086519</v>
          </cell>
          <cell r="B92">
            <v>62160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6216088770</v>
          </cell>
          <cell r="B93">
            <v>62160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6216088862</v>
          </cell>
          <cell r="B94">
            <v>62160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6216088874</v>
          </cell>
          <cell r="B95">
            <v>62160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6216089910</v>
          </cell>
          <cell r="B96">
            <v>62160</v>
          </cell>
          <cell r="C96">
            <v>89910</v>
          </cell>
          <cell r="D96" t="str">
            <v>Depreciation</v>
          </cell>
          <cell r="E96">
            <v>0</v>
          </cell>
          <cell r="F96">
            <v>97808.54</v>
          </cell>
          <cell r="G96">
            <v>-97808.54</v>
          </cell>
          <cell r="H96">
            <v>93431.02</v>
          </cell>
          <cell r="I96">
            <v>97808.54</v>
          </cell>
          <cell r="J96">
            <v>4377.5199999999904</v>
          </cell>
        </row>
        <row r="97">
          <cell r="A97" t="str">
            <v>6216089548</v>
          </cell>
          <cell r="B97">
            <v>62160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rry Orchard"/>
      <sheetName val="Corona Del Mar"/>
      <sheetName val="Crytal Cove"/>
      <sheetName val="Harbor View"/>
      <sheetName val="Newport Coast"/>
      <sheetName val="Newport Hills"/>
      <sheetName val="variance"/>
      <sheetName val="Crossroads"/>
      <sheetName val="Harvard Auto Place"/>
      <sheetName val="Westpark"/>
      <sheetName val="Harvard Place"/>
      <sheetName val="Corona Del Mar-forecast"/>
      <sheetName val="budget"/>
      <sheetName val="forecast"/>
      <sheetName val="Harvard Place Auto Plaz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6252541010</v>
          </cell>
          <cell r="B2">
            <v>62525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6252541040</v>
          </cell>
          <cell r="B3">
            <v>62525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6252541050</v>
          </cell>
          <cell r="B4">
            <v>62525</v>
          </cell>
          <cell r="C4">
            <v>41050</v>
          </cell>
          <cell r="D4" t="str">
            <v>Rental Income - Fixed</v>
          </cell>
          <cell r="E4">
            <v>-446440.77</v>
          </cell>
          <cell r="F4">
            <v>-447135.57</v>
          </cell>
          <cell r="G4">
            <v>694.79999999998802</v>
          </cell>
          <cell r="H4">
            <v>-1786092.84</v>
          </cell>
          <cell r="I4">
            <v>-1786092.84</v>
          </cell>
          <cell r="J4">
            <v>0</v>
          </cell>
        </row>
        <row r="5">
          <cell r="A5" t="str">
            <v>6252541074</v>
          </cell>
          <cell r="B5">
            <v>62525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-54298</v>
          </cell>
          <cell r="I5">
            <v>-54298</v>
          </cell>
          <cell r="J5">
            <v>0</v>
          </cell>
        </row>
        <row r="6">
          <cell r="A6" t="str">
            <v>6252541082</v>
          </cell>
          <cell r="B6">
            <v>62525</v>
          </cell>
          <cell r="C6">
            <v>41082</v>
          </cell>
          <cell r="D6" t="str">
            <v>Rental Income - Operating Exp</v>
          </cell>
          <cell r="E6">
            <v>-117643.65</v>
          </cell>
          <cell r="F6">
            <v>-127774.71</v>
          </cell>
          <cell r="G6">
            <v>10131.06</v>
          </cell>
          <cell r="H6">
            <v>-511098.84</v>
          </cell>
          <cell r="I6">
            <v>-511098.84</v>
          </cell>
          <cell r="J6">
            <v>0</v>
          </cell>
        </row>
        <row r="7">
          <cell r="A7" t="str">
            <v>6252544610</v>
          </cell>
          <cell r="B7">
            <v>62525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6252545071</v>
          </cell>
          <cell r="B8">
            <v>62525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6252545010</v>
          </cell>
          <cell r="B9">
            <v>62525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6252545046</v>
          </cell>
          <cell r="B10">
            <v>62525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6252545070</v>
          </cell>
          <cell r="B11">
            <v>62525</v>
          </cell>
          <cell r="C11">
            <v>45070</v>
          </cell>
          <cell r="D11" t="str">
            <v>Other Income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6252541060</v>
          </cell>
          <cell r="B12">
            <v>62525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8817.99</v>
          </cell>
          <cell r="G12">
            <v>-8817.99</v>
          </cell>
          <cell r="H12">
            <v>35272</v>
          </cell>
          <cell r="I12">
            <v>35272</v>
          </cell>
          <cell r="J12">
            <v>0</v>
          </cell>
        </row>
        <row r="13">
          <cell r="A13" t="str">
            <v>6252544870</v>
          </cell>
          <cell r="B13">
            <v>62525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6252552542</v>
          </cell>
          <cell r="B14">
            <v>62525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6252572710</v>
          </cell>
          <cell r="B15">
            <v>62525</v>
          </cell>
          <cell r="C15">
            <v>72710</v>
          </cell>
          <cell r="D15" t="str">
            <v>Utilities - Electricity</v>
          </cell>
          <cell r="E15">
            <v>1231.76</v>
          </cell>
          <cell r="F15">
            <v>4558.26</v>
          </cell>
          <cell r="G15">
            <v>-3326.5</v>
          </cell>
          <cell r="H15">
            <v>18233</v>
          </cell>
          <cell r="I15">
            <v>18233</v>
          </cell>
          <cell r="J15">
            <v>0</v>
          </cell>
        </row>
        <row r="16">
          <cell r="A16" t="str">
            <v>6252572740</v>
          </cell>
          <cell r="B16">
            <v>62525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6252572770</v>
          </cell>
          <cell r="B17">
            <v>62525</v>
          </cell>
          <cell r="C17">
            <v>72770</v>
          </cell>
          <cell r="D17" t="str">
            <v>Utilities - Water</v>
          </cell>
          <cell r="E17">
            <v>2229.41</v>
          </cell>
          <cell r="F17">
            <v>2025.24</v>
          </cell>
          <cell r="G17">
            <v>204.17</v>
          </cell>
          <cell r="H17">
            <v>8101</v>
          </cell>
          <cell r="I17">
            <v>8101</v>
          </cell>
          <cell r="J17">
            <v>0</v>
          </cell>
        </row>
        <row r="18">
          <cell r="A18" t="str">
            <v>6252576000</v>
          </cell>
          <cell r="B18">
            <v>62525</v>
          </cell>
          <cell r="C18">
            <v>76000</v>
          </cell>
          <cell r="D18" t="str">
            <v>Bldg Maintenance &amp; Repair</v>
          </cell>
          <cell r="E18">
            <v>1149.93</v>
          </cell>
          <cell r="F18">
            <v>6024.86</v>
          </cell>
          <cell r="G18">
            <v>-4874.93</v>
          </cell>
          <cell r="H18">
            <v>14653.71</v>
          </cell>
          <cell r="I18">
            <v>14653.71</v>
          </cell>
          <cell r="J18">
            <v>0</v>
          </cell>
        </row>
        <row r="19">
          <cell r="A19" t="str">
            <v>6252576020</v>
          </cell>
          <cell r="B19">
            <v>62525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6252576034</v>
          </cell>
          <cell r="B20">
            <v>62525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6252576050</v>
          </cell>
          <cell r="B21">
            <v>62525</v>
          </cell>
          <cell r="C21">
            <v>76050</v>
          </cell>
          <cell r="D21" t="str">
            <v>Cleaning Expense</v>
          </cell>
          <cell r="E21">
            <v>3723.61</v>
          </cell>
          <cell r="F21">
            <v>5889.99</v>
          </cell>
          <cell r="G21">
            <v>-2166.38</v>
          </cell>
          <cell r="H21">
            <v>23560</v>
          </cell>
          <cell r="I21">
            <v>23560</v>
          </cell>
          <cell r="J21">
            <v>0</v>
          </cell>
        </row>
        <row r="22">
          <cell r="A22" t="str">
            <v>6252576056</v>
          </cell>
          <cell r="B22">
            <v>62525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6252576070</v>
          </cell>
          <cell r="B23">
            <v>62525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6252576091</v>
          </cell>
          <cell r="B24">
            <v>62525</v>
          </cell>
          <cell r="C24">
            <v>76091</v>
          </cell>
          <cell r="D24" t="str">
            <v>Parking Maintenance</v>
          </cell>
          <cell r="E24">
            <v>9366.9599999999991</v>
          </cell>
          <cell r="F24">
            <v>9318.4500000000007</v>
          </cell>
          <cell r="G24">
            <v>48.509999999998399</v>
          </cell>
          <cell r="H24">
            <v>28678.45</v>
          </cell>
          <cell r="I24">
            <v>28678.45</v>
          </cell>
          <cell r="J24">
            <v>0</v>
          </cell>
        </row>
        <row r="25">
          <cell r="A25" t="str">
            <v>6252577000</v>
          </cell>
          <cell r="B25">
            <v>62525</v>
          </cell>
          <cell r="C25">
            <v>77000</v>
          </cell>
          <cell r="D25" t="str">
            <v>Grounds Maintenance</v>
          </cell>
          <cell r="E25">
            <v>7726.67</v>
          </cell>
          <cell r="F25">
            <v>6040.21</v>
          </cell>
          <cell r="G25">
            <v>1686.46</v>
          </cell>
          <cell r="H25">
            <v>23421.98</v>
          </cell>
          <cell r="I25">
            <v>23421.98</v>
          </cell>
          <cell r="J25">
            <v>0</v>
          </cell>
        </row>
        <row r="26">
          <cell r="A26" t="str">
            <v>6252577053</v>
          </cell>
          <cell r="B26">
            <v>62525</v>
          </cell>
          <cell r="C26">
            <v>77053</v>
          </cell>
          <cell r="D26" t="str">
            <v>Landscaping</v>
          </cell>
          <cell r="E26">
            <v>5980</v>
          </cell>
          <cell r="F26">
            <v>5925.06</v>
          </cell>
          <cell r="G26">
            <v>54.9399999999996</v>
          </cell>
          <cell r="H26">
            <v>43493.82</v>
          </cell>
          <cell r="I26">
            <v>43493.82</v>
          </cell>
          <cell r="J26">
            <v>0</v>
          </cell>
        </row>
        <row r="27">
          <cell r="A27" t="str">
            <v>6252578020</v>
          </cell>
          <cell r="B27">
            <v>62525</v>
          </cell>
          <cell r="C27">
            <v>78020</v>
          </cell>
          <cell r="D27" t="str">
            <v>Amortized CAM Exp</v>
          </cell>
          <cell r="E27">
            <v>2500</v>
          </cell>
          <cell r="F27">
            <v>2499.9899999999998</v>
          </cell>
          <cell r="G27">
            <v>1.00000000002183E-2</v>
          </cell>
          <cell r="H27">
            <v>10000</v>
          </cell>
          <cell r="I27">
            <v>10000</v>
          </cell>
          <cell r="J27">
            <v>0</v>
          </cell>
        </row>
        <row r="28">
          <cell r="A28" t="str">
            <v>6252584264</v>
          </cell>
          <cell r="B28">
            <v>62525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6252585555</v>
          </cell>
          <cell r="B29">
            <v>62525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6252585584</v>
          </cell>
          <cell r="B30">
            <v>62525</v>
          </cell>
          <cell r="C30">
            <v>85584</v>
          </cell>
          <cell r="D30" t="str">
            <v>Bldg Admin-Office Costs</v>
          </cell>
          <cell r="E30">
            <v>1665.22</v>
          </cell>
          <cell r="F30">
            <v>1664.76</v>
          </cell>
          <cell r="G30">
            <v>0.46000000000003599</v>
          </cell>
          <cell r="H30">
            <v>7909</v>
          </cell>
          <cell r="I30">
            <v>7909</v>
          </cell>
          <cell r="J30">
            <v>0</v>
          </cell>
        </row>
        <row r="31">
          <cell r="A31" t="str">
            <v>6252585582</v>
          </cell>
          <cell r="B31">
            <v>62525</v>
          </cell>
          <cell r="C31">
            <v>85582</v>
          </cell>
          <cell r="D31" t="str">
            <v>Bldg Admin-Salaries</v>
          </cell>
          <cell r="E31">
            <v>13239</v>
          </cell>
          <cell r="F31">
            <v>13239</v>
          </cell>
          <cell r="G31">
            <v>0</v>
          </cell>
          <cell r="H31">
            <v>53599</v>
          </cell>
          <cell r="I31">
            <v>53599</v>
          </cell>
          <cell r="J31">
            <v>0</v>
          </cell>
        </row>
        <row r="32">
          <cell r="A32" t="str">
            <v>6252586564</v>
          </cell>
          <cell r="B32">
            <v>62525</v>
          </cell>
          <cell r="C32">
            <v>86564</v>
          </cell>
          <cell r="D32" t="str">
            <v>Insurance</v>
          </cell>
          <cell r="E32">
            <v>6282</v>
          </cell>
          <cell r="F32">
            <v>6282</v>
          </cell>
          <cell r="G32">
            <v>0</v>
          </cell>
          <cell r="H32">
            <v>25133</v>
          </cell>
          <cell r="I32">
            <v>25133</v>
          </cell>
          <cell r="J32">
            <v>0</v>
          </cell>
        </row>
        <row r="33">
          <cell r="A33" t="str">
            <v>6252588846</v>
          </cell>
          <cell r="B33">
            <v>62525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6252588890</v>
          </cell>
          <cell r="B34">
            <v>62525</v>
          </cell>
          <cell r="C34">
            <v>88890</v>
          </cell>
          <cell r="D34" t="str">
            <v>Security/Safety</v>
          </cell>
          <cell r="E34">
            <v>6103</v>
          </cell>
          <cell r="F34">
            <v>10102.31</v>
          </cell>
          <cell r="G34">
            <v>-3999.31</v>
          </cell>
          <cell r="H34">
            <v>28048.94</v>
          </cell>
          <cell r="I34">
            <v>28048.94</v>
          </cell>
          <cell r="J34">
            <v>0</v>
          </cell>
        </row>
        <row r="35">
          <cell r="A35" t="str">
            <v>6252589775</v>
          </cell>
          <cell r="B35">
            <v>62525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6252589729</v>
          </cell>
          <cell r="B36">
            <v>62525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6252589786</v>
          </cell>
          <cell r="B37">
            <v>62525</v>
          </cell>
          <cell r="C37">
            <v>89786</v>
          </cell>
          <cell r="D37" t="str">
            <v>Property Tax Exp</v>
          </cell>
          <cell r="E37">
            <v>53694</v>
          </cell>
          <cell r="F37">
            <v>53694</v>
          </cell>
          <cell r="G37">
            <v>0</v>
          </cell>
          <cell r="H37">
            <v>214776</v>
          </cell>
          <cell r="I37">
            <v>214776</v>
          </cell>
          <cell r="J37">
            <v>0</v>
          </cell>
        </row>
        <row r="38">
          <cell r="A38" t="str">
            <v>6252571040</v>
          </cell>
          <cell r="B38">
            <v>62525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6252572701</v>
          </cell>
          <cell r="B39">
            <v>62525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6252572855</v>
          </cell>
          <cell r="B40">
            <v>62525</v>
          </cell>
          <cell r="C40">
            <v>72855</v>
          </cell>
          <cell r="D40" t="str">
            <v>Rent Expense-Ground</v>
          </cell>
          <cell r="E40">
            <v>145654.79999999999</v>
          </cell>
          <cell r="F40">
            <v>148539.06</v>
          </cell>
          <cell r="G40">
            <v>-2884.2600000000102</v>
          </cell>
          <cell r="H40">
            <v>602345.01</v>
          </cell>
          <cell r="I40">
            <v>602345.01</v>
          </cell>
          <cell r="J40">
            <v>0</v>
          </cell>
        </row>
        <row r="41">
          <cell r="A41" t="str">
            <v>6252572870</v>
          </cell>
          <cell r="B41">
            <v>62525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6252576010</v>
          </cell>
          <cell r="B42">
            <v>62525</v>
          </cell>
          <cell r="C42">
            <v>76010</v>
          </cell>
          <cell r="D42" t="str">
            <v>Tenant Alterations</v>
          </cell>
          <cell r="E42">
            <v>20.82</v>
          </cell>
          <cell r="F42">
            <v>0</v>
          </cell>
          <cell r="G42">
            <v>20.82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6252576040</v>
          </cell>
          <cell r="B43">
            <v>62525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6252576051</v>
          </cell>
          <cell r="B44">
            <v>62525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6252576054</v>
          </cell>
          <cell r="B45">
            <v>62525</v>
          </cell>
          <cell r="C45">
            <v>76054</v>
          </cell>
          <cell r="D45" t="str">
            <v>Bldg Maintenance &amp; Repair</v>
          </cell>
          <cell r="E45">
            <v>6</v>
          </cell>
          <cell r="F45">
            <v>0</v>
          </cell>
          <cell r="G45">
            <v>6</v>
          </cell>
          <cell r="H45">
            <v>0</v>
          </cell>
          <cell r="I45">
            <v>0</v>
          </cell>
          <cell r="J45">
            <v>0</v>
          </cell>
        </row>
        <row r="46">
          <cell r="A46" t="str">
            <v>6252576060</v>
          </cell>
          <cell r="B46">
            <v>62525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6252576071</v>
          </cell>
          <cell r="B47">
            <v>62525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6252576090</v>
          </cell>
          <cell r="B48">
            <v>62525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6252577001</v>
          </cell>
          <cell r="B49">
            <v>62525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6252577022</v>
          </cell>
          <cell r="B50">
            <v>62525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6252584200</v>
          </cell>
          <cell r="B51">
            <v>62525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6252584240</v>
          </cell>
          <cell r="B52">
            <v>62525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397.26</v>
          </cell>
          <cell r="G52">
            <v>-397.26</v>
          </cell>
          <cell r="H52">
            <v>1589</v>
          </cell>
          <cell r="I52">
            <v>1589</v>
          </cell>
          <cell r="J52">
            <v>0</v>
          </cell>
        </row>
        <row r="53">
          <cell r="A53" t="str">
            <v>6252584242</v>
          </cell>
          <cell r="B53">
            <v>62525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6252584243</v>
          </cell>
          <cell r="B54">
            <v>62525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6252584244</v>
          </cell>
          <cell r="B55">
            <v>62525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6252584265</v>
          </cell>
          <cell r="B56">
            <v>62525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6252588037</v>
          </cell>
          <cell r="B57">
            <v>62525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6252585016</v>
          </cell>
          <cell r="B58">
            <v>62525</v>
          </cell>
          <cell r="C58">
            <v>85016</v>
          </cell>
          <cell r="D58" t="str">
            <v>Prof Svc-Attorney Outside</v>
          </cell>
          <cell r="E58">
            <v>1701</v>
          </cell>
          <cell r="F58">
            <v>0</v>
          </cell>
          <cell r="G58">
            <v>1701</v>
          </cell>
          <cell r="H58">
            <v>0</v>
          </cell>
          <cell r="I58">
            <v>0</v>
          </cell>
          <cell r="J58">
            <v>0</v>
          </cell>
        </row>
        <row r="59">
          <cell r="A59" t="str">
            <v>6252585022</v>
          </cell>
          <cell r="B59">
            <v>62525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1350.69</v>
          </cell>
          <cell r="I59">
            <v>1350.69</v>
          </cell>
          <cell r="J59">
            <v>0</v>
          </cell>
        </row>
        <row r="60">
          <cell r="A60" t="str">
            <v>6252585065</v>
          </cell>
          <cell r="B60">
            <v>62525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6252585500</v>
          </cell>
          <cell r="B61">
            <v>62525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6252585566</v>
          </cell>
          <cell r="B62">
            <v>62525</v>
          </cell>
          <cell r="C62">
            <v>85566</v>
          </cell>
          <cell r="D62" t="str">
            <v>Management Fee</v>
          </cell>
          <cell r="E62">
            <v>10200</v>
          </cell>
          <cell r="F62">
            <v>0</v>
          </cell>
          <cell r="G62">
            <v>10200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6252585581</v>
          </cell>
          <cell r="B63">
            <v>62525</v>
          </cell>
          <cell r="C63">
            <v>85581</v>
          </cell>
          <cell r="D63" t="str">
            <v>Bldg Admin- Salaries</v>
          </cell>
          <cell r="E63">
            <v>7084</v>
          </cell>
          <cell r="F63">
            <v>7083.99</v>
          </cell>
          <cell r="G63">
            <v>1.00000000002183E-2</v>
          </cell>
          <cell r="H63">
            <v>29064.97</v>
          </cell>
          <cell r="I63">
            <v>29064.97</v>
          </cell>
          <cell r="J63">
            <v>0</v>
          </cell>
        </row>
        <row r="64">
          <cell r="A64" t="str">
            <v>6252585583</v>
          </cell>
          <cell r="B64">
            <v>62525</v>
          </cell>
          <cell r="C64">
            <v>85583</v>
          </cell>
          <cell r="D64" t="str">
            <v>Bldg Admin-Office Exp.</v>
          </cell>
          <cell r="E64">
            <v>55.42</v>
          </cell>
          <cell r="F64">
            <v>0</v>
          </cell>
          <cell r="G64">
            <v>55.42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6252585530</v>
          </cell>
          <cell r="B65">
            <v>62525</v>
          </cell>
          <cell r="C65">
            <v>85530</v>
          </cell>
          <cell r="D65" t="str">
            <v>Bldg Admin - Office Exp</v>
          </cell>
          <cell r="E65">
            <v>55.42</v>
          </cell>
          <cell r="F65">
            <v>0</v>
          </cell>
          <cell r="G65">
            <v>55.42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6252586012</v>
          </cell>
          <cell r="B66">
            <v>62525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6252586037</v>
          </cell>
          <cell r="B67">
            <v>62525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6252583050</v>
          </cell>
          <cell r="B68">
            <v>62525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6252586510</v>
          </cell>
          <cell r="B69">
            <v>62525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6252586537</v>
          </cell>
          <cell r="B70">
            <v>62525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6252586566</v>
          </cell>
          <cell r="B71">
            <v>62525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6252586955</v>
          </cell>
          <cell r="B72">
            <v>62525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6252586985</v>
          </cell>
          <cell r="B73">
            <v>62525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6252586880</v>
          </cell>
          <cell r="B74">
            <v>62525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6252588710</v>
          </cell>
          <cell r="B75">
            <v>62525</v>
          </cell>
          <cell r="C75">
            <v>88710</v>
          </cell>
          <cell r="D75" t="str">
            <v>Losses-Bad Debts</v>
          </cell>
          <cell r="E75">
            <v>7927.2</v>
          </cell>
          <cell r="F75">
            <v>8818</v>
          </cell>
          <cell r="G75">
            <v>-890.8</v>
          </cell>
          <cell r="H75">
            <v>35272</v>
          </cell>
          <cell r="I75">
            <v>35272</v>
          </cell>
          <cell r="J75">
            <v>0</v>
          </cell>
        </row>
        <row r="76">
          <cell r="A76" t="str">
            <v>6252588711</v>
          </cell>
          <cell r="B76">
            <v>62525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6252588785</v>
          </cell>
          <cell r="B77">
            <v>62525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6252588847</v>
          </cell>
          <cell r="B78">
            <v>62525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6252588866</v>
          </cell>
          <cell r="B79">
            <v>62525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6252588870</v>
          </cell>
          <cell r="B80">
            <v>62525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6252588889</v>
          </cell>
          <cell r="B81">
            <v>62525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6252589776</v>
          </cell>
          <cell r="B82">
            <v>62525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6252589787</v>
          </cell>
          <cell r="B83">
            <v>62525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6252589510</v>
          </cell>
          <cell r="B84">
            <v>62525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6252589511</v>
          </cell>
          <cell r="B85">
            <v>62525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6252589512</v>
          </cell>
          <cell r="B86">
            <v>62525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6252589528</v>
          </cell>
          <cell r="B87">
            <v>62525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6252589529</v>
          </cell>
          <cell r="B88">
            <v>62525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6252589567</v>
          </cell>
          <cell r="B89">
            <v>62525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6252585058</v>
          </cell>
          <cell r="B90">
            <v>62525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6252586513</v>
          </cell>
          <cell r="B91">
            <v>62525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6252586519</v>
          </cell>
          <cell r="B92">
            <v>62525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6252588770</v>
          </cell>
          <cell r="B93">
            <v>62525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6252588862</v>
          </cell>
          <cell r="B94">
            <v>62525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6252588874</v>
          </cell>
          <cell r="B95">
            <v>62525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6252589910</v>
          </cell>
          <cell r="B96">
            <v>62525</v>
          </cell>
          <cell r="C96">
            <v>89910</v>
          </cell>
          <cell r="D96" t="str">
            <v>Depreciation</v>
          </cell>
          <cell r="E96">
            <v>0</v>
          </cell>
          <cell r="F96">
            <v>91869.21</v>
          </cell>
          <cell r="G96">
            <v>-91869.21</v>
          </cell>
          <cell r="H96">
            <v>367476.87</v>
          </cell>
          <cell r="I96">
            <v>367476.87</v>
          </cell>
          <cell r="J96">
            <v>0</v>
          </cell>
        </row>
        <row r="97">
          <cell r="A97" t="str">
            <v>6252589548</v>
          </cell>
          <cell r="B97">
            <v>62525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6213541010</v>
          </cell>
          <cell r="B98">
            <v>62135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6213541040</v>
          </cell>
          <cell r="B99">
            <v>62135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6213541050</v>
          </cell>
          <cell r="B100">
            <v>62135</v>
          </cell>
          <cell r="C100">
            <v>41050</v>
          </cell>
          <cell r="D100" t="str">
            <v>Rental Income - Fixed</v>
          </cell>
          <cell r="E100">
            <v>-130016.19</v>
          </cell>
          <cell r="F100">
            <v>-130746.36</v>
          </cell>
          <cell r="G100">
            <v>730.16999999999803</v>
          </cell>
          <cell r="H100">
            <v>-1637072.34</v>
          </cell>
          <cell r="I100">
            <v>-1637072.34</v>
          </cell>
          <cell r="J100">
            <v>0</v>
          </cell>
        </row>
        <row r="101">
          <cell r="A101" t="str">
            <v>6213541074</v>
          </cell>
          <cell r="B101">
            <v>62135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 t="str">
            <v>6213541082</v>
          </cell>
          <cell r="B102">
            <v>62135</v>
          </cell>
          <cell r="C102">
            <v>41082</v>
          </cell>
          <cell r="D102" t="str">
            <v>Rental Income - Operating Exp</v>
          </cell>
          <cell r="E102">
            <v>-31987.48</v>
          </cell>
          <cell r="F102">
            <v>-36390.51</v>
          </cell>
          <cell r="G102">
            <v>4403.03</v>
          </cell>
          <cell r="H102">
            <v>-436686.12</v>
          </cell>
          <cell r="I102">
            <v>-436686.12</v>
          </cell>
          <cell r="J102">
            <v>0</v>
          </cell>
        </row>
        <row r="103">
          <cell r="A103" t="str">
            <v>6213544610</v>
          </cell>
          <cell r="B103">
            <v>62135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6213545071</v>
          </cell>
          <cell r="B104">
            <v>62135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6213545010</v>
          </cell>
          <cell r="B105">
            <v>62135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6213545046</v>
          </cell>
          <cell r="B106">
            <v>62135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6213545070</v>
          </cell>
          <cell r="B107">
            <v>62135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-103</v>
          </cell>
          <cell r="I107">
            <v>-103</v>
          </cell>
          <cell r="J107">
            <v>0</v>
          </cell>
        </row>
        <row r="108">
          <cell r="A108" t="str">
            <v>6213541060</v>
          </cell>
          <cell r="B108">
            <v>62135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2592.17</v>
          </cell>
          <cell r="G108">
            <v>-2592.17</v>
          </cell>
          <cell r="H108">
            <v>31106</v>
          </cell>
          <cell r="I108">
            <v>31106</v>
          </cell>
          <cell r="J108">
            <v>0</v>
          </cell>
        </row>
        <row r="109">
          <cell r="A109" t="str">
            <v>6213544870</v>
          </cell>
          <cell r="B109">
            <v>62135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6213552542</v>
          </cell>
          <cell r="B110">
            <v>62135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6213572710</v>
          </cell>
          <cell r="B111">
            <v>62135</v>
          </cell>
          <cell r="C111">
            <v>72710</v>
          </cell>
          <cell r="D111" t="str">
            <v>Utilities - Electricity</v>
          </cell>
          <cell r="E111">
            <v>934.21</v>
          </cell>
          <cell r="F111">
            <v>1259.3900000000001</v>
          </cell>
          <cell r="G111">
            <v>-325.18</v>
          </cell>
          <cell r="H111">
            <v>18729.75</v>
          </cell>
          <cell r="I111">
            <v>18729.75</v>
          </cell>
          <cell r="J111">
            <v>0</v>
          </cell>
        </row>
        <row r="112">
          <cell r="A112" t="str">
            <v>6213572740</v>
          </cell>
          <cell r="B112">
            <v>62135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6213572770</v>
          </cell>
          <cell r="B113">
            <v>62135</v>
          </cell>
          <cell r="C113">
            <v>72770</v>
          </cell>
          <cell r="D113" t="str">
            <v>Utilities - Water</v>
          </cell>
          <cell r="E113">
            <v>1450</v>
          </cell>
          <cell r="F113">
            <v>520</v>
          </cell>
          <cell r="G113">
            <v>930</v>
          </cell>
          <cell r="H113">
            <v>9675.6</v>
          </cell>
          <cell r="I113">
            <v>9675.6</v>
          </cell>
          <cell r="J113">
            <v>0</v>
          </cell>
        </row>
        <row r="114">
          <cell r="A114" t="str">
            <v>6213576000</v>
          </cell>
          <cell r="B114">
            <v>62135</v>
          </cell>
          <cell r="C114">
            <v>76000</v>
          </cell>
          <cell r="D114" t="str">
            <v>Bldg Maintenance &amp; Repair</v>
          </cell>
          <cell r="E114">
            <v>538.22</v>
          </cell>
          <cell r="F114">
            <v>881.31</v>
          </cell>
          <cell r="G114">
            <v>-343.09</v>
          </cell>
          <cell r="H114">
            <v>39163.660000000003</v>
          </cell>
          <cell r="I114">
            <v>39163.660000000003</v>
          </cell>
          <cell r="J114">
            <v>0</v>
          </cell>
        </row>
        <row r="115">
          <cell r="A115" t="str">
            <v>6213576020</v>
          </cell>
          <cell r="B115">
            <v>62135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6213576034</v>
          </cell>
          <cell r="B116">
            <v>62135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6213576050</v>
          </cell>
          <cell r="B117">
            <v>62135</v>
          </cell>
          <cell r="C117">
            <v>76050</v>
          </cell>
          <cell r="D117" t="str">
            <v>Cleaning Expense</v>
          </cell>
          <cell r="E117">
            <v>2480</v>
          </cell>
          <cell r="F117">
            <v>2565.31</v>
          </cell>
          <cell r="G117">
            <v>-85.309999999999903</v>
          </cell>
          <cell r="H117">
            <v>31428.16</v>
          </cell>
          <cell r="I117">
            <v>31428.16</v>
          </cell>
          <cell r="J117">
            <v>0</v>
          </cell>
        </row>
        <row r="118">
          <cell r="A118" t="str">
            <v>6213576056</v>
          </cell>
          <cell r="B118">
            <v>62135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6213576070</v>
          </cell>
          <cell r="B119">
            <v>62135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6213576091</v>
          </cell>
          <cell r="B120">
            <v>62135</v>
          </cell>
          <cell r="C120">
            <v>76091</v>
          </cell>
          <cell r="D120" t="str">
            <v>Parking Maintenance</v>
          </cell>
          <cell r="E120">
            <v>2305</v>
          </cell>
          <cell r="F120">
            <v>2327.8000000000002</v>
          </cell>
          <cell r="G120">
            <v>-22.8000000000002</v>
          </cell>
          <cell r="H120">
            <v>40763.08</v>
          </cell>
          <cell r="I120">
            <v>40763.08</v>
          </cell>
          <cell r="J120">
            <v>0</v>
          </cell>
        </row>
        <row r="121">
          <cell r="A121" t="str">
            <v>6213577000</v>
          </cell>
          <cell r="B121">
            <v>62135</v>
          </cell>
          <cell r="C121">
            <v>77000</v>
          </cell>
          <cell r="D121" t="str">
            <v>Grounds Maintenance</v>
          </cell>
          <cell r="E121">
            <v>1334.47</v>
          </cell>
          <cell r="F121">
            <v>7057.21</v>
          </cell>
          <cell r="G121">
            <v>-5722.74</v>
          </cell>
          <cell r="H121">
            <v>51270.38</v>
          </cell>
          <cell r="I121">
            <v>51270.38</v>
          </cell>
          <cell r="J121">
            <v>0</v>
          </cell>
        </row>
        <row r="122">
          <cell r="A122" t="str">
            <v>6213577053</v>
          </cell>
          <cell r="B122">
            <v>62135</v>
          </cell>
          <cell r="C122">
            <v>77053</v>
          </cell>
          <cell r="D122" t="str">
            <v>Landscaping</v>
          </cell>
          <cell r="E122">
            <v>2652</v>
          </cell>
          <cell r="F122">
            <v>2320.0100000000002</v>
          </cell>
          <cell r="G122">
            <v>331.99</v>
          </cell>
          <cell r="H122">
            <v>40894.94</v>
          </cell>
          <cell r="I122">
            <v>40894.94</v>
          </cell>
          <cell r="J122">
            <v>0</v>
          </cell>
        </row>
        <row r="123">
          <cell r="A123" t="str">
            <v>6213578020</v>
          </cell>
          <cell r="B123">
            <v>62135</v>
          </cell>
          <cell r="C123">
            <v>78020</v>
          </cell>
          <cell r="D123" t="str">
            <v>Amortized CAM Exp</v>
          </cell>
          <cell r="E123">
            <v>1523.22</v>
          </cell>
          <cell r="F123">
            <v>1523.25</v>
          </cell>
          <cell r="G123">
            <v>-2.9999999999972701E-2</v>
          </cell>
          <cell r="H123">
            <v>18279</v>
          </cell>
          <cell r="I123">
            <v>18279</v>
          </cell>
          <cell r="J123">
            <v>0</v>
          </cell>
        </row>
        <row r="124">
          <cell r="A124" t="str">
            <v>6213584264</v>
          </cell>
          <cell r="B124">
            <v>62135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6213585555</v>
          </cell>
          <cell r="B125">
            <v>62135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6213585584</v>
          </cell>
          <cell r="B126">
            <v>62135</v>
          </cell>
          <cell r="C126">
            <v>85584</v>
          </cell>
          <cell r="D126" t="str">
            <v>Bldg Admin-Office Costs</v>
          </cell>
          <cell r="E126">
            <v>460.58</v>
          </cell>
          <cell r="F126">
            <v>673.08</v>
          </cell>
          <cell r="G126">
            <v>-212.5</v>
          </cell>
          <cell r="H126">
            <v>8077</v>
          </cell>
          <cell r="I126">
            <v>8077</v>
          </cell>
          <cell r="J126">
            <v>0</v>
          </cell>
        </row>
        <row r="127">
          <cell r="A127" t="str">
            <v>6213585582</v>
          </cell>
          <cell r="B127">
            <v>62135</v>
          </cell>
          <cell r="C127">
            <v>85582</v>
          </cell>
          <cell r="D127" t="str">
            <v>Bldg Admin-Salaries</v>
          </cell>
          <cell r="E127">
            <v>3799.49</v>
          </cell>
          <cell r="F127">
            <v>3788.5</v>
          </cell>
          <cell r="G127">
            <v>10.989999999999799</v>
          </cell>
          <cell r="H127">
            <v>48460</v>
          </cell>
          <cell r="I127">
            <v>48460</v>
          </cell>
          <cell r="J127">
            <v>0</v>
          </cell>
        </row>
        <row r="128">
          <cell r="A128" t="str">
            <v>6213586564</v>
          </cell>
          <cell r="B128">
            <v>62135</v>
          </cell>
          <cell r="C128">
            <v>86564</v>
          </cell>
          <cell r="D128" t="str">
            <v>Insurance</v>
          </cell>
          <cell r="E128">
            <v>2259</v>
          </cell>
          <cell r="F128">
            <v>2259</v>
          </cell>
          <cell r="G128">
            <v>0</v>
          </cell>
          <cell r="H128">
            <v>27108</v>
          </cell>
          <cell r="I128">
            <v>27108</v>
          </cell>
          <cell r="J128">
            <v>0</v>
          </cell>
        </row>
        <row r="129">
          <cell r="A129" t="str">
            <v>6213588846</v>
          </cell>
          <cell r="B129">
            <v>62135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6213588890</v>
          </cell>
          <cell r="B130">
            <v>62135</v>
          </cell>
          <cell r="C130">
            <v>88890</v>
          </cell>
          <cell r="D130" t="str">
            <v>Security/Safety</v>
          </cell>
          <cell r="E130">
            <v>4015.35</v>
          </cell>
          <cell r="F130">
            <v>292.68</v>
          </cell>
          <cell r="G130">
            <v>3722.67</v>
          </cell>
          <cell r="H130">
            <v>2976.06</v>
          </cell>
          <cell r="I130">
            <v>2976.06</v>
          </cell>
          <cell r="J130">
            <v>0</v>
          </cell>
        </row>
        <row r="131">
          <cell r="A131" t="str">
            <v>6213589775</v>
          </cell>
          <cell r="B131">
            <v>62135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6213589729</v>
          </cell>
          <cell r="B132">
            <v>62135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6213589786</v>
          </cell>
          <cell r="B133">
            <v>62135</v>
          </cell>
          <cell r="C133">
            <v>89786</v>
          </cell>
          <cell r="D133" t="str">
            <v>Property Tax Exp</v>
          </cell>
          <cell r="E133">
            <v>7608.17</v>
          </cell>
          <cell r="F133">
            <v>7608.17</v>
          </cell>
          <cell r="G133">
            <v>0</v>
          </cell>
          <cell r="H133">
            <v>91298</v>
          </cell>
          <cell r="I133">
            <v>91298</v>
          </cell>
          <cell r="J133">
            <v>0</v>
          </cell>
        </row>
        <row r="134">
          <cell r="A134" t="str">
            <v>6213571040</v>
          </cell>
          <cell r="B134">
            <v>62135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6213572701</v>
          </cell>
          <cell r="B135">
            <v>62135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51.5</v>
          </cell>
          <cell r="I135">
            <v>51.5</v>
          </cell>
          <cell r="J135">
            <v>0</v>
          </cell>
        </row>
        <row r="136">
          <cell r="A136" t="str">
            <v>6213572855</v>
          </cell>
          <cell r="B136">
            <v>62135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6213572870</v>
          </cell>
          <cell r="B137">
            <v>62135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6213576010</v>
          </cell>
          <cell r="B138">
            <v>62135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6213576040</v>
          </cell>
          <cell r="B139">
            <v>62135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6213576051</v>
          </cell>
          <cell r="B140">
            <v>62135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6213576054</v>
          </cell>
          <cell r="B141">
            <v>62135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75837.59</v>
          </cell>
          <cell r="I141">
            <v>75837.59</v>
          </cell>
          <cell r="J141">
            <v>0</v>
          </cell>
        </row>
        <row r="142">
          <cell r="A142" t="str">
            <v>6213576060</v>
          </cell>
          <cell r="B142">
            <v>62135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6213576071</v>
          </cell>
          <cell r="B143">
            <v>62135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6213576090</v>
          </cell>
          <cell r="B144">
            <v>62135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6213577001</v>
          </cell>
          <cell r="B145">
            <v>62135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6213577022</v>
          </cell>
          <cell r="B146">
            <v>62135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6213584200</v>
          </cell>
          <cell r="B147">
            <v>62135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6213584240</v>
          </cell>
          <cell r="B148">
            <v>62135</v>
          </cell>
          <cell r="C148">
            <v>84240</v>
          </cell>
          <cell r="D148" t="str">
            <v>Marketing Leasing</v>
          </cell>
          <cell r="E148">
            <v>13.89</v>
          </cell>
          <cell r="F148">
            <v>160.58000000000001</v>
          </cell>
          <cell r="G148">
            <v>-146.69</v>
          </cell>
          <cell r="H148">
            <v>1927</v>
          </cell>
          <cell r="I148">
            <v>1927</v>
          </cell>
          <cell r="J148">
            <v>0</v>
          </cell>
        </row>
        <row r="149">
          <cell r="A149" t="str">
            <v>6213584242</v>
          </cell>
          <cell r="B149">
            <v>62135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6213584243</v>
          </cell>
          <cell r="B150">
            <v>62135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6213584244</v>
          </cell>
          <cell r="B151">
            <v>62135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6213584265</v>
          </cell>
          <cell r="B152">
            <v>62135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6213588037</v>
          </cell>
          <cell r="B153">
            <v>62135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6213585016</v>
          </cell>
          <cell r="B154">
            <v>62135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0</v>
          </cell>
          <cell r="G154">
            <v>0</v>
          </cell>
          <cell r="H154">
            <v>2210</v>
          </cell>
          <cell r="I154">
            <v>2210</v>
          </cell>
          <cell r="J154">
            <v>0</v>
          </cell>
        </row>
        <row r="155">
          <cell r="A155" t="str">
            <v>6213585022</v>
          </cell>
          <cell r="B155">
            <v>62135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2121.13</v>
          </cell>
          <cell r="I155">
            <v>2121.13</v>
          </cell>
          <cell r="J155">
            <v>0</v>
          </cell>
        </row>
        <row r="156">
          <cell r="A156" t="str">
            <v>6213585065</v>
          </cell>
          <cell r="B156">
            <v>62135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6213585500</v>
          </cell>
          <cell r="B157">
            <v>62135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1238.58</v>
          </cell>
          <cell r="I157">
            <v>1238.58</v>
          </cell>
          <cell r="J157">
            <v>0</v>
          </cell>
        </row>
        <row r="158">
          <cell r="A158" t="str">
            <v>6213585566</v>
          </cell>
          <cell r="B158">
            <v>62135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6213585581</v>
          </cell>
          <cell r="B159">
            <v>62135</v>
          </cell>
          <cell r="C159">
            <v>85581</v>
          </cell>
          <cell r="D159" t="str">
            <v>Bldg Admin- Salaries</v>
          </cell>
          <cell r="E159">
            <v>3138.6</v>
          </cell>
          <cell r="F159">
            <v>3135.92</v>
          </cell>
          <cell r="G159">
            <v>2.6799999999998398</v>
          </cell>
          <cell r="H159">
            <v>39336.199999999997</v>
          </cell>
          <cell r="I159">
            <v>39336.199999999997</v>
          </cell>
          <cell r="J159">
            <v>0</v>
          </cell>
        </row>
        <row r="160">
          <cell r="A160" t="str">
            <v>6213585583</v>
          </cell>
          <cell r="B160">
            <v>62135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6213585530</v>
          </cell>
          <cell r="B161">
            <v>62135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6213586012</v>
          </cell>
          <cell r="B162">
            <v>62135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6213586037</v>
          </cell>
          <cell r="B163">
            <v>62135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6213583050</v>
          </cell>
          <cell r="B164">
            <v>62135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6213586510</v>
          </cell>
          <cell r="B165">
            <v>62135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6213586537</v>
          </cell>
          <cell r="B166">
            <v>62135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6213586566</v>
          </cell>
          <cell r="B167">
            <v>62135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6213586955</v>
          </cell>
          <cell r="B168">
            <v>62135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6213586985</v>
          </cell>
          <cell r="B169">
            <v>62135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6213586880</v>
          </cell>
          <cell r="B170">
            <v>62135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6213588710</v>
          </cell>
          <cell r="B171">
            <v>62135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0.08</v>
          </cell>
          <cell r="G171">
            <v>-0.08</v>
          </cell>
          <cell r="H171">
            <v>31108.639999999999</v>
          </cell>
          <cell r="I171">
            <v>31108.639999999999</v>
          </cell>
          <cell r="J171">
            <v>0</v>
          </cell>
        </row>
        <row r="172">
          <cell r="A172" t="str">
            <v>6213588711</v>
          </cell>
          <cell r="B172">
            <v>62135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6213588785</v>
          </cell>
          <cell r="B173">
            <v>62135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6213588847</v>
          </cell>
          <cell r="B174">
            <v>62135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6213588866</v>
          </cell>
          <cell r="B175">
            <v>62135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6213588870</v>
          </cell>
          <cell r="B176">
            <v>62135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6213588889</v>
          </cell>
          <cell r="B177">
            <v>62135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6213589776</v>
          </cell>
          <cell r="B178">
            <v>62135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6213589787</v>
          </cell>
          <cell r="B179">
            <v>62135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6213589510</v>
          </cell>
          <cell r="B180">
            <v>62135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6213589511</v>
          </cell>
          <cell r="B181">
            <v>62135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6213589512</v>
          </cell>
          <cell r="B182">
            <v>62135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6213589528</v>
          </cell>
          <cell r="B183">
            <v>62135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6213589529</v>
          </cell>
          <cell r="B184">
            <v>62135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6213589567</v>
          </cell>
          <cell r="B185">
            <v>62135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6213585058</v>
          </cell>
          <cell r="B186">
            <v>62135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6213586513</v>
          </cell>
          <cell r="B187">
            <v>62135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127.74</v>
          </cell>
          <cell r="G187">
            <v>-127.74</v>
          </cell>
          <cell r="H187">
            <v>1576.11</v>
          </cell>
          <cell r="I187">
            <v>1576.11</v>
          </cell>
          <cell r="J187">
            <v>0</v>
          </cell>
        </row>
        <row r="188">
          <cell r="A188" t="str">
            <v>6213586519</v>
          </cell>
          <cell r="B188">
            <v>62135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6213588770</v>
          </cell>
          <cell r="B189">
            <v>62135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6213588862</v>
          </cell>
          <cell r="B190">
            <v>62135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6213588874</v>
          </cell>
          <cell r="B191">
            <v>62135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6213589910</v>
          </cell>
          <cell r="B192">
            <v>62135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7892.64</v>
          </cell>
          <cell r="G192">
            <v>-7892.64</v>
          </cell>
          <cell r="H192">
            <v>93118.59</v>
          </cell>
          <cell r="I192">
            <v>93118.59</v>
          </cell>
          <cell r="J192">
            <v>0</v>
          </cell>
        </row>
        <row r="193">
          <cell r="A193" t="str">
            <v>6213589548</v>
          </cell>
          <cell r="B193">
            <v>62135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6216041010</v>
          </cell>
          <cell r="B194">
            <v>62160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6216041040</v>
          </cell>
          <cell r="B195">
            <v>62160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6216041050</v>
          </cell>
          <cell r="B196">
            <v>62160</v>
          </cell>
          <cell r="C196">
            <v>41050</v>
          </cell>
          <cell r="D196" t="str">
            <v>Rental Income - Fixed</v>
          </cell>
          <cell r="E196">
            <v>-1552664.5</v>
          </cell>
          <cell r="F196">
            <v>-1589708.57</v>
          </cell>
          <cell r="G196">
            <v>37044.070000000102</v>
          </cell>
          <cell r="H196">
            <v>-1710299.84</v>
          </cell>
          <cell r="I196">
            <v>-1740878.67</v>
          </cell>
          <cell r="J196">
            <v>-30578.829999999802</v>
          </cell>
        </row>
        <row r="197">
          <cell r="A197" t="str">
            <v>6216041074</v>
          </cell>
          <cell r="B197">
            <v>62160</v>
          </cell>
          <cell r="C197">
            <v>41074</v>
          </cell>
          <cell r="D197" t="str">
            <v>Rental Income - Percentage</v>
          </cell>
          <cell r="E197">
            <v>-6370.98</v>
          </cell>
          <cell r="F197">
            <v>-146.05999999999901</v>
          </cell>
          <cell r="G197">
            <v>-6224.92</v>
          </cell>
          <cell r="H197">
            <v>-4100.63</v>
          </cell>
          <cell r="I197">
            <v>627.33000000000095</v>
          </cell>
          <cell r="J197">
            <v>4727.96</v>
          </cell>
        </row>
        <row r="198">
          <cell r="A198" t="str">
            <v>6216041082</v>
          </cell>
          <cell r="B198">
            <v>62160</v>
          </cell>
          <cell r="C198">
            <v>41082</v>
          </cell>
          <cell r="D198" t="str">
            <v>Rental Income - Operating Exp</v>
          </cell>
          <cell r="E198">
            <v>-309016.94</v>
          </cell>
          <cell r="F198">
            <v>-325026.05</v>
          </cell>
          <cell r="G198">
            <v>16009.11</v>
          </cell>
          <cell r="H198">
            <v>-356920.51</v>
          </cell>
          <cell r="I198">
            <v>-350941.76</v>
          </cell>
          <cell r="J198">
            <v>5978.75</v>
          </cell>
        </row>
        <row r="199">
          <cell r="A199" t="str">
            <v>6216044610</v>
          </cell>
          <cell r="B199">
            <v>62160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6216045071</v>
          </cell>
          <cell r="B200">
            <v>62160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6216045010</v>
          </cell>
          <cell r="B201">
            <v>62160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6216045046</v>
          </cell>
          <cell r="B202">
            <v>62160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6216045070</v>
          </cell>
          <cell r="B203">
            <v>62160</v>
          </cell>
          <cell r="C203">
            <v>45070</v>
          </cell>
          <cell r="D203" t="str">
            <v>Other Income</v>
          </cell>
          <cell r="E203">
            <v>-882.51</v>
          </cell>
          <cell r="F203">
            <v>-675</v>
          </cell>
          <cell r="G203">
            <v>-207.51</v>
          </cell>
          <cell r="H203">
            <v>-902.25</v>
          </cell>
          <cell r="I203">
            <v>-810</v>
          </cell>
          <cell r="J203">
            <v>92.25</v>
          </cell>
        </row>
        <row r="204">
          <cell r="A204" t="str">
            <v>6216041060</v>
          </cell>
          <cell r="B204">
            <v>62160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38434</v>
          </cell>
          <cell r="G204">
            <v>-38434</v>
          </cell>
          <cell r="H204">
            <v>13976</v>
          </cell>
          <cell r="I204">
            <v>41928</v>
          </cell>
          <cell r="J204">
            <v>27952</v>
          </cell>
        </row>
        <row r="205">
          <cell r="A205" t="str">
            <v>6216044870</v>
          </cell>
          <cell r="B205">
            <v>62160</v>
          </cell>
          <cell r="C205">
            <v>44870</v>
          </cell>
          <cell r="D205" t="str">
            <v>Late Fees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6216052542</v>
          </cell>
          <cell r="B206">
            <v>62160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6216072710</v>
          </cell>
          <cell r="B207">
            <v>62160</v>
          </cell>
          <cell r="C207">
            <v>72710</v>
          </cell>
          <cell r="D207" t="str">
            <v>Utilities - Electricity</v>
          </cell>
          <cell r="E207">
            <v>9600.07</v>
          </cell>
          <cell r="F207">
            <v>8724</v>
          </cell>
          <cell r="G207">
            <v>876.07</v>
          </cell>
          <cell r="H207">
            <v>10455.89</v>
          </cell>
          <cell r="I207">
            <v>9330</v>
          </cell>
          <cell r="J207">
            <v>-1125.8900000000001</v>
          </cell>
        </row>
        <row r="208">
          <cell r="A208" t="str">
            <v>6216072740</v>
          </cell>
          <cell r="B208">
            <v>62160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6216072770</v>
          </cell>
          <cell r="B209">
            <v>62160</v>
          </cell>
          <cell r="C209">
            <v>72770</v>
          </cell>
          <cell r="D209" t="str">
            <v>Utilities - Water</v>
          </cell>
          <cell r="E209">
            <v>2284.94</v>
          </cell>
          <cell r="F209">
            <v>2381</v>
          </cell>
          <cell r="G209">
            <v>-96.059999999999903</v>
          </cell>
          <cell r="H209">
            <v>2833.93</v>
          </cell>
          <cell r="I209">
            <v>2781</v>
          </cell>
          <cell r="J209">
            <v>-52.929999999999801</v>
          </cell>
        </row>
        <row r="210">
          <cell r="A210" t="str">
            <v>6216076000</v>
          </cell>
          <cell r="B210">
            <v>62160</v>
          </cell>
          <cell r="C210">
            <v>76000</v>
          </cell>
          <cell r="D210" t="str">
            <v>Bldg Maintenance &amp; Repair</v>
          </cell>
          <cell r="E210">
            <v>17077.11</v>
          </cell>
          <cell r="F210">
            <v>11837</v>
          </cell>
          <cell r="G210">
            <v>5240.1099999999997</v>
          </cell>
          <cell r="H210">
            <v>13351.26</v>
          </cell>
          <cell r="I210">
            <v>12357</v>
          </cell>
          <cell r="J210">
            <v>-994.26</v>
          </cell>
        </row>
        <row r="211">
          <cell r="A211" t="str">
            <v>6216076020</v>
          </cell>
          <cell r="B211">
            <v>62160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6216076034</v>
          </cell>
          <cell r="B212">
            <v>62160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6216076050</v>
          </cell>
          <cell r="B213">
            <v>62160</v>
          </cell>
          <cell r="C213">
            <v>76050</v>
          </cell>
          <cell r="D213" t="str">
            <v>Cleaning Expense</v>
          </cell>
          <cell r="E213">
            <v>33351.43</v>
          </cell>
          <cell r="F213">
            <v>31361</v>
          </cell>
          <cell r="G213">
            <v>1990.43</v>
          </cell>
          <cell r="H213">
            <v>36033.589999999997</v>
          </cell>
          <cell r="I213">
            <v>34212</v>
          </cell>
          <cell r="J213">
            <v>-1821.59</v>
          </cell>
        </row>
        <row r="214">
          <cell r="A214" t="str">
            <v>6216076056</v>
          </cell>
          <cell r="B214">
            <v>62160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6216076070</v>
          </cell>
          <cell r="B215">
            <v>62160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6216076091</v>
          </cell>
          <cell r="B216">
            <v>62160</v>
          </cell>
          <cell r="C216">
            <v>76091</v>
          </cell>
          <cell r="D216" t="str">
            <v>Parking Maintenance</v>
          </cell>
          <cell r="E216">
            <v>22912.44</v>
          </cell>
          <cell r="F216">
            <v>23857</v>
          </cell>
          <cell r="G216">
            <v>-944.56000000000097</v>
          </cell>
          <cell r="H216">
            <v>27187.54</v>
          </cell>
          <cell r="I216">
            <v>25484</v>
          </cell>
          <cell r="J216">
            <v>-1703.54</v>
          </cell>
        </row>
        <row r="217">
          <cell r="A217" t="str">
            <v>6216077000</v>
          </cell>
          <cell r="B217">
            <v>62160</v>
          </cell>
          <cell r="C217">
            <v>77000</v>
          </cell>
          <cell r="D217" t="str">
            <v>Grounds Maintenance</v>
          </cell>
          <cell r="E217">
            <v>24676.560000000001</v>
          </cell>
          <cell r="F217">
            <v>29771</v>
          </cell>
          <cell r="G217">
            <v>-5094.4399999999996</v>
          </cell>
          <cell r="H217">
            <v>32820.839999999997</v>
          </cell>
          <cell r="I217">
            <v>30090</v>
          </cell>
          <cell r="J217">
            <v>-2730.84</v>
          </cell>
        </row>
        <row r="218">
          <cell r="A218" t="str">
            <v>6216077053</v>
          </cell>
          <cell r="B218">
            <v>62160</v>
          </cell>
          <cell r="C218">
            <v>77053</v>
          </cell>
          <cell r="D218" t="str">
            <v>Landscaping</v>
          </cell>
          <cell r="E218">
            <v>21802.58</v>
          </cell>
          <cell r="F218">
            <v>44700</v>
          </cell>
          <cell r="G218">
            <v>-22897.42</v>
          </cell>
          <cell r="H218">
            <v>38818.58</v>
          </cell>
          <cell r="I218">
            <v>45925</v>
          </cell>
          <cell r="J218">
            <v>7106.42</v>
          </cell>
        </row>
        <row r="219">
          <cell r="A219" t="str">
            <v>6216078020</v>
          </cell>
          <cell r="B219">
            <v>62160</v>
          </cell>
          <cell r="C219">
            <v>78020</v>
          </cell>
          <cell r="D219" t="str">
            <v>Amortized CAM Exp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</row>
        <row r="220">
          <cell r="A220" t="str">
            <v>6216084264</v>
          </cell>
          <cell r="B220">
            <v>62160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6216085555</v>
          </cell>
          <cell r="B221">
            <v>62160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6216085584</v>
          </cell>
          <cell r="B222">
            <v>62160</v>
          </cell>
          <cell r="C222">
            <v>85584</v>
          </cell>
          <cell r="D222" t="str">
            <v>Bldg Admin-Office Costs</v>
          </cell>
          <cell r="E222">
            <v>9862.3799999999992</v>
          </cell>
          <cell r="F222">
            <v>7506.62</v>
          </cell>
          <cell r="G222">
            <v>2355.7600000000002</v>
          </cell>
          <cell r="H222">
            <v>10068.65</v>
          </cell>
          <cell r="I222">
            <v>8189</v>
          </cell>
          <cell r="J222">
            <v>-1879.65</v>
          </cell>
        </row>
        <row r="223">
          <cell r="A223" t="str">
            <v>6216085582</v>
          </cell>
          <cell r="B223">
            <v>62160</v>
          </cell>
          <cell r="C223">
            <v>85582</v>
          </cell>
          <cell r="D223" t="str">
            <v>Bldg Admin-Salaries</v>
          </cell>
          <cell r="E223">
            <v>37715.89</v>
          </cell>
          <cell r="F223">
            <v>42468.3</v>
          </cell>
          <cell r="G223">
            <v>-4752.41</v>
          </cell>
          <cell r="H223">
            <v>44507</v>
          </cell>
          <cell r="I223">
            <v>49382.3</v>
          </cell>
          <cell r="J223">
            <v>4875.3</v>
          </cell>
        </row>
        <row r="224">
          <cell r="A224" t="str">
            <v>6216086564</v>
          </cell>
          <cell r="B224">
            <v>62160</v>
          </cell>
          <cell r="C224">
            <v>86564</v>
          </cell>
          <cell r="D224" t="str">
            <v>Insurance</v>
          </cell>
          <cell r="E224">
            <v>25113</v>
          </cell>
          <cell r="F224">
            <v>32015.5</v>
          </cell>
          <cell r="G224">
            <v>-6902.5</v>
          </cell>
          <cell r="H224">
            <v>27405</v>
          </cell>
          <cell r="I224">
            <v>34926</v>
          </cell>
          <cell r="J224">
            <v>7521</v>
          </cell>
        </row>
        <row r="225">
          <cell r="A225" t="str">
            <v>6216088846</v>
          </cell>
          <cell r="B225">
            <v>62160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6216088890</v>
          </cell>
          <cell r="B226">
            <v>62160</v>
          </cell>
          <cell r="C226">
            <v>88890</v>
          </cell>
          <cell r="D226" t="str">
            <v>Security/Safety</v>
          </cell>
          <cell r="E226">
            <v>2393.2399999999998</v>
          </cell>
          <cell r="F226">
            <v>5645</v>
          </cell>
          <cell r="G226">
            <v>-3251.76</v>
          </cell>
          <cell r="H226">
            <v>892</v>
          </cell>
          <cell r="I226">
            <v>5868</v>
          </cell>
          <cell r="J226">
            <v>4976</v>
          </cell>
        </row>
        <row r="227">
          <cell r="A227" t="str">
            <v>6216089775</v>
          </cell>
          <cell r="B227">
            <v>62160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6216089729</v>
          </cell>
          <cell r="B228">
            <v>62160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6216089786</v>
          </cell>
          <cell r="B229">
            <v>62160</v>
          </cell>
          <cell r="C229">
            <v>89786</v>
          </cell>
          <cell r="D229" t="str">
            <v>Property Tax Exp</v>
          </cell>
          <cell r="E229">
            <v>83076</v>
          </cell>
          <cell r="F229">
            <v>78701.259999999995</v>
          </cell>
          <cell r="G229">
            <v>4374.7400000000098</v>
          </cell>
          <cell r="H229">
            <v>87930</v>
          </cell>
          <cell r="I229">
            <v>85856</v>
          </cell>
          <cell r="J229">
            <v>-2074</v>
          </cell>
        </row>
        <row r="230">
          <cell r="A230" t="str">
            <v>6216071040</v>
          </cell>
          <cell r="B230">
            <v>62160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6216072701</v>
          </cell>
          <cell r="B231">
            <v>62160</v>
          </cell>
          <cell r="C231">
            <v>72701</v>
          </cell>
          <cell r="D231" t="str">
            <v>Utilities</v>
          </cell>
          <cell r="E231">
            <v>741.96</v>
          </cell>
          <cell r="F231">
            <v>0</v>
          </cell>
          <cell r="G231">
            <v>741.96</v>
          </cell>
          <cell r="H231">
            <v>514.91</v>
          </cell>
          <cell r="I231">
            <v>0</v>
          </cell>
          <cell r="J231">
            <v>-514.91</v>
          </cell>
        </row>
        <row r="232">
          <cell r="A232" t="str">
            <v>6216072855</v>
          </cell>
          <cell r="B232">
            <v>62160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6216072870</v>
          </cell>
          <cell r="B233">
            <v>62160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6216076010</v>
          </cell>
          <cell r="B234">
            <v>62160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1000</v>
          </cell>
          <cell r="G234">
            <v>-1000</v>
          </cell>
          <cell r="H234">
            <v>0</v>
          </cell>
          <cell r="I234">
            <v>1000</v>
          </cell>
          <cell r="J234">
            <v>1000</v>
          </cell>
        </row>
        <row r="235">
          <cell r="A235" t="str">
            <v>6216076040</v>
          </cell>
          <cell r="B235">
            <v>62160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6216076051</v>
          </cell>
          <cell r="B236">
            <v>62160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6216076054</v>
          </cell>
          <cell r="B237">
            <v>62160</v>
          </cell>
          <cell r="C237">
            <v>76054</v>
          </cell>
          <cell r="D237" t="str">
            <v>Bldg Maintenance &amp; Repair</v>
          </cell>
          <cell r="E237">
            <v>300.08</v>
          </cell>
          <cell r="F237">
            <v>0</v>
          </cell>
          <cell r="G237">
            <v>300.08</v>
          </cell>
          <cell r="H237">
            <v>300.08</v>
          </cell>
          <cell r="I237">
            <v>0</v>
          </cell>
          <cell r="J237">
            <v>-300.08</v>
          </cell>
        </row>
        <row r="238">
          <cell r="A238" t="str">
            <v>6216076060</v>
          </cell>
          <cell r="B238">
            <v>62160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6216076071</v>
          </cell>
          <cell r="B239">
            <v>62160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9600</v>
          </cell>
          <cell r="I239">
            <v>0</v>
          </cell>
          <cell r="J239">
            <v>-9600</v>
          </cell>
        </row>
        <row r="240">
          <cell r="A240" t="str">
            <v>6216076090</v>
          </cell>
          <cell r="B240">
            <v>62160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6216077001</v>
          </cell>
          <cell r="B241">
            <v>62160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6216077022</v>
          </cell>
          <cell r="B242">
            <v>62160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6216084200</v>
          </cell>
          <cell r="B243">
            <v>62160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6216084240</v>
          </cell>
          <cell r="B244">
            <v>62160</v>
          </cell>
          <cell r="C244">
            <v>84240</v>
          </cell>
          <cell r="D244" t="str">
            <v>Marketing Leasing</v>
          </cell>
          <cell r="E244">
            <v>283.74</v>
          </cell>
          <cell r="F244">
            <v>0</v>
          </cell>
          <cell r="G244">
            <v>283.74</v>
          </cell>
          <cell r="H244">
            <v>244.68</v>
          </cell>
          <cell r="I244">
            <v>0</v>
          </cell>
          <cell r="J244">
            <v>-244.68</v>
          </cell>
        </row>
        <row r="245">
          <cell r="A245" t="str">
            <v>6216084242</v>
          </cell>
          <cell r="B245">
            <v>62160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6216084243</v>
          </cell>
          <cell r="B246">
            <v>62160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6216084244</v>
          </cell>
          <cell r="B247">
            <v>62160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6216084265</v>
          </cell>
          <cell r="B248">
            <v>62160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6216088037</v>
          </cell>
          <cell r="B249">
            <v>62160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6216085016</v>
          </cell>
          <cell r="B250">
            <v>62160</v>
          </cell>
          <cell r="C250">
            <v>85016</v>
          </cell>
          <cell r="D250" t="str">
            <v>Prof Svc-Attorney Outside</v>
          </cell>
          <cell r="E250">
            <v>1464.45</v>
          </cell>
          <cell r="F250">
            <v>1500</v>
          </cell>
          <cell r="G250">
            <v>-35.549999999999997</v>
          </cell>
          <cell r="H250">
            <v>2382</v>
          </cell>
          <cell r="I250">
            <v>2000</v>
          </cell>
          <cell r="J250">
            <v>-382</v>
          </cell>
        </row>
        <row r="251">
          <cell r="A251" t="str">
            <v>6216085022</v>
          </cell>
          <cell r="B251">
            <v>62160</v>
          </cell>
          <cell r="C251">
            <v>85022</v>
          </cell>
          <cell r="D251" t="str">
            <v>Prof Svc-Audit/Acctng</v>
          </cell>
          <cell r="E251">
            <v>1221.93</v>
          </cell>
          <cell r="F251">
            <v>650</v>
          </cell>
          <cell r="G251">
            <v>571.92999999999995</v>
          </cell>
          <cell r="H251">
            <v>2071.35</v>
          </cell>
          <cell r="I251">
            <v>1872</v>
          </cell>
          <cell r="J251">
            <v>-199.35</v>
          </cell>
        </row>
        <row r="252">
          <cell r="A252" t="str">
            <v>6216085065</v>
          </cell>
          <cell r="B252">
            <v>62160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6216085500</v>
          </cell>
          <cell r="B253">
            <v>62160</v>
          </cell>
          <cell r="C253">
            <v>85500</v>
          </cell>
          <cell r="D253" t="str">
            <v>Consulting Services</v>
          </cell>
          <cell r="E253">
            <v>170.52</v>
          </cell>
          <cell r="F253">
            <v>800</v>
          </cell>
          <cell r="G253">
            <v>-629.48</v>
          </cell>
          <cell r="H253">
            <v>335</v>
          </cell>
          <cell r="I253">
            <v>800</v>
          </cell>
          <cell r="J253">
            <v>465</v>
          </cell>
        </row>
        <row r="254">
          <cell r="A254" t="str">
            <v>6216085566</v>
          </cell>
          <cell r="B254">
            <v>62160</v>
          </cell>
          <cell r="C254">
            <v>85566</v>
          </cell>
          <cell r="D254" t="str">
            <v>Management Fee</v>
          </cell>
          <cell r="E254">
            <v>36929.35</v>
          </cell>
          <cell r="F254">
            <v>36925</v>
          </cell>
          <cell r="G254">
            <v>4.3499999999985404</v>
          </cell>
          <cell r="H254">
            <v>40271.760000000002</v>
          </cell>
          <cell r="I254">
            <v>40272</v>
          </cell>
          <cell r="J254">
            <v>0.23999999999796301</v>
          </cell>
        </row>
        <row r="255">
          <cell r="A255" t="str">
            <v>6216085581</v>
          </cell>
          <cell r="B255">
            <v>62160</v>
          </cell>
          <cell r="C255">
            <v>85581</v>
          </cell>
          <cell r="D255" t="str">
            <v>Bldg Admin- Salaries</v>
          </cell>
          <cell r="E255">
            <v>5315.61</v>
          </cell>
          <cell r="F255">
            <v>5783.7</v>
          </cell>
          <cell r="G255">
            <v>-468.09</v>
          </cell>
          <cell r="H255">
            <v>6562.49</v>
          </cell>
          <cell r="I255">
            <v>6717.7</v>
          </cell>
          <cell r="J255">
            <v>155.21</v>
          </cell>
        </row>
        <row r="256">
          <cell r="A256" t="str">
            <v>6216085583</v>
          </cell>
          <cell r="B256">
            <v>62160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6216085530</v>
          </cell>
          <cell r="B257">
            <v>62160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6216086012</v>
          </cell>
          <cell r="B258">
            <v>62160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6216086037</v>
          </cell>
          <cell r="B259">
            <v>62160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6216083050</v>
          </cell>
          <cell r="B260">
            <v>62160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6216086510</v>
          </cell>
          <cell r="B261">
            <v>62160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6216086537</v>
          </cell>
          <cell r="B262">
            <v>62160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6216086566</v>
          </cell>
          <cell r="B263">
            <v>62160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6216086955</v>
          </cell>
          <cell r="B264">
            <v>62160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6216086985</v>
          </cell>
          <cell r="B265">
            <v>62160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6216086880</v>
          </cell>
          <cell r="B266">
            <v>62160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6216088710</v>
          </cell>
          <cell r="B267">
            <v>62160</v>
          </cell>
          <cell r="C267">
            <v>88710</v>
          </cell>
          <cell r="D267" t="str">
            <v>Losses-Bad Debts</v>
          </cell>
          <cell r="E267">
            <v>-10102.18</v>
          </cell>
          <cell r="F267">
            <v>31773.360000000001</v>
          </cell>
          <cell r="G267">
            <v>-41875.54</v>
          </cell>
          <cell r="H267">
            <v>2927</v>
          </cell>
          <cell r="I267">
            <v>42364.72</v>
          </cell>
          <cell r="J267">
            <v>39437.72</v>
          </cell>
        </row>
        <row r="268">
          <cell r="A268" t="str">
            <v>6216088711</v>
          </cell>
          <cell r="B268">
            <v>62160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6216088785</v>
          </cell>
          <cell r="B269">
            <v>62160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6216088847</v>
          </cell>
          <cell r="B270">
            <v>62160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6216088866</v>
          </cell>
          <cell r="B271">
            <v>62160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6216088870</v>
          </cell>
          <cell r="B272">
            <v>62160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6216088889</v>
          </cell>
          <cell r="B273">
            <v>62160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6216089776</v>
          </cell>
          <cell r="B274">
            <v>62160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6216089787</v>
          </cell>
          <cell r="B275">
            <v>62160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6216089510</v>
          </cell>
          <cell r="B276">
            <v>62160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414892</v>
          </cell>
          <cell r="G276">
            <v>-414892</v>
          </cell>
          <cell r="H276">
            <v>243144</v>
          </cell>
          <cell r="I276">
            <v>433410</v>
          </cell>
          <cell r="J276">
            <v>190266</v>
          </cell>
        </row>
        <row r="277">
          <cell r="A277" t="str">
            <v>6216089511</v>
          </cell>
          <cell r="B277">
            <v>62160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6216089512</v>
          </cell>
          <cell r="B278">
            <v>62160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6216089528</v>
          </cell>
          <cell r="B279">
            <v>62160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6216089529</v>
          </cell>
          <cell r="B280">
            <v>62160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7810</v>
          </cell>
          <cell r="G280">
            <v>-7810</v>
          </cell>
          <cell r="H280">
            <v>5681</v>
          </cell>
          <cell r="I280">
            <v>9231</v>
          </cell>
          <cell r="J280">
            <v>3550</v>
          </cell>
        </row>
        <row r="281">
          <cell r="A281" t="str">
            <v>6216089567</v>
          </cell>
          <cell r="B281">
            <v>62160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6216085058</v>
          </cell>
          <cell r="B282">
            <v>62160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6216086513</v>
          </cell>
          <cell r="B283">
            <v>62160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4506.4799999999996</v>
          </cell>
          <cell r="G283">
            <v>-4506.4799999999996</v>
          </cell>
          <cell r="H283">
            <v>757.14</v>
          </cell>
          <cell r="I283">
            <v>5279.8</v>
          </cell>
          <cell r="J283">
            <v>4522.66</v>
          </cell>
        </row>
        <row r="284">
          <cell r="A284" t="str">
            <v>6216086519</v>
          </cell>
          <cell r="B284">
            <v>62160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6216088770</v>
          </cell>
          <cell r="B285">
            <v>62160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6216088862</v>
          </cell>
          <cell r="B286">
            <v>62160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6216088874</v>
          </cell>
          <cell r="B287">
            <v>62160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6216089910</v>
          </cell>
          <cell r="B288">
            <v>62160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84919.6</v>
          </cell>
          <cell r="G288">
            <v>-84919.6</v>
          </cell>
          <cell r="H288">
            <v>97808.54</v>
          </cell>
          <cell r="I288">
            <v>93431.02</v>
          </cell>
          <cell r="J288">
            <v>-4377.5199999999904</v>
          </cell>
        </row>
        <row r="289">
          <cell r="A289" t="str">
            <v>6216089548</v>
          </cell>
          <cell r="B289">
            <v>62160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-587336.49</v>
          </cell>
          <cell r="F292">
            <v>-583671.22</v>
          </cell>
          <cell r="G292">
            <v>-3665.27000000002</v>
          </cell>
          <cell r="H292">
            <v>-3599476.8</v>
          </cell>
          <cell r="I292">
            <v>-3599476.8</v>
          </cell>
          <cell r="J292">
            <v>0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-60059.39</v>
          </cell>
          <cell r="F293">
            <v>-114844</v>
          </cell>
          <cell r="G293">
            <v>54784.61</v>
          </cell>
          <cell r="H293">
            <v>-744677</v>
          </cell>
          <cell r="I293">
            <v>-744677</v>
          </cell>
          <cell r="J293">
            <v>0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-172044.9</v>
          </cell>
          <cell r="F294">
            <v>-190625</v>
          </cell>
          <cell r="G294">
            <v>18580.099999999999</v>
          </cell>
          <cell r="H294">
            <v>-1143750</v>
          </cell>
          <cell r="I294">
            <v>-1143750</v>
          </cell>
          <cell r="J294">
            <v>0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-390.02</v>
          </cell>
          <cell r="F299">
            <v>-9.86</v>
          </cell>
          <cell r="G299">
            <v>-380.16</v>
          </cell>
          <cell r="H299">
            <v>-454.41</v>
          </cell>
          <cell r="I299">
            <v>-454.41</v>
          </cell>
          <cell r="J299">
            <v>0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9146.5</v>
          </cell>
          <cell r="G300">
            <v>-9146.5</v>
          </cell>
          <cell r="H300">
            <v>54879</v>
          </cell>
          <cell r="I300">
            <v>54879</v>
          </cell>
          <cell r="J300">
            <v>0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4162.43</v>
          </cell>
          <cell r="F303">
            <v>4452.2</v>
          </cell>
          <cell r="G303">
            <v>-289.77</v>
          </cell>
          <cell r="H303">
            <v>28424.9</v>
          </cell>
          <cell r="I303">
            <v>28424.9</v>
          </cell>
          <cell r="J303">
            <v>0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9240.26</v>
          </cell>
          <cell r="F305">
            <v>8068.66</v>
          </cell>
          <cell r="G305">
            <v>1171.5999999999999</v>
          </cell>
          <cell r="H305">
            <v>37959.879999999997</v>
          </cell>
          <cell r="I305">
            <v>37959.879999999997</v>
          </cell>
          <cell r="J305">
            <v>0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6414.5</v>
          </cell>
          <cell r="F306">
            <v>6810.23</v>
          </cell>
          <cell r="G306">
            <v>-395.73</v>
          </cell>
          <cell r="H306">
            <v>43624.87</v>
          </cell>
          <cell r="I306">
            <v>43624.87</v>
          </cell>
          <cell r="J306">
            <v>0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11055.74</v>
          </cell>
          <cell r="F309">
            <v>11123.56</v>
          </cell>
          <cell r="G309">
            <v>-67.819999999999695</v>
          </cell>
          <cell r="H309">
            <v>68062.720000000001</v>
          </cell>
          <cell r="I309">
            <v>68062.720000000001</v>
          </cell>
          <cell r="J309">
            <v>0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7120</v>
          </cell>
          <cell r="F312">
            <v>7276.95</v>
          </cell>
          <cell r="G312">
            <v>-156.94999999999999</v>
          </cell>
          <cell r="H312">
            <v>52388.73</v>
          </cell>
          <cell r="I312">
            <v>52388.73</v>
          </cell>
          <cell r="J312">
            <v>0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5510.13</v>
          </cell>
          <cell r="F313">
            <v>19842.73</v>
          </cell>
          <cell r="G313">
            <v>-14332.6</v>
          </cell>
          <cell r="H313">
            <v>65694.600000000006</v>
          </cell>
          <cell r="I313">
            <v>65694.600000000006</v>
          </cell>
          <cell r="J313">
            <v>0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8646</v>
          </cell>
          <cell r="F314">
            <v>7104.22</v>
          </cell>
          <cell r="G314">
            <v>1541.78</v>
          </cell>
          <cell r="H314">
            <v>74286.95</v>
          </cell>
          <cell r="I314">
            <v>74286.95</v>
          </cell>
          <cell r="J314">
            <v>0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7277.34</v>
          </cell>
          <cell r="F315">
            <v>7361.16</v>
          </cell>
          <cell r="G315">
            <v>-83.819999999999695</v>
          </cell>
          <cell r="H315">
            <v>44167</v>
          </cell>
          <cell r="I315">
            <v>44167</v>
          </cell>
          <cell r="J315">
            <v>0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2022.92</v>
          </cell>
          <cell r="F318">
            <v>2022.66</v>
          </cell>
          <cell r="G318">
            <v>0.25999999999999102</v>
          </cell>
          <cell r="H318">
            <v>12136</v>
          </cell>
          <cell r="I318">
            <v>12136</v>
          </cell>
          <cell r="J318">
            <v>0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11707.52</v>
          </cell>
          <cell r="F319">
            <v>11707.16</v>
          </cell>
          <cell r="G319">
            <v>0.36000000000058202</v>
          </cell>
          <cell r="H319">
            <v>74913.8</v>
          </cell>
          <cell r="I319">
            <v>74913.8</v>
          </cell>
          <cell r="J319">
            <v>0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8057</v>
          </cell>
          <cell r="F320">
            <v>8057.34</v>
          </cell>
          <cell r="G320">
            <v>-0.34000000000014602</v>
          </cell>
          <cell r="H320">
            <v>48344</v>
          </cell>
          <cell r="I320">
            <v>48344</v>
          </cell>
          <cell r="J320">
            <v>0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3632</v>
          </cell>
          <cell r="F322">
            <v>3333.34</v>
          </cell>
          <cell r="G322">
            <v>298.66000000000003</v>
          </cell>
          <cell r="H322">
            <v>63000.33</v>
          </cell>
          <cell r="I322">
            <v>63000.33</v>
          </cell>
          <cell r="J322">
            <v>0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27781.16</v>
          </cell>
          <cell r="F323">
            <v>27781.16</v>
          </cell>
          <cell r="G323">
            <v>0</v>
          </cell>
          <cell r="H323">
            <v>166687</v>
          </cell>
          <cell r="I323">
            <v>166687</v>
          </cell>
          <cell r="J323">
            <v>0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47757.32</v>
          </cell>
          <cell r="F325">
            <v>47757.32</v>
          </cell>
          <cell r="G325">
            <v>0</v>
          </cell>
          <cell r="H325">
            <v>286544</v>
          </cell>
          <cell r="I325">
            <v>286544</v>
          </cell>
          <cell r="J325">
            <v>0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31.7</v>
          </cell>
          <cell r="F327">
            <v>0</v>
          </cell>
          <cell r="G327">
            <v>31.7</v>
          </cell>
          <cell r="H327">
            <v>59.73</v>
          </cell>
          <cell r="I327">
            <v>59.73</v>
          </cell>
          <cell r="J327">
            <v>0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188</v>
          </cell>
          <cell r="F333">
            <v>3333.34</v>
          </cell>
          <cell r="G333">
            <v>-3145.34</v>
          </cell>
          <cell r="H333">
            <v>20930.95</v>
          </cell>
          <cell r="I333">
            <v>20930.95</v>
          </cell>
          <cell r="J333">
            <v>0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5501.24</v>
          </cell>
          <cell r="F340">
            <v>5965</v>
          </cell>
          <cell r="G340">
            <v>-463.76</v>
          </cell>
          <cell r="H340">
            <v>37763.5</v>
          </cell>
          <cell r="I340">
            <v>37763.5</v>
          </cell>
          <cell r="J340">
            <v>0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-33946</v>
          </cell>
          <cell r="J342">
            <v>0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12820.64</v>
          </cell>
          <cell r="F346">
            <v>0</v>
          </cell>
          <cell r="G346">
            <v>12820.64</v>
          </cell>
          <cell r="H346">
            <v>1028.28</v>
          </cell>
          <cell r="I346">
            <v>1028.28</v>
          </cell>
          <cell r="J346">
            <v>0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5089.59</v>
          </cell>
          <cell r="I347">
            <v>5089.59</v>
          </cell>
          <cell r="J347">
            <v>0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206</v>
          </cell>
          <cell r="J349">
            <v>0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11580.61</v>
          </cell>
          <cell r="F351">
            <v>11580.66</v>
          </cell>
          <cell r="G351">
            <v>-4.9999999999272397E-2</v>
          </cell>
          <cell r="H351">
            <v>72269.3</v>
          </cell>
          <cell r="I351">
            <v>72269.3</v>
          </cell>
          <cell r="J351">
            <v>0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129.30000000000001</v>
          </cell>
          <cell r="F352">
            <v>0</v>
          </cell>
          <cell r="G352">
            <v>129.30000000000001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129.30000000000001</v>
          </cell>
          <cell r="F353">
            <v>0</v>
          </cell>
          <cell r="G353">
            <v>129.30000000000001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</v>
          </cell>
          <cell r="G363">
            <v>0</v>
          </cell>
          <cell r="H363">
            <v>54884</v>
          </cell>
          <cell r="I363">
            <v>54884</v>
          </cell>
          <cell r="J363">
            <v>0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262235</v>
          </cell>
          <cell r="G372">
            <v>-262235</v>
          </cell>
          <cell r="H372">
            <v>407051</v>
          </cell>
          <cell r="I372">
            <v>407051</v>
          </cell>
          <cell r="J372">
            <v>0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240.44</v>
          </cell>
          <cell r="G379">
            <v>-240.44</v>
          </cell>
          <cell r="H379">
            <v>2294.64</v>
          </cell>
          <cell r="I379">
            <v>2294.64</v>
          </cell>
          <cell r="J379">
            <v>0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106120.53</v>
          </cell>
          <cell r="G384">
            <v>-106120.53</v>
          </cell>
          <cell r="H384">
            <v>641254.89</v>
          </cell>
          <cell r="I384">
            <v>641254.89</v>
          </cell>
          <cell r="J384">
            <v>0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/>
          </cell>
        </row>
        <row r="387">
          <cell r="A387" t="str">
            <v>6232041010</v>
          </cell>
          <cell r="B387">
            <v>62320</v>
          </cell>
          <cell r="C387">
            <v>41010</v>
          </cell>
          <cell r="D387" t="str">
            <v>Parking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6232041040</v>
          </cell>
          <cell r="B388">
            <v>62320</v>
          </cell>
          <cell r="C388">
            <v>41040</v>
          </cell>
          <cell r="D388" t="str">
            <v>Rental Income FAS 13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</row>
        <row r="389">
          <cell r="A389" t="str">
            <v>6232041050</v>
          </cell>
          <cell r="B389">
            <v>62320</v>
          </cell>
          <cell r="C389">
            <v>41050</v>
          </cell>
          <cell r="D389" t="str">
            <v>Rental Income - Fixed</v>
          </cell>
          <cell r="E389">
            <v>-119894.57</v>
          </cell>
          <cell r="F389">
            <v>-132339.4</v>
          </cell>
          <cell r="G389">
            <v>12444.83</v>
          </cell>
          <cell r="H389">
            <v>-2673566.12</v>
          </cell>
          <cell r="I389">
            <v>-2673566.12</v>
          </cell>
          <cell r="J389">
            <v>0</v>
          </cell>
        </row>
        <row r="390">
          <cell r="A390" t="str">
            <v>6232041074</v>
          </cell>
          <cell r="B390">
            <v>62320</v>
          </cell>
          <cell r="C390">
            <v>41074</v>
          </cell>
          <cell r="D390" t="str">
            <v>Rental Income - Percentage</v>
          </cell>
          <cell r="E390">
            <v>-40195</v>
          </cell>
          <cell r="F390">
            <v>-18141</v>
          </cell>
          <cell r="G390">
            <v>-22054</v>
          </cell>
          <cell r="H390">
            <v>-155942</v>
          </cell>
          <cell r="I390">
            <v>-155942</v>
          </cell>
          <cell r="J390">
            <v>0</v>
          </cell>
        </row>
        <row r="391">
          <cell r="A391" t="str">
            <v>6232041082</v>
          </cell>
          <cell r="B391">
            <v>62320</v>
          </cell>
          <cell r="C391">
            <v>41082</v>
          </cell>
          <cell r="D391" t="str">
            <v>Rental Income - Operating Exp</v>
          </cell>
          <cell r="E391">
            <v>-53011.199999999997</v>
          </cell>
          <cell r="F391">
            <v>-73715.08</v>
          </cell>
          <cell r="G391">
            <v>20703.88</v>
          </cell>
          <cell r="H391">
            <v>-884580.96</v>
          </cell>
          <cell r="I391">
            <v>-884580.96</v>
          </cell>
          <cell r="J391">
            <v>0</v>
          </cell>
        </row>
        <row r="392">
          <cell r="A392" t="str">
            <v>6232044610</v>
          </cell>
          <cell r="B392">
            <v>62320</v>
          </cell>
          <cell r="C392">
            <v>44610</v>
          </cell>
          <cell r="D392" t="str">
            <v>Marketing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6232045071</v>
          </cell>
          <cell r="B393">
            <v>62320</v>
          </cell>
          <cell r="C393">
            <v>45071</v>
          </cell>
          <cell r="D393" t="str">
            <v>Termination Fee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6232045010</v>
          </cell>
          <cell r="B394">
            <v>62320</v>
          </cell>
          <cell r="C394">
            <v>45010</v>
          </cell>
          <cell r="D394" t="str">
            <v>Bad Debt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6232045046</v>
          </cell>
          <cell r="B395">
            <v>62320</v>
          </cell>
          <cell r="C395">
            <v>45046</v>
          </cell>
          <cell r="D395" t="str">
            <v>Mgmt/Consult Fee Income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6232045070</v>
          </cell>
          <cell r="B396">
            <v>62320</v>
          </cell>
          <cell r="C396">
            <v>45070</v>
          </cell>
          <cell r="D396" t="str">
            <v>Other Income</v>
          </cell>
          <cell r="E396">
            <v>-500</v>
          </cell>
          <cell r="F396">
            <v>0</v>
          </cell>
          <cell r="G396">
            <v>-500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6232041060</v>
          </cell>
          <cell r="B397">
            <v>62320</v>
          </cell>
          <cell r="C397">
            <v>41060</v>
          </cell>
          <cell r="D397" t="str">
            <v>Rental Income - Vacancy</v>
          </cell>
          <cell r="E397">
            <v>0</v>
          </cell>
          <cell r="F397">
            <v>6190.17</v>
          </cell>
          <cell r="G397">
            <v>-6190.17</v>
          </cell>
          <cell r="H397">
            <v>74282</v>
          </cell>
          <cell r="I397">
            <v>74282</v>
          </cell>
          <cell r="J397">
            <v>0</v>
          </cell>
        </row>
        <row r="398">
          <cell r="A398" t="str">
            <v>6232044870</v>
          </cell>
          <cell r="B398">
            <v>62320</v>
          </cell>
          <cell r="C398">
            <v>44870</v>
          </cell>
          <cell r="D398" t="str">
            <v>Late Fees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6232052542</v>
          </cell>
          <cell r="B399">
            <v>62320</v>
          </cell>
          <cell r="C399">
            <v>52542</v>
          </cell>
          <cell r="D399" t="str">
            <v>Cost of Tenant Services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</row>
        <row r="400">
          <cell r="A400" t="str">
            <v>6232072710</v>
          </cell>
          <cell r="B400">
            <v>62320</v>
          </cell>
          <cell r="C400">
            <v>72710</v>
          </cell>
          <cell r="D400" t="str">
            <v>Utilities - Electricity</v>
          </cell>
          <cell r="E400">
            <v>2356.15</v>
          </cell>
          <cell r="F400">
            <v>3025.07</v>
          </cell>
          <cell r="G400">
            <v>-668.92</v>
          </cell>
          <cell r="H400">
            <v>39613.370000000003</v>
          </cell>
          <cell r="I400">
            <v>39613.370000000003</v>
          </cell>
          <cell r="J400">
            <v>0</v>
          </cell>
        </row>
        <row r="401">
          <cell r="A401" t="str">
            <v>6232072740</v>
          </cell>
          <cell r="B401">
            <v>62320</v>
          </cell>
          <cell r="C401">
            <v>72740</v>
          </cell>
          <cell r="D401" t="str">
            <v>Utilities - Gas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</row>
        <row r="402">
          <cell r="A402" t="str">
            <v>6232072770</v>
          </cell>
          <cell r="B402">
            <v>62320</v>
          </cell>
          <cell r="C402">
            <v>72770</v>
          </cell>
          <cell r="D402" t="str">
            <v>Utilities - Water</v>
          </cell>
          <cell r="E402">
            <v>1287.54</v>
          </cell>
          <cell r="F402">
            <v>689.16</v>
          </cell>
          <cell r="G402">
            <v>598.38</v>
          </cell>
          <cell r="H402">
            <v>8984.7800000000007</v>
          </cell>
          <cell r="I402">
            <v>8984.7800000000007</v>
          </cell>
          <cell r="J402">
            <v>0</v>
          </cell>
        </row>
        <row r="403">
          <cell r="A403" t="str">
            <v>6232076000</v>
          </cell>
          <cell r="B403">
            <v>62320</v>
          </cell>
          <cell r="C403">
            <v>76000</v>
          </cell>
          <cell r="D403" t="str">
            <v>Bldg Maintenance &amp; Repair</v>
          </cell>
          <cell r="E403">
            <v>210.65</v>
          </cell>
          <cell r="F403">
            <v>1991.18</v>
          </cell>
          <cell r="G403">
            <v>-1780.53</v>
          </cell>
          <cell r="H403">
            <v>44528.47</v>
          </cell>
          <cell r="I403">
            <v>44528.47</v>
          </cell>
          <cell r="J403">
            <v>0</v>
          </cell>
        </row>
        <row r="404">
          <cell r="A404" t="str">
            <v>6232076020</v>
          </cell>
          <cell r="B404">
            <v>62320</v>
          </cell>
          <cell r="C404">
            <v>76020</v>
          </cell>
          <cell r="D404" t="str">
            <v>Food Court Expense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6232076034</v>
          </cell>
          <cell r="B405">
            <v>62320</v>
          </cell>
          <cell r="C405">
            <v>76034</v>
          </cell>
          <cell r="D405" t="str">
            <v>Bldg. - General Repair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</row>
        <row r="406">
          <cell r="A406" t="str">
            <v>6232076050</v>
          </cell>
          <cell r="B406">
            <v>62320</v>
          </cell>
          <cell r="C406">
            <v>76050</v>
          </cell>
          <cell r="D406" t="str">
            <v>Cleaning Expense</v>
          </cell>
          <cell r="E406">
            <v>6825.2</v>
          </cell>
          <cell r="F406">
            <v>7325.6</v>
          </cell>
          <cell r="G406">
            <v>-500.400000000001</v>
          </cell>
          <cell r="H406">
            <v>82104.429999999993</v>
          </cell>
          <cell r="I406">
            <v>82104.429999999993</v>
          </cell>
          <cell r="J406">
            <v>0</v>
          </cell>
        </row>
        <row r="407">
          <cell r="A407" t="str">
            <v>6232076056</v>
          </cell>
          <cell r="B407">
            <v>62320</v>
          </cell>
          <cell r="C407">
            <v>76056</v>
          </cell>
          <cell r="D407" t="str">
            <v>Maintenance - Reimb 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6232076070</v>
          </cell>
          <cell r="B408">
            <v>62320</v>
          </cell>
          <cell r="C408">
            <v>76070</v>
          </cell>
          <cell r="D408" t="str">
            <v>Reimaging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</row>
        <row r="409">
          <cell r="A409" t="str">
            <v>6232076091</v>
          </cell>
          <cell r="B409">
            <v>62320</v>
          </cell>
          <cell r="C409">
            <v>76091</v>
          </cell>
          <cell r="D409" t="str">
            <v>Parking Maintenance</v>
          </cell>
          <cell r="E409">
            <v>4590</v>
          </cell>
          <cell r="F409">
            <v>7568.14</v>
          </cell>
          <cell r="G409">
            <v>-2978.14</v>
          </cell>
          <cell r="H409">
            <v>72494.570000000007</v>
          </cell>
          <cell r="I409">
            <v>72494.570000000007</v>
          </cell>
          <cell r="J409">
            <v>0</v>
          </cell>
        </row>
        <row r="410">
          <cell r="A410" t="str">
            <v>6232077000</v>
          </cell>
          <cell r="B410">
            <v>62320</v>
          </cell>
          <cell r="C410">
            <v>77000</v>
          </cell>
          <cell r="D410" t="str">
            <v>Grounds Maintenance</v>
          </cell>
          <cell r="E410">
            <v>586.33000000000004</v>
          </cell>
          <cell r="F410">
            <v>9384.5300000000007</v>
          </cell>
          <cell r="G410">
            <v>-8798.2000000000007</v>
          </cell>
          <cell r="H410">
            <v>113278.88</v>
          </cell>
          <cell r="I410">
            <v>113278.88</v>
          </cell>
          <cell r="J410">
            <v>0</v>
          </cell>
        </row>
        <row r="411">
          <cell r="A411" t="str">
            <v>6232077053</v>
          </cell>
          <cell r="B411">
            <v>62320</v>
          </cell>
          <cell r="C411">
            <v>77053</v>
          </cell>
          <cell r="D411" t="str">
            <v>Landscaping</v>
          </cell>
          <cell r="E411">
            <v>4825</v>
          </cell>
          <cell r="F411">
            <v>17086.97</v>
          </cell>
          <cell r="G411">
            <v>-12261.97</v>
          </cell>
          <cell r="H411">
            <v>116121.65</v>
          </cell>
          <cell r="I411">
            <v>116121.65</v>
          </cell>
          <cell r="J411">
            <v>0</v>
          </cell>
        </row>
        <row r="412">
          <cell r="A412" t="str">
            <v>6232078020</v>
          </cell>
          <cell r="B412">
            <v>62320</v>
          </cell>
          <cell r="C412">
            <v>78020</v>
          </cell>
          <cell r="D412" t="str">
            <v>Amortized CAM Exp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6232084264</v>
          </cell>
          <cell r="B413">
            <v>62320</v>
          </cell>
          <cell r="C413">
            <v>84264</v>
          </cell>
          <cell r="D413" t="str">
            <v>Mktg-Tenant Relations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6232085555</v>
          </cell>
          <cell r="B414">
            <v>62320</v>
          </cell>
          <cell r="C414">
            <v>85555</v>
          </cell>
          <cell r="D414" t="str">
            <v>Management Fee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</row>
        <row r="415">
          <cell r="A415" t="str">
            <v>6232085584</v>
          </cell>
          <cell r="B415">
            <v>62320</v>
          </cell>
          <cell r="C415">
            <v>85584</v>
          </cell>
          <cell r="D415" t="str">
            <v>Bldg Admin-Office Costs</v>
          </cell>
          <cell r="E415">
            <v>779.13</v>
          </cell>
          <cell r="F415">
            <v>1199</v>
          </cell>
          <cell r="G415">
            <v>-419.87</v>
          </cell>
          <cell r="H415">
            <v>14388</v>
          </cell>
          <cell r="I415">
            <v>14388</v>
          </cell>
          <cell r="J415">
            <v>0</v>
          </cell>
        </row>
        <row r="416">
          <cell r="A416" t="str">
            <v>6232085582</v>
          </cell>
          <cell r="B416">
            <v>62320</v>
          </cell>
          <cell r="C416">
            <v>85582</v>
          </cell>
          <cell r="D416" t="str">
            <v>Bldg Admin-Salaries</v>
          </cell>
          <cell r="E416">
            <v>6956.69</v>
          </cell>
          <cell r="F416">
            <v>6939.42</v>
          </cell>
          <cell r="G416">
            <v>17.269999999999499</v>
          </cell>
          <cell r="H416">
            <v>88808.2</v>
          </cell>
          <cell r="I416">
            <v>88808.2</v>
          </cell>
          <cell r="J416">
            <v>0</v>
          </cell>
        </row>
        <row r="417">
          <cell r="A417" t="str">
            <v>6232086564</v>
          </cell>
          <cell r="B417">
            <v>62320</v>
          </cell>
          <cell r="C417">
            <v>86564</v>
          </cell>
          <cell r="D417" t="str">
            <v>Insurance</v>
          </cell>
          <cell r="E417">
            <v>4353</v>
          </cell>
          <cell r="F417">
            <v>4352.42</v>
          </cell>
          <cell r="G417">
            <v>0.57999999999992702</v>
          </cell>
          <cell r="H417">
            <v>52229</v>
          </cell>
          <cell r="I417">
            <v>52229</v>
          </cell>
          <cell r="J417">
            <v>0</v>
          </cell>
        </row>
        <row r="418">
          <cell r="A418" t="str">
            <v>6232088846</v>
          </cell>
          <cell r="B418">
            <v>62320</v>
          </cell>
          <cell r="C418">
            <v>88846</v>
          </cell>
          <cell r="D418" t="str">
            <v>Expenses -Other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</row>
        <row r="419">
          <cell r="A419" t="str">
            <v>6232088890</v>
          </cell>
          <cell r="B419">
            <v>62320</v>
          </cell>
          <cell r="C419">
            <v>88890</v>
          </cell>
          <cell r="D419" t="str">
            <v>Security/Safety</v>
          </cell>
          <cell r="E419">
            <v>6300</v>
          </cell>
          <cell r="F419">
            <v>8531.75</v>
          </cell>
          <cell r="G419">
            <v>-2231.75</v>
          </cell>
          <cell r="H419">
            <v>102381</v>
          </cell>
          <cell r="I419">
            <v>102381</v>
          </cell>
          <cell r="J419">
            <v>0</v>
          </cell>
        </row>
        <row r="420">
          <cell r="A420" t="str">
            <v>6232089775</v>
          </cell>
          <cell r="B420">
            <v>62320</v>
          </cell>
          <cell r="C420">
            <v>89775</v>
          </cell>
          <cell r="D420" t="str">
            <v>Assmt Dist Taxes- Reimb</v>
          </cell>
          <cell r="E420">
            <v>3854.42</v>
          </cell>
          <cell r="F420">
            <v>3854.42</v>
          </cell>
          <cell r="G420">
            <v>0</v>
          </cell>
          <cell r="H420">
            <v>46253</v>
          </cell>
          <cell r="I420">
            <v>46253</v>
          </cell>
          <cell r="J420">
            <v>0</v>
          </cell>
        </row>
        <row r="421">
          <cell r="A421" t="str">
            <v>6232089729</v>
          </cell>
          <cell r="B421">
            <v>62320</v>
          </cell>
          <cell r="C421">
            <v>89729</v>
          </cell>
          <cell r="D421" t="str">
            <v>Taxes - Miscellaneous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</row>
        <row r="422">
          <cell r="A422" t="str">
            <v>6232089786</v>
          </cell>
          <cell r="B422">
            <v>62320</v>
          </cell>
          <cell r="C422">
            <v>89786</v>
          </cell>
          <cell r="D422" t="str">
            <v>Property Tax Exp</v>
          </cell>
          <cell r="E422">
            <v>15995.92</v>
          </cell>
          <cell r="F422">
            <v>15995.92</v>
          </cell>
          <cell r="G422">
            <v>0</v>
          </cell>
          <cell r="H422">
            <v>191951</v>
          </cell>
          <cell r="I422">
            <v>191951</v>
          </cell>
          <cell r="J422">
            <v>0</v>
          </cell>
        </row>
        <row r="423">
          <cell r="A423" t="str">
            <v>6232071040</v>
          </cell>
          <cell r="B423">
            <v>62320</v>
          </cell>
          <cell r="C423">
            <v>71040</v>
          </cell>
          <cell r="D423" t="str">
            <v>Office Supplies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</row>
        <row r="424">
          <cell r="A424" t="str">
            <v>6232072701</v>
          </cell>
          <cell r="B424">
            <v>62320</v>
          </cell>
          <cell r="C424">
            <v>72701</v>
          </cell>
          <cell r="D424" t="str">
            <v>Utilities</v>
          </cell>
          <cell r="E424">
            <v>0</v>
          </cell>
          <cell r="F424">
            <v>0</v>
          </cell>
          <cell r="G424">
            <v>0</v>
          </cell>
          <cell r="H424">
            <v>424.36</v>
          </cell>
          <cell r="I424">
            <v>424.36</v>
          </cell>
          <cell r="J424">
            <v>0</v>
          </cell>
        </row>
        <row r="425">
          <cell r="A425" t="str">
            <v>6232072855</v>
          </cell>
          <cell r="B425">
            <v>62320</v>
          </cell>
          <cell r="C425">
            <v>72855</v>
          </cell>
          <cell r="D425" t="str">
            <v>Rent Expense-Ground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6232072870</v>
          </cell>
          <cell r="B426">
            <v>62320</v>
          </cell>
          <cell r="C426">
            <v>72870</v>
          </cell>
          <cell r="D426" t="str">
            <v>Office Rent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6232076010</v>
          </cell>
          <cell r="B427">
            <v>62320</v>
          </cell>
          <cell r="C427">
            <v>76010</v>
          </cell>
          <cell r="D427" t="str">
            <v>Tenant Alterations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6232076040</v>
          </cell>
          <cell r="B428">
            <v>62320</v>
          </cell>
          <cell r="C428">
            <v>76040</v>
          </cell>
          <cell r="D428" t="str">
            <v>HVAC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6232076051</v>
          </cell>
          <cell r="B429">
            <v>62320</v>
          </cell>
          <cell r="C429">
            <v>76051</v>
          </cell>
          <cell r="D429" t="str">
            <v>Cleaning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</row>
        <row r="430">
          <cell r="A430" t="str">
            <v>6232076054</v>
          </cell>
          <cell r="B430">
            <v>62320</v>
          </cell>
          <cell r="C430">
            <v>76054</v>
          </cell>
          <cell r="D430" t="str">
            <v>Bldg Maintenance &amp; Repair</v>
          </cell>
          <cell r="E430">
            <v>409.5</v>
          </cell>
          <cell r="F430">
            <v>0</v>
          </cell>
          <cell r="G430">
            <v>409.5</v>
          </cell>
          <cell r="H430">
            <v>777.79</v>
          </cell>
          <cell r="I430">
            <v>777.79</v>
          </cell>
          <cell r="J430">
            <v>0</v>
          </cell>
        </row>
        <row r="431">
          <cell r="A431" t="str">
            <v>6232076060</v>
          </cell>
          <cell r="B431">
            <v>62320</v>
          </cell>
          <cell r="C431">
            <v>76060</v>
          </cell>
          <cell r="D431" t="str">
            <v>Asbestos Abatement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6232076071</v>
          </cell>
          <cell r="B432">
            <v>62320</v>
          </cell>
          <cell r="C432">
            <v>76071</v>
          </cell>
          <cell r="D432" t="str">
            <v>Reimaging Maintenance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6232076090</v>
          </cell>
          <cell r="B433">
            <v>62320</v>
          </cell>
          <cell r="C433">
            <v>76090</v>
          </cell>
          <cell r="D433" t="str">
            <v>Parking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6232077001</v>
          </cell>
          <cell r="B434">
            <v>62320</v>
          </cell>
          <cell r="C434">
            <v>77001</v>
          </cell>
          <cell r="D434" t="str">
            <v>Grounds Maintenance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6232077022</v>
          </cell>
          <cell r="B435">
            <v>62320</v>
          </cell>
          <cell r="C435">
            <v>77022</v>
          </cell>
          <cell r="D435" t="str">
            <v>Landscaping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6232084200</v>
          </cell>
          <cell r="B436">
            <v>62320</v>
          </cell>
          <cell r="C436">
            <v>84200</v>
          </cell>
          <cell r="D436" t="str">
            <v>Marketing-Other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</row>
        <row r="437">
          <cell r="A437" t="str">
            <v>6232084240</v>
          </cell>
          <cell r="B437">
            <v>62320</v>
          </cell>
          <cell r="C437">
            <v>84240</v>
          </cell>
          <cell r="D437" t="str">
            <v>Marketing Leasing</v>
          </cell>
          <cell r="E437">
            <v>2373.5</v>
          </cell>
          <cell r="F437">
            <v>2635.67</v>
          </cell>
          <cell r="G437">
            <v>-262.17</v>
          </cell>
          <cell r="H437">
            <v>33321.699999999997</v>
          </cell>
          <cell r="I437">
            <v>33321.699999999997</v>
          </cell>
          <cell r="J437">
            <v>0</v>
          </cell>
        </row>
        <row r="438">
          <cell r="A438" t="str">
            <v>6232084242</v>
          </cell>
          <cell r="B438">
            <v>62320</v>
          </cell>
          <cell r="C438">
            <v>84242</v>
          </cell>
          <cell r="D438" t="str">
            <v>Marketing-Subsidy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6232084243</v>
          </cell>
          <cell r="B439">
            <v>62320</v>
          </cell>
          <cell r="C439">
            <v>84243</v>
          </cell>
          <cell r="D439" t="str">
            <v>Marketing Coordination</v>
          </cell>
          <cell r="E439">
            <v>0</v>
          </cell>
          <cell r="F439">
            <v>0</v>
          </cell>
          <cell r="G439">
            <v>0</v>
          </cell>
          <cell r="H439">
            <v>-27397</v>
          </cell>
          <cell r="I439">
            <v>-27397</v>
          </cell>
          <cell r="J439">
            <v>0</v>
          </cell>
        </row>
        <row r="440">
          <cell r="A440" t="str">
            <v>6232084244</v>
          </cell>
          <cell r="B440">
            <v>62320</v>
          </cell>
          <cell r="C440">
            <v>84244</v>
          </cell>
          <cell r="D440" t="str">
            <v>Marketing-Net Required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6232084265</v>
          </cell>
          <cell r="B441">
            <v>62320</v>
          </cell>
          <cell r="C441">
            <v>84265</v>
          </cell>
          <cell r="D441" t="str">
            <v>Marketing -TR-Non-Reimb.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6232088037</v>
          </cell>
          <cell r="B442">
            <v>62320</v>
          </cell>
          <cell r="C442">
            <v>88037</v>
          </cell>
          <cell r="D442" t="str">
            <v>Marketing - Leasing Office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</row>
        <row r="443">
          <cell r="A443" t="str">
            <v>6232085016</v>
          </cell>
          <cell r="B443">
            <v>62320</v>
          </cell>
          <cell r="C443">
            <v>85016</v>
          </cell>
          <cell r="D443" t="str">
            <v>Prof Svc-Attorney Outside</v>
          </cell>
          <cell r="E443">
            <v>0</v>
          </cell>
          <cell r="F443">
            <v>0</v>
          </cell>
          <cell r="G443">
            <v>0</v>
          </cell>
          <cell r="H443">
            <v>2626.24</v>
          </cell>
          <cell r="I443">
            <v>2626.24</v>
          </cell>
          <cell r="J443">
            <v>0</v>
          </cell>
        </row>
        <row r="444">
          <cell r="A444" t="str">
            <v>6232085022</v>
          </cell>
          <cell r="B444">
            <v>62320</v>
          </cell>
          <cell r="C444">
            <v>85022</v>
          </cell>
          <cell r="D444" t="str">
            <v>Prof Svc-Audit/Acctng</v>
          </cell>
          <cell r="E444">
            <v>0</v>
          </cell>
          <cell r="F444">
            <v>0</v>
          </cell>
          <cell r="G444">
            <v>0</v>
          </cell>
          <cell r="H444">
            <v>2572.27</v>
          </cell>
          <cell r="I444">
            <v>2572.27</v>
          </cell>
          <cell r="J444">
            <v>0</v>
          </cell>
        </row>
        <row r="445">
          <cell r="A445" t="str">
            <v>6232085065</v>
          </cell>
          <cell r="B445">
            <v>62320</v>
          </cell>
          <cell r="C445">
            <v>85065</v>
          </cell>
          <cell r="D445" t="str">
            <v>Professional Services Other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6232085500</v>
          </cell>
          <cell r="B446">
            <v>62320</v>
          </cell>
          <cell r="C446">
            <v>85500</v>
          </cell>
          <cell r="D446" t="str">
            <v>Consulting Services</v>
          </cell>
          <cell r="E446">
            <v>0</v>
          </cell>
          <cell r="F446">
            <v>0</v>
          </cell>
          <cell r="G446">
            <v>0</v>
          </cell>
          <cell r="H446">
            <v>7308.89</v>
          </cell>
          <cell r="I446">
            <v>7308.89</v>
          </cell>
          <cell r="J446">
            <v>0</v>
          </cell>
        </row>
        <row r="447">
          <cell r="A447" t="str">
            <v>6232085566</v>
          </cell>
          <cell r="B447">
            <v>62320</v>
          </cell>
          <cell r="C447">
            <v>85566</v>
          </cell>
          <cell r="D447" t="str">
            <v>Management Fee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</row>
        <row r="448">
          <cell r="A448" t="str">
            <v>6232085581</v>
          </cell>
          <cell r="B448">
            <v>62320</v>
          </cell>
          <cell r="C448">
            <v>85581</v>
          </cell>
          <cell r="D448" t="str">
            <v>Bldg Admin- Salaries</v>
          </cell>
          <cell r="E448">
            <v>5387.4</v>
          </cell>
          <cell r="F448">
            <v>5382.67</v>
          </cell>
          <cell r="G448">
            <v>4.7299999999995599</v>
          </cell>
          <cell r="H448">
            <v>67774.7</v>
          </cell>
          <cell r="I448">
            <v>67774.7</v>
          </cell>
          <cell r="J448">
            <v>0</v>
          </cell>
        </row>
        <row r="449">
          <cell r="A449" t="str">
            <v>6232085583</v>
          </cell>
          <cell r="B449">
            <v>62320</v>
          </cell>
          <cell r="C449">
            <v>85583</v>
          </cell>
          <cell r="D449" t="str">
            <v>Bldg Admin-Office Exp.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6232085530</v>
          </cell>
          <cell r="B450">
            <v>62320</v>
          </cell>
          <cell r="C450">
            <v>85530</v>
          </cell>
          <cell r="D450" t="str">
            <v>Bldg Admin - Office Exp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6232086012</v>
          </cell>
          <cell r="B451">
            <v>62320</v>
          </cell>
          <cell r="C451">
            <v>86012</v>
          </cell>
          <cell r="D451" t="str">
            <v>Regional Employee Parking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6232086037</v>
          </cell>
          <cell r="B452">
            <v>62320</v>
          </cell>
          <cell r="C452">
            <v>86037</v>
          </cell>
          <cell r="D452" t="str">
            <v>Travel &amp; Entertainment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6232083050</v>
          </cell>
          <cell r="B453">
            <v>62320</v>
          </cell>
          <cell r="C453">
            <v>83050</v>
          </cell>
          <cell r="D453" t="str">
            <v>Regional Employee Travel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6232086510</v>
          </cell>
          <cell r="B454">
            <v>62320</v>
          </cell>
          <cell r="C454">
            <v>86510</v>
          </cell>
          <cell r="D454" t="str">
            <v>Leasing Admin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6232086537</v>
          </cell>
          <cell r="B455">
            <v>62320</v>
          </cell>
          <cell r="C455">
            <v>86537</v>
          </cell>
          <cell r="D455" t="str">
            <v>Fees-Credit Reports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6232086566</v>
          </cell>
          <cell r="B456">
            <v>62320</v>
          </cell>
          <cell r="C456">
            <v>86566</v>
          </cell>
          <cell r="D456" t="str">
            <v>Insurance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6232086955</v>
          </cell>
          <cell r="B457">
            <v>62320</v>
          </cell>
          <cell r="C457">
            <v>86955</v>
          </cell>
          <cell r="D457" t="str">
            <v>Regional Temporary Labor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6232086985</v>
          </cell>
          <cell r="B458">
            <v>62320</v>
          </cell>
          <cell r="C458">
            <v>86985</v>
          </cell>
          <cell r="D458" t="str">
            <v>Purchased Svcs _ Other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6232086880</v>
          </cell>
          <cell r="B459">
            <v>62320</v>
          </cell>
          <cell r="C459">
            <v>86880</v>
          </cell>
          <cell r="D459" t="str">
            <v>Telephone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</row>
        <row r="460">
          <cell r="A460" t="str">
            <v>6232088710</v>
          </cell>
          <cell r="B460">
            <v>62320</v>
          </cell>
          <cell r="C460">
            <v>88710</v>
          </cell>
          <cell r="D460" t="str">
            <v>Losses-Bad Debts</v>
          </cell>
          <cell r="E460">
            <v>0</v>
          </cell>
          <cell r="F460">
            <v>0</v>
          </cell>
          <cell r="G460">
            <v>0</v>
          </cell>
          <cell r="H460">
            <v>74280</v>
          </cell>
          <cell r="I460">
            <v>74280</v>
          </cell>
          <cell r="J460">
            <v>0</v>
          </cell>
        </row>
        <row r="461">
          <cell r="A461" t="str">
            <v>6232088711</v>
          </cell>
          <cell r="B461">
            <v>62320</v>
          </cell>
          <cell r="C461">
            <v>88711</v>
          </cell>
          <cell r="D461" t="str">
            <v>Losses-Bad Debts- FASB 13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6232088785</v>
          </cell>
          <cell r="B462">
            <v>62320</v>
          </cell>
          <cell r="C462">
            <v>88785</v>
          </cell>
          <cell r="D462" t="str">
            <v>Losses-Uninsured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6232088847</v>
          </cell>
          <cell r="B463">
            <v>62320</v>
          </cell>
          <cell r="C463">
            <v>88847</v>
          </cell>
          <cell r="D463" t="str">
            <v>Expenses - Other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6232088866</v>
          </cell>
          <cell r="B464">
            <v>62320</v>
          </cell>
          <cell r="C464">
            <v>88866</v>
          </cell>
          <cell r="D464" t="str">
            <v>Legal Settlements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6232088870</v>
          </cell>
          <cell r="B465">
            <v>62320</v>
          </cell>
          <cell r="C465">
            <v>88870</v>
          </cell>
          <cell r="D465" t="str">
            <v>Backside Dist-O/S Partner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6232088889</v>
          </cell>
          <cell r="B466">
            <v>62320</v>
          </cell>
          <cell r="C466">
            <v>88889</v>
          </cell>
          <cell r="D466" t="str">
            <v>Security/Safety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6232089776</v>
          </cell>
          <cell r="B467">
            <v>62320</v>
          </cell>
          <cell r="C467">
            <v>89776</v>
          </cell>
          <cell r="D467" t="str">
            <v>Assmt Dist Taxes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6232089787</v>
          </cell>
          <cell r="B468">
            <v>62320</v>
          </cell>
          <cell r="C468">
            <v>89787</v>
          </cell>
          <cell r="D468" t="str">
            <v>Property Tax Exp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6232089510</v>
          </cell>
          <cell r="B469">
            <v>62320</v>
          </cell>
          <cell r="C469">
            <v>89510</v>
          </cell>
          <cell r="D469" t="str">
            <v>Interest Expense - General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6232089511</v>
          </cell>
          <cell r="B470">
            <v>62320</v>
          </cell>
          <cell r="C470">
            <v>89511</v>
          </cell>
          <cell r="D470" t="str">
            <v>Interest Expense - Swap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6232089512</v>
          </cell>
          <cell r="B471">
            <v>62320</v>
          </cell>
          <cell r="C471">
            <v>89512</v>
          </cell>
          <cell r="D471" t="str">
            <v>Interest Expense - Accrual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6232089528</v>
          </cell>
          <cell r="B472">
            <v>62320</v>
          </cell>
          <cell r="C472">
            <v>89528</v>
          </cell>
          <cell r="D472" t="str">
            <v>Interest Expense - Loan Fees-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6232089529</v>
          </cell>
          <cell r="B473">
            <v>62320</v>
          </cell>
          <cell r="C473">
            <v>89529</v>
          </cell>
          <cell r="D473" t="str">
            <v>Interest Expense - Loan Fee A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6232089567</v>
          </cell>
          <cell r="B474">
            <v>62320</v>
          </cell>
          <cell r="C474">
            <v>89567</v>
          </cell>
          <cell r="D474" t="str">
            <v>Interest Expense - TIC/Partne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6232085058</v>
          </cell>
          <cell r="B475">
            <v>62320</v>
          </cell>
          <cell r="C475">
            <v>85058</v>
          </cell>
          <cell r="D475" t="str">
            <v>Legal Fee Amort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6232086513</v>
          </cell>
          <cell r="B476">
            <v>62320</v>
          </cell>
          <cell r="C476">
            <v>86513</v>
          </cell>
          <cell r="D476" t="str">
            <v>Leasing Commission Amort</v>
          </cell>
          <cell r="E476">
            <v>0</v>
          </cell>
          <cell r="F476">
            <v>189.04</v>
          </cell>
          <cell r="G476">
            <v>-189.04</v>
          </cell>
          <cell r="H476">
            <v>15893.1</v>
          </cell>
          <cell r="I476">
            <v>15893.1</v>
          </cell>
          <cell r="J476">
            <v>0</v>
          </cell>
        </row>
        <row r="477">
          <cell r="A477" t="str">
            <v>6232086519</v>
          </cell>
          <cell r="B477">
            <v>62320</v>
          </cell>
          <cell r="C477">
            <v>86519</v>
          </cell>
          <cell r="D477" t="str">
            <v>Fees-Appraisal Amort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6232088770</v>
          </cell>
          <cell r="B478">
            <v>62320</v>
          </cell>
          <cell r="C478">
            <v>88770</v>
          </cell>
          <cell r="D478" t="str">
            <v>Losses-Prop Abandon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6232088862</v>
          </cell>
          <cell r="B479">
            <v>62320</v>
          </cell>
          <cell r="C479">
            <v>88862</v>
          </cell>
          <cell r="D479" t="str">
            <v>Lease Buy-Out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6232088874</v>
          </cell>
          <cell r="B480">
            <v>62320</v>
          </cell>
          <cell r="C480">
            <v>88874</v>
          </cell>
          <cell r="D480" t="str">
            <v>Organization Cost Amort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</row>
        <row r="481">
          <cell r="A481" t="str">
            <v>6232089910</v>
          </cell>
          <cell r="B481">
            <v>62320</v>
          </cell>
          <cell r="C481">
            <v>89910</v>
          </cell>
          <cell r="D481" t="str">
            <v>Depreciation</v>
          </cell>
          <cell r="E481">
            <v>0</v>
          </cell>
          <cell r="F481">
            <v>76560.490000000005</v>
          </cell>
          <cell r="G481">
            <v>-76560.490000000005</v>
          </cell>
          <cell r="H481">
            <v>969670.88</v>
          </cell>
          <cell r="I481">
            <v>969670.88</v>
          </cell>
          <cell r="J481">
            <v>0</v>
          </cell>
        </row>
        <row r="482">
          <cell r="A482" t="str">
            <v>6232089548</v>
          </cell>
          <cell r="B482">
            <v>62320</v>
          </cell>
          <cell r="C482">
            <v>89548</v>
          </cell>
          <cell r="D482" t="str">
            <v>Other Amortized Cost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6252641010</v>
          </cell>
          <cell r="B483">
            <v>62526</v>
          </cell>
          <cell r="C483">
            <v>41010</v>
          </cell>
          <cell r="D483" t="str">
            <v>Parking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6252641040</v>
          </cell>
          <cell r="B484">
            <v>62526</v>
          </cell>
          <cell r="C484">
            <v>41040</v>
          </cell>
          <cell r="D484" t="str">
            <v>Rental Income FAS 13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</row>
        <row r="485">
          <cell r="A485" t="str">
            <v>6252641050</v>
          </cell>
          <cell r="B485">
            <v>62526</v>
          </cell>
          <cell r="C485">
            <v>41050</v>
          </cell>
          <cell r="D485" t="str">
            <v>Rental Income - Fixed</v>
          </cell>
          <cell r="E485">
            <v>-390381.15</v>
          </cell>
          <cell r="F485">
            <v>-433727.56</v>
          </cell>
          <cell r="G485">
            <v>43346.41</v>
          </cell>
          <cell r="H485">
            <v>-1789624.49</v>
          </cell>
          <cell r="I485">
            <v>-1789624.49</v>
          </cell>
          <cell r="J485">
            <v>0</v>
          </cell>
        </row>
        <row r="486">
          <cell r="A486" t="str">
            <v>6252641074</v>
          </cell>
          <cell r="B486">
            <v>62526</v>
          </cell>
          <cell r="C486">
            <v>41074</v>
          </cell>
          <cell r="D486" t="str">
            <v>Rental Income - Percentage</v>
          </cell>
          <cell r="E486">
            <v>-1018.91</v>
          </cell>
          <cell r="F486">
            <v>0</v>
          </cell>
          <cell r="G486">
            <v>-1018.91</v>
          </cell>
          <cell r="H486">
            <v>0</v>
          </cell>
          <cell r="I486">
            <v>0</v>
          </cell>
          <cell r="J486">
            <v>0</v>
          </cell>
        </row>
        <row r="487">
          <cell r="A487" t="str">
            <v>6252641082</v>
          </cell>
          <cell r="B487">
            <v>62526</v>
          </cell>
          <cell r="C487">
            <v>41082</v>
          </cell>
          <cell r="D487" t="str">
            <v>Rental Income - Operating Exp</v>
          </cell>
          <cell r="E487">
            <v>-162848.31</v>
          </cell>
          <cell r="F487">
            <v>-166042.04999999999</v>
          </cell>
          <cell r="G487">
            <v>3193.7399999999898</v>
          </cell>
          <cell r="H487">
            <v>-664168.19999999995</v>
          </cell>
          <cell r="I487">
            <v>-664168.19999999995</v>
          </cell>
          <cell r="J487">
            <v>0</v>
          </cell>
        </row>
        <row r="488">
          <cell r="A488" t="str">
            <v>6252644610</v>
          </cell>
          <cell r="B488">
            <v>62526</v>
          </cell>
          <cell r="C488">
            <v>44610</v>
          </cell>
          <cell r="D488" t="str">
            <v>Marketing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6252645071</v>
          </cell>
          <cell r="B489">
            <v>62526</v>
          </cell>
          <cell r="C489">
            <v>45071</v>
          </cell>
          <cell r="D489" t="str">
            <v>Termination Fee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6252645010</v>
          </cell>
          <cell r="B490">
            <v>62526</v>
          </cell>
          <cell r="C490">
            <v>45010</v>
          </cell>
          <cell r="D490" t="str">
            <v>Bad Debt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6252645046</v>
          </cell>
          <cell r="B491">
            <v>62526</v>
          </cell>
          <cell r="C491">
            <v>45046</v>
          </cell>
          <cell r="D491" t="str">
            <v>Mgmt/Consult Fee Income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6252645070</v>
          </cell>
          <cell r="B492">
            <v>62526</v>
          </cell>
          <cell r="C492">
            <v>45070</v>
          </cell>
          <cell r="D492" t="str">
            <v>Other Income</v>
          </cell>
          <cell r="E492">
            <v>-1297.1300000000001</v>
          </cell>
          <cell r="F492">
            <v>0</v>
          </cell>
          <cell r="G492">
            <v>-1297.1300000000001</v>
          </cell>
          <cell r="H492">
            <v>-61.8</v>
          </cell>
          <cell r="I492">
            <v>-61.8</v>
          </cell>
          <cell r="J492">
            <v>0</v>
          </cell>
        </row>
        <row r="493">
          <cell r="A493" t="str">
            <v>6252641060</v>
          </cell>
          <cell r="B493">
            <v>62526</v>
          </cell>
          <cell r="C493">
            <v>41060</v>
          </cell>
          <cell r="D493" t="str">
            <v>Rental Income - Vacancy</v>
          </cell>
          <cell r="E493">
            <v>0</v>
          </cell>
          <cell r="F493">
            <v>9200.01</v>
          </cell>
          <cell r="G493">
            <v>-9200.01</v>
          </cell>
          <cell r="H493">
            <v>36800</v>
          </cell>
          <cell r="I493">
            <v>36800</v>
          </cell>
          <cell r="J493">
            <v>0</v>
          </cell>
        </row>
        <row r="494">
          <cell r="A494" t="str">
            <v>6252644870</v>
          </cell>
          <cell r="B494">
            <v>62526</v>
          </cell>
          <cell r="C494">
            <v>44870</v>
          </cell>
          <cell r="D494" t="str">
            <v>Late Fees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6252652542</v>
          </cell>
          <cell r="B495">
            <v>62526</v>
          </cell>
          <cell r="C495">
            <v>52542</v>
          </cell>
          <cell r="D495" t="str">
            <v>Cost of Tenant Services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</row>
        <row r="496">
          <cell r="A496" t="str">
            <v>6252672710</v>
          </cell>
          <cell r="B496">
            <v>62526</v>
          </cell>
          <cell r="C496">
            <v>72710</v>
          </cell>
          <cell r="D496" t="str">
            <v>Utilities - Electricity</v>
          </cell>
          <cell r="E496">
            <v>6259.83</v>
          </cell>
          <cell r="F496">
            <v>8132.41</v>
          </cell>
          <cell r="G496">
            <v>-1872.58</v>
          </cell>
          <cell r="H496">
            <v>36075.870000000003</v>
          </cell>
          <cell r="I496">
            <v>36075.870000000003</v>
          </cell>
          <cell r="J496">
            <v>0</v>
          </cell>
        </row>
        <row r="497">
          <cell r="A497" t="str">
            <v>6252672740</v>
          </cell>
          <cell r="B497">
            <v>62526</v>
          </cell>
          <cell r="C497">
            <v>72740</v>
          </cell>
          <cell r="D497" t="str">
            <v>Utilities - Gas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</row>
        <row r="498">
          <cell r="A498" t="str">
            <v>6252672770</v>
          </cell>
          <cell r="B498">
            <v>62526</v>
          </cell>
          <cell r="C498">
            <v>72770</v>
          </cell>
          <cell r="D498" t="str">
            <v>Utilities - Water</v>
          </cell>
          <cell r="E498">
            <v>3324.8</v>
          </cell>
          <cell r="F498">
            <v>2555.4499999999998</v>
          </cell>
          <cell r="G498">
            <v>769.35</v>
          </cell>
          <cell r="H498">
            <v>9892.92</v>
          </cell>
          <cell r="I498">
            <v>9892.92</v>
          </cell>
          <cell r="J498">
            <v>0</v>
          </cell>
        </row>
        <row r="499">
          <cell r="A499" t="str">
            <v>6252676000</v>
          </cell>
          <cell r="B499">
            <v>62526</v>
          </cell>
          <cell r="C499">
            <v>76000</v>
          </cell>
          <cell r="D499" t="str">
            <v>Bldg Maintenance &amp; Repair</v>
          </cell>
          <cell r="E499">
            <v>13066.33</v>
          </cell>
          <cell r="F499">
            <v>7204.23</v>
          </cell>
          <cell r="G499">
            <v>5862.1</v>
          </cell>
          <cell r="H499">
            <v>47192.08</v>
          </cell>
          <cell r="I499">
            <v>47192.08</v>
          </cell>
          <cell r="J499">
            <v>0</v>
          </cell>
        </row>
        <row r="500">
          <cell r="A500" t="str">
            <v>6252676020</v>
          </cell>
          <cell r="B500">
            <v>62526</v>
          </cell>
          <cell r="C500">
            <v>76020</v>
          </cell>
          <cell r="D500" t="str">
            <v>Food Court Expense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6252676034</v>
          </cell>
          <cell r="B501">
            <v>62526</v>
          </cell>
          <cell r="C501">
            <v>76034</v>
          </cell>
          <cell r="D501" t="str">
            <v>Bldg. - General Repair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</row>
        <row r="502">
          <cell r="A502" t="str">
            <v>6252676050</v>
          </cell>
          <cell r="B502">
            <v>62526</v>
          </cell>
          <cell r="C502">
            <v>76050</v>
          </cell>
          <cell r="D502" t="str">
            <v>Cleaning Expense</v>
          </cell>
          <cell r="E502">
            <v>20428.7</v>
          </cell>
          <cell r="F502">
            <v>17977.5</v>
          </cell>
          <cell r="G502">
            <v>2451.1999999999998</v>
          </cell>
          <cell r="H502">
            <v>73798.12</v>
          </cell>
          <cell r="I502">
            <v>73798.12</v>
          </cell>
          <cell r="J502">
            <v>0</v>
          </cell>
        </row>
        <row r="503">
          <cell r="A503" t="str">
            <v>6252676056</v>
          </cell>
          <cell r="B503">
            <v>62526</v>
          </cell>
          <cell r="C503">
            <v>76056</v>
          </cell>
          <cell r="D503" t="str">
            <v>Maintenance - Reimb 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6252676070</v>
          </cell>
          <cell r="B504">
            <v>62526</v>
          </cell>
          <cell r="C504">
            <v>76070</v>
          </cell>
          <cell r="D504" t="str">
            <v>Reimaging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</row>
        <row r="505">
          <cell r="A505" t="str">
            <v>6252676091</v>
          </cell>
          <cell r="B505">
            <v>62526</v>
          </cell>
          <cell r="C505">
            <v>76091</v>
          </cell>
          <cell r="D505" t="str">
            <v>Parking Maintenance</v>
          </cell>
          <cell r="E505">
            <v>15036.82</v>
          </cell>
          <cell r="F505">
            <v>45785.96</v>
          </cell>
          <cell r="G505">
            <v>-30749.14</v>
          </cell>
          <cell r="H505">
            <v>90407.29</v>
          </cell>
          <cell r="I505">
            <v>90407.29</v>
          </cell>
          <cell r="J505">
            <v>0</v>
          </cell>
        </row>
        <row r="506">
          <cell r="A506" t="str">
            <v>6252677000</v>
          </cell>
          <cell r="B506">
            <v>62526</v>
          </cell>
          <cell r="C506">
            <v>77000</v>
          </cell>
          <cell r="D506" t="str">
            <v>Grounds Maintenance</v>
          </cell>
          <cell r="E506">
            <v>15001.3</v>
          </cell>
          <cell r="F506">
            <v>21599.32</v>
          </cell>
          <cell r="G506">
            <v>-6598.02</v>
          </cell>
          <cell r="H506">
            <v>47531.49</v>
          </cell>
          <cell r="I506">
            <v>47531.49</v>
          </cell>
          <cell r="J506">
            <v>0</v>
          </cell>
        </row>
        <row r="507">
          <cell r="A507" t="str">
            <v>6252677053</v>
          </cell>
          <cell r="B507">
            <v>62526</v>
          </cell>
          <cell r="C507">
            <v>77053</v>
          </cell>
          <cell r="D507" t="str">
            <v>Landscaping</v>
          </cell>
          <cell r="E507">
            <v>9750</v>
          </cell>
          <cell r="F507">
            <v>19432.05</v>
          </cell>
          <cell r="G507">
            <v>-9682.0499999999993</v>
          </cell>
          <cell r="H507">
            <v>100977.44</v>
          </cell>
          <cell r="I507">
            <v>100977.44</v>
          </cell>
          <cell r="J507">
            <v>0</v>
          </cell>
        </row>
        <row r="508">
          <cell r="A508" t="str">
            <v>6252678020</v>
          </cell>
          <cell r="B508">
            <v>62526</v>
          </cell>
          <cell r="C508">
            <v>78020</v>
          </cell>
          <cell r="D508" t="str">
            <v>Amortized CAM Exp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6252684264</v>
          </cell>
          <cell r="B509">
            <v>62526</v>
          </cell>
          <cell r="C509">
            <v>84264</v>
          </cell>
          <cell r="D509" t="str">
            <v>Mktg-Tenant Relations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6252685555</v>
          </cell>
          <cell r="B510">
            <v>62526</v>
          </cell>
          <cell r="C510">
            <v>85555</v>
          </cell>
          <cell r="D510" t="str">
            <v>Management Fee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</row>
        <row r="511">
          <cell r="A511" t="str">
            <v>6252685584</v>
          </cell>
          <cell r="B511">
            <v>62526</v>
          </cell>
          <cell r="C511">
            <v>85584</v>
          </cell>
          <cell r="D511" t="str">
            <v>Bldg Admin-Office Costs</v>
          </cell>
          <cell r="E511">
            <v>1399.39</v>
          </cell>
          <cell r="F511">
            <v>1399.26</v>
          </cell>
          <cell r="G511">
            <v>0.130000000000109</v>
          </cell>
          <cell r="H511">
            <v>5597</v>
          </cell>
          <cell r="I511">
            <v>5597</v>
          </cell>
          <cell r="J511">
            <v>0</v>
          </cell>
        </row>
        <row r="512">
          <cell r="A512" t="str">
            <v>6252685582</v>
          </cell>
          <cell r="B512">
            <v>62526</v>
          </cell>
          <cell r="C512">
            <v>85582</v>
          </cell>
          <cell r="D512" t="str">
            <v>Bldg Admin-Salaries</v>
          </cell>
          <cell r="E512">
            <v>8098.56</v>
          </cell>
          <cell r="F512">
            <v>8098.5</v>
          </cell>
          <cell r="G512">
            <v>6.0000000000400198E-2</v>
          </cell>
          <cell r="H512">
            <v>34548</v>
          </cell>
          <cell r="I512">
            <v>34548</v>
          </cell>
          <cell r="J512">
            <v>0</v>
          </cell>
        </row>
        <row r="513">
          <cell r="A513" t="str">
            <v>6252686564</v>
          </cell>
          <cell r="B513">
            <v>62526</v>
          </cell>
          <cell r="C513">
            <v>86564</v>
          </cell>
          <cell r="D513" t="str">
            <v>Insurance</v>
          </cell>
          <cell r="E513">
            <v>5038</v>
          </cell>
          <cell r="F513">
            <v>5037.99</v>
          </cell>
          <cell r="G513">
            <v>1.00000000002183E-2</v>
          </cell>
          <cell r="H513">
            <v>20152</v>
          </cell>
          <cell r="I513">
            <v>20152</v>
          </cell>
          <cell r="J513">
            <v>0</v>
          </cell>
        </row>
        <row r="514">
          <cell r="A514" t="str">
            <v>6252688846</v>
          </cell>
          <cell r="B514">
            <v>62526</v>
          </cell>
          <cell r="C514">
            <v>88846</v>
          </cell>
          <cell r="D514" t="str">
            <v>Expenses -Other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</row>
        <row r="515">
          <cell r="A515" t="str">
            <v>6252688890</v>
          </cell>
          <cell r="B515">
            <v>62526</v>
          </cell>
          <cell r="C515">
            <v>88890</v>
          </cell>
          <cell r="D515" t="str">
            <v>Security/Safety</v>
          </cell>
          <cell r="E515">
            <v>1888</v>
          </cell>
          <cell r="F515">
            <v>2499.9899999999998</v>
          </cell>
          <cell r="G515">
            <v>-611.99</v>
          </cell>
          <cell r="H515">
            <v>10000</v>
          </cell>
          <cell r="I515">
            <v>10000</v>
          </cell>
          <cell r="J515">
            <v>0</v>
          </cell>
        </row>
        <row r="516">
          <cell r="A516" t="str">
            <v>6252689775</v>
          </cell>
          <cell r="B516">
            <v>62526</v>
          </cell>
          <cell r="C516">
            <v>89775</v>
          </cell>
          <cell r="D516" t="str">
            <v>Assmt Dist Taxes- Reimb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6252689729</v>
          </cell>
          <cell r="B517">
            <v>62526</v>
          </cell>
          <cell r="C517">
            <v>89729</v>
          </cell>
          <cell r="D517" t="str">
            <v>Taxes - Miscellaneous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</row>
        <row r="518">
          <cell r="A518" t="str">
            <v>6252689786</v>
          </cell>
          <cell r="B518">
            <v>62526</v>
          </cell>
          <cell r="C518">
            <v>89786</v>
          </cell>
          <cell r="D518" t="str">
            <v>Property Tax Exp</v>
          </cell>
          <cell r="E518">
            <v>30409.74</v>
          </cell>
          <cell r="F518">
            <v>30409.74</v>
          </cell>
          <cell r="G518">
            <v>0</v>
          </cell>
          <cell r="H518">
            <v>121639</v>
          </cell>
          <cell r="I518">
            <v>121639</v>
          </cell>
          <cell r="J518">
            <v>0</v>
          </cell>
        </row>
        <row r="519">
          <cell r="A519" t="str">
            <v>6252671040</v>
          </cell>
          <cell r="B519">
            <v>62526</v>
          </cell>
          <cell r="C519">
            <v>71040</v>
          </cell>
          <cell r="D519" t="str">
            <v>Office Supplies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6252672701</v>
          </cell>
          <cell r="B520">
            <v>62526</v>
          </cell>
          <cell r="C520">
            <v>72701</v>
          </cell>
          <cell r="D520" t="str">
            <v>Utilities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6252672855</v>
          </cell>
          <cell r="B521">
            <v>62526</v>
          </cell>
          <cell r="C521">
            <v>72855</v>
          </cell>
          <cell r="D521" t="str">
            <v>Rent Expense-Ground</v>
          </cell>
          <cell r="E521">
            <v>87500.01</v>
          </cell>
          <cell r="F521">
            <v>87500.01</v>
          </cell>
          <cell r="G521">
            <v>0</v>
          </cell>
          <cell r="H521">
            <v>350000</v>
          </cell>
          <cell r="I521">
            <v>350000</v>
          </cell>
          <cell r="J521">
            <v>0</v>
          </cell>
        </row>
        <row r="522">
          <cell r="A522" t="str">
            <v>6252672870</v>
          </cell>
          <cell r="B522">
            <v>62526</v>
          </cell>
          <cell r="C522">
            <v>72870</v>
          </cell>
          <cell r="D522" t="str">
            <v>Office Rent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6252676010</v>
          </cell>
          <cell r="B523">
            <v>62526</v>
          </cell>
          <cell r="C523">
            <v>76010</v>
          </cell>
          <cell r="D523" t="str">
            <v>Tenant Alterations</v>
          </cell>
          <cell r="E523">
            <v>40.64</v>
          </cell>
          <cell r="F523">
            <v>0</v>
          </cell>
          <cell r="G523">
            <v>40.64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6252676040</v>
          </cell>
          <cell r="B524">
            <v>62526</v>
          </cell>
          <cell r="C524">
            <v>76040</v>
          </cell>
          <cell r="D524" t="str">
            <v>HVAC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6252676051</v>
          </cell>
          <cell r="B525">
            <v>62526</v>
          </cell>
          <cell r="C525">
            <v>76051</v>
          </cell>
          <cell r="D525" t="str">
            <v>Cleaning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</row>
        <row r="526">
          <cell r="A526" t="str">
            <v>6252676054</v>
          </cell>
          <cell r="B526">
            <v>62526</v>
          </cell>
          <cell r="C526">
            <v>76054</v>
          </cell>
          <cell r="D526" t="str">
            <v>Bldg Maintenance &amp; Repair</v>
          </cell>
          <cell r="E526">
            <v>897</v>
          </cell>
          <cell r="F526">
            <v>0</v>
          </cell>
          <cell r="G526">
            <v>897</v>
          </cell>
          <cell r="H526">
            <v>541.86</v>
          </cell>
          <cell r="I526">
            <v>541.86</v>
          </cell>
          <cell r="J526">
            <v>0</v>
          </cell>
        </row>
        <row r="527">
          <cell r="A527" t="str">
            <v>6252676060</v>
          </cell>
          <cell r="B527">
            <v>62526</v>
          </cell>
          <cell r="C527">
            <v>76060</v>
          </cell>
          <cell r="D527" t="str">
            <v>Asbestos Abatement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6252676071</v>
          </cell>
          <cell r="B528">
            <v>62526</v>
          </cell>
          <cell r="C528">
            <v>76071</v>
          </cell>
          <cell r="D528" t="str">
            <v>Reimaging Maintenance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6252676090</v>
          </cell>
          <cell r="B529">
            <v>62526</v>
          </cell>
          <cell r="C529">
            <v>76090</v>
          </cell>
          <cell r="D529" t="str">
            <v>Parking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6252677001</v>
          </cell>
          <cell r="B530">
            <v>62526</v>
          </cell>
          <cell r="C530">
            <v>77001</v>
          </cell>
          <cell r="D530" t="str">
            <v>Grounds Maintenance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6252677022</v>
          </cell>
          <cell r="B531">
            <v>62526</v>
          </cell>
          <cell r="C531">
            <v>77022</v>
          </cell>
          <cell r="D531" t="str">
            <v>Landscaping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6252684200</v>
          </cell>
          <cell r="B532">
            <v>62526</v>
          </cell>
          <cell r="C532">
            <v>84200</v>
          </cell>
          <cell r="D532" t="str">
            <v>Marketing-Other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</row>
        <row r="533">
          <cell r="A533" t="str">
            <v>6252684240</v>
          </cell>
          <cell r="B533">
            <v>62526</v>
          </cell>
          <cell r="C533">
            <v>84240</v>
          </cell>
          <cell r="D533" t="str">
            <v>Marketing Leasing</v>
          </cell>
          <cell r="E533">
            <v>3543.36</v>
          </cell>
          <cell r="F533">
            <v>3858.24</v>
          </cell>
          <cell r="G533">
            <v>-314.88</v>
          </cell>
          <cell r="H533">
            <v>16280.3</v>
          </cell>
          <cell r="I533">
            <v>16280.3</v>
          </cell>
          <cell r="J533">
            <v>0</v>
          </cell>
        </row>
        <row r="534">
          <cell r="A534" t="str">
            <v>6252684242</v>
          </cell>
          <cell r="B534">
            <v>62526</v>
          </cell>
          <cell r="C534">
            <v>84242</v>
          </cell>
          <cell r="D534" t="str">
            <v>Marketing-Subsidy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6252684243</v>
          </cell>
          <cell r="B535">
            <v>62526</v>
          </cell>
          <cell r="C535">
            <v>84243</v>
          </cell>
          <cell r="D535" t="str">
            <v>Marketing Coordination</v>
          </cell>
          <cell r="E535">
            <v>0</v>
          </cell>
          <cell r="F535">
            <v>0</v>
          </cell>
          <cell r="G535">
            <v>0</v>
          </cell>
          <cell r="H535">
            <v>-12897</v>
          </cell>
          <cell r="I535">
            <v>-12897</v>
          </cell>
          <cell r="J535">
            <v>0</v>
          </cell>
        </row>
        <row r="536">
          <cell r="A536" t="str">
            <v>6252684244</v>
          </cell>
          <cell r="B536">
            <v>62526</v>
          </cell>
          <cell r="C536">
            <v>84244</v>
          </cell>
          <cell r="D536" t="str">
            <v>Marketing-Net Required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6252684265</v>
          </cell>
          <cell r="B537">
            <v>62526</v>
          </cell>
          <cell r="C537">
            <v>84265</v>
          </cell>
          <cell r="D537" t="str">
            <v>Marketing -TR-Non-Reimb.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6252688037</v>
          </cell>
          <cell r="B538">
            <v>62526</v>
          </cell>
          <cell r="C538">
            <v>88037</v>
          </cell>
          <cell r="D538" t="str">
            <v>Marketing - Leasing Office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</row>
        <row r="539">
          <cell r="A539" t="str">
            <v>6252685016</v>
          </cell>
          <cell r="B539">
            <v>62526</v>
          </cell>
          <cell r="C539">
            <v>85016</v>
          </cell>
          <cell r="D539" t="str">
            <v>Prof Svc-Attorney Outside</v>
          </cell>
          <cell r="E539">
            <v>344.5</v>
          </cell>
          <cell r="F539">
            <v>0</v>
          </cell>
          <cell r="G539">
            <v>344.5</v>
          </cell>
          <cell r="H539">
            <v>515</v>
          </cell>
          <cell r="I539">
            <v>515</v>
          </cell>
          <cell r="J539">
            <v>0</v>
          </cell>
        </row>
        <row r="540">
          <cell r="A540" t="str">
            <v>6252685022</v>
          </cell>
          <cell r="B540">
            <v>62526</v>
          </cell>
          <cell r="C540">
            <v>85022</v>
          </cell>
          <cell r="D540" t="str">
            <v>Prof Svc-Audit/Acctng</v>
          </cell>
          <cell r="E540">
            <v>0</v>
          </cell>
          <cell r="F540">
            <v>0</v>
          </cell>
          <cell r="G540">
            <v>0</v>
          </cell>
          <cell r="H540">
            <v>1943.97</v>
          </cell>
          <cell r="I540">
            <v>1943.97</v>
          </cell>
          <cell r="J540">
            <v>0</v>
          </cell>
        </row>
        <row r="541">
          <cell r="A541" t="str">
            <v>6252685065</v>
          </cell>
          <cell r="B541">
            <v>62526</v>
          </cell>
          <cell r="C541">
            <v>85065</v>
          </cell>
          <cell r="D541" t="str">
            <v>Professional Services Other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6252685500</v>
          </cell>
          <cell r="B542">
            <v>62526</v>
          </cell>
          <cell r="C542">
            <v>85500</v>
          </cell>
          <cell r="D542" t="str">
            <v>Consulting Services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6252685566</v>
          </cell>
          <cell r="B543">
            <v>62526</v>
          </cell>
          <cell r="C543">
            <v>85566</v>
          </cell>
          <cell r="D543" t="str">
            <v>Management Fee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</row>
        <row r="544">
          <cell r="A544" t="str">
            <v>6252685581</v>
          </cell>
          <cell r="B544">
            <v>62526</v>
          </cell>
          <cell r="C544">
            <v>85581</v>
          </cell>
          <cell r="D544" t="str">
            <v>Bldg Admin- Salaries</v>
          </cell>
          <cell r="E544">
            <v>8339.65</v>
          </cell>
          <cell r="F544">
            <v>8339.26</v>
          </cell>
          <cell r="G544">
            <v>0.38999999999941798</v>
          </cell>
          <cell r="H544">
            <v>34638.199999999997</v>
          </cell>
          <cell r="I544">
            <v>34638.199999999997</v>
          </cell>
          <cell r="J544">
            <v>0</v>
          </cell>
        </row>
        <row r="545">
          <cell r="A545" t="str">
            <v>6252685583</v>
          </cell>
          <cell r="B545">
            <v>62526</v>
          </cell>
          <cell r="C545">
            <v>85583</v>
          </cell>
          <cell r="D545" t="str">
            <v>Bldg Admin-Office Exp.</v>
          </cell>
          <cell r="E545">
            <v>64.650000000000006</v>
          </cell>
          <cell r="F545">
            <v>0</v>
          </cell>
          <cell r="G545">
            <v>64.650000000000006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6252685530</v>
          </cell>
          <cell r="B546">
            <v>62526</v>
          </cell>
          <cell r="C546">
            <v>85530</v>
          </cell>
          <cell r="D546" t="str">
            <v>Bldg Admin - Office Exp</v>
          </cell>
          <cell r="E546">
            <v>64.650000000000006</v>
          </cell>
          <cell r="F546">
            <v>0</v>
          </cell>
          <cell r="G546">
            <v>64.650000000000006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6252686012</v>
          </cell>
          <cell r="B547">
            <v>62526</v>
          </cell>
          <cell r="C547">
            <v>86012</v>
          </cell>
          <cell r="D547" t="str">
            <v>Regional Employee Parking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6252686037</v>
          </cell>
          <cell r="B548">
            <v>62526</v>
          </cell>
          <cell r="C548">
            <v>86037</v>
          </cell>
          <cell r="D548" t="str">
            <v>Travel &amp; Entertainment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6252683050</v>
          </cell>
          <cell r="B549">
            <v>62526</v>
          </cell>
          <cell r="C549">
            <v>83050</v>
          </cell>
          <cell r="D549" t="str">
            <v>Regional Employee Travel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6252686510</v>
          </cell>
          <cell r="B550">
            <v>62526</v>
          </cell>
          <cell r="C550">
            <v>86510</v>
          </cell>
          <cell r="D550" t="str">
            <v>Leasing Admin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6252686537</v>
          </cell>
          <cell r="B551">
            <v>62526</v>
          </cell>
          <cell r="C551">
            <v>86537</v>
          </cell>
          <cell r="D551" t="str">
            <v>Fees-Credit Reports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6252686566</v>
          </cell>
          <cell r="B552">
            <v>62526</v>
          </cell>
          <cell r="C552">
            <v>86566</v>
          </cell>
          <cell r="D552" t="str">
            <v>Insurance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6252686955</v>
          </cell>
          <cell r="B553">
            <v>62526</v>
          </cell>
          <cell r="C553">
            <v>86955</v>
          </cell>
          <cell r="D553" t="str">
            <v>Regional Temporary Labor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6252686985</v>
          </cell>
          <cell r="B554">
            <v>62526</v>
          </cell>
          <cell r="C554">
            <v>86985</v>
          </cell>
          <cell r="D554" t="str">
            <v>Purchased Svcs _ Other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6252686880</v>
          </cell>
          <cell r="B555">
            <v>62526</v>
          </cell>
          <cell r="C555">
            <v>86880</v>
          </cell>
          <cell r="D555" t="str">
            <v>Telephone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</row>
        <row r="556">
          <cell r="A556" t="str">
            <v>6252688710</v>
          </cell>
          <cell r="B556">
            <v>62526</v>
          </cell>
          <cell r="C556">
            <v>88710</v>
          </cell>
          <cell r="D556" t="str">
            <v>Losses-Bad Debts</v>
          </cell>
          <cell r="E556">
            <v>-11675.05</v>
          </cell>
          <cell r="F556">
            <v>9200.16</v>
          </cell>
          <cell r="G556">
            <v>-20875.21</v>
          </cell>
          <cell r="H556">
            <v>36800.639999999999</v>
          </cell>
          <cell r="I556">
            <v>36800.639999999999</v>
          </cell>
          <cell r="J556">
            <v>0</v>
          </cell>
        </row>
        <row r="557">
          <cell r="A557" t="str">
            <v>6252688711</v>
          </cell>
          <cell r="B557">
            <v>62526</v>
          </cell>
          <cell r="C557">
            <v>88711</v>
          </cell>
          <cell r="D557" t="str">
            <v>Losses-Bad Debts- FASB 13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6252688785</v>
          </cell>
          <cell r="B558">
            <v>62526</v>
          </cell>
          <cell r="C558">
            <v>88785</v>
          </cell>
          <cell r="D558" t="str">
            <v>Losses-Uninsured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6252688847</v>
          </cell>
          <cell r="B559">
            <v>62526</v>
          </cell>
          <cell r="C559">
            <v>88847</v>
          </cell>
          <cell r="D559" t="str">
            <v>Expenses - Other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6252688866</v>
          </cell>
          <cell r="B560">
            <v>62526</v>
          </cell>
          <cell r="C560">
            <v>88866</v>
          </cell>
          <cell r="D560" t="str">
            <v>Legal Settlements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6252688870</v>
          </cell>
          <cell r="B561">
            <v>62526</v>
          </cell>
          <cell r="C561">
            <v>88870</v>
          </cell>
          <cell r="D561" t="str">
            <v>Backside Dist-O/S Partner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6252688889</v>
          </cell>
          <cell r="B562">
            <v>62526</v>
          </cell>
          <cell r="C562">
            <v>88889</v>
          </cell>
          <cell r="D562" t="str">
            <v>Security/Safety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6252689776</v>
          </cell>
          <cell r="B563">
            <v>62526</v>
          </cell>
          <cell r="C563">
            <v>89776</v>
          </cell>
          <cell r="D563" t="str">
            <v>Assmt Dist Taxes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6252689787</v>
          </cell>
          <cell r="B564">
            <v>62526</v>
          </cell>
          <cell r="C564">
            <v>89787</v>
          </cell>
          <cell r="D564" t="str">
            <v>Property Tax Exp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6252689510</v>
          </cell>
          <cell r="B565">
            <v>62526</v>
          </cell>
          <cell r="C565">
            <v>89510</v>
          </cell>
          <cell r="D565" t="str">
            <v>Interest Expense - General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6252689511</v>
          </cell>
          <cell r="B566">
            <v>62526</v>
          </cell>
          <cell r="C566">
            <v>89511</v>
          </cell>
          <cell r="D566" t="str">
            <v>Interest Expense - Swap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6252689512</v>
          </cell>
          <cell r="B567">
            <v>62526</v>
          </cell>
          <cell r="C567">
            <v>89512</v>
          </cell>
          <cell r="D567" t="str">
            <v>Interest Expense - Accrual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6252689528</v>
          </cell>
          <cell r="B568">
            <v>62526</v>
          </cell>
          <cell r="C568">
            <v>89528</v>
          </cell>
          <cell r="D568" t="str">
            <v>Interest Expense - Loan Fees-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6252689529</v>
          </cell>
          <cell r="B569">
            <v>62526</v>
          </cell>
          <cell r="C569">
            <v>89529</v>
          </cell>
          <cell r="D569" t="str">
            <v>Interest Expense - Loan Fee A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6252689567</v>
          </cell>
          <cell r="B570">
            <v>62526</v>
          </cell>
          <cell r="C570">
            <v>89567</v>
          </cell>
          <cell r="D570" t="str">
            <v>Interest Expense - TIC/Partne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6252685058</v>
          </cell>
          <cell r="B571">
            <v>62526</v>
          </cell>
          <cell r="C571">
            <v>85058</v>
          </cell>
          <cell r="D571" t="str">
            <v>Legal Fee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6252686513</v>
          </cell>
          <cell r="B572">
            <v>62526</v>
          </cell>
          <cell r="C572">
            <v>86513</v>
          </cell>
          <cell r="D572" t="str">
            <v>Leasing Commission Amort</v>
          </cell>
          <cell r="E572">
            <v>0</v>
          </cell>
          <cell r="F572">
            <v>1292.04</v>
          </cell>
          <cell r="G572">
            <v>-1292.04</v>
          </cell>
          <cell r="H572">
            <v>5245.62</v>
          </cell>
          <cell r="I572">
            <v>5245.62</v>
          </cell>
          <cell r="J572">
            <v>0</v>
          </cell>
        </row>
        <row r="573">
          <cell r="A573" t="str">
            <v>6252686519</v>
          </cell>
          <cell r="B573">
            <v>62526</v>
          </cell>
          <cell r="C573">
            <v>86519</v>
          </cell>
          <cell r="D573" t="str">
            <v>Fees-Appraisal Amort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6252688770</v>
          </cell>
          <cell r="B574">
            <v>62526</v>
          </cell>
          <cell r="C574">
            <v>88770</v>
          </cell>
          <cell r="D574" t="str">
            <v>Losses-Prop Abandon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6252688862</v>
          </cell>
          <cell r="B575">
            <v>62526</v>
          </cell>
          <cell r="C575">
            <v>88862</v>
          </cell>
          <cell r="D575" t="str">
            <v>Lease Buy-Out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6252688874</v>
          </cell>
          <cell r="B576">
            <v>62526</v>
          </cell>
          <cell r="C576">
            <v>88874</v>
          </cell>
          <cell r="D576" t="str">
            <v>Organization Cost Amort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</row>
        <row r="577">
          <cell r="A577" t="str">
            <v>6252689910</v>
          </cell>
          <cell r="B577">
            <v>62526</v>
          </cell>
          <cell r="C577">
            <v>89910</v>
          </cell>
          <cell r="D577" t="str">
            <v>Depreciation</v>
          </cell>
          <cell r="E577">
            <v>0</v>
          </cell>
          <cell r="F577">
            <v>68676.679999999993</v>
          </cell>
          <cell r="G577">
            <v>-68676.679999999993</v>
          </cell>
          <cell r="H577">
            <v>274706.71000000002</v>
          </cell>
          <cell r="I577">
            <v>274706.71000000002</v>
          </cell>
          <cell r="J577">
            <v>0</v>
          </cell>
        </row>
        <row r="578">
          <cell r="B578">
            <v>62526</v>
          </cell>
          <cell r="C578">
            <v>89548</v>
          </cell>
          <cell r="D578" t="str">
            <v>Other Amortized Cost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C579">
            <v>89548</v>
          </cell>
          <cell r="D579" t="str">
            <v>Other Amortized Cost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rry Orchard"/>
      <sheetName val="Corona Del Mar"/>
      <sheetName val="Crytal Cove"/>
      <sheetName val="Harbor View"/>
      <sheetName val="Newport Coast"/>
      <sheetName val="Newport Hills"/>
      <sheetName val="variance"/>
      <sheetName val="Crossroads"/>
      <sheetName val="Harvard Auto Place"/>
      <sheetName val="Westpark"/>
      <sheetName val="Harvard Place"/>
      <sheetName val="Corona Del Mar-forecast"/>
      <sheetName val="budget"/>
      <sheetName val="forecast"/>
      <sheetName val="Harvard Place Auto Plaz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6252541010</v>
          </cell>
          <cell r="B2">
            <v>62525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6252541040</v>
          </cell>
          <cell r="B3">
            <v>62525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6252541050</v>
          </cell>
          <cell r="B4">
            <v>62525</v>
          </cell>
          <cell r="C4">
            <v>41050</v>
          </cell>
          <cell r="D4" t="str">
            <v>Rental Income - Fixed</v>
          </cell>
          <cell r="E4">
            <v>-446440.77</v>
          </cell>
          <cell r="F4">
            <v>-447135.57</v>
          </cell>
          <cell r="G4">
            <v>694.79999999998802</v>
          </cell>
          <cell r="H4">
            <v>-1786092.84</v>
          </cell>
          <cell r="I4">
            <v>-1786092.84</v>
          </cell>
          <cell r="J4">
            <v>0</v>
          </cell>
        </row>
        <row r="5">
          <cell r="A5" t="str">
            <v>6252541074</v>
          </cell>
          <cell r="B5">
            <v>62525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-54298</v>
          </cell>
          <cell r="I5">
            <v>-54298</v>
          </cell>
          <cell r="J5">
            <v>0</v>
          </cell>
        </row>
        <row r="6">
          <cell r="A6" t="str">
            <v>6252541082</v>
          </cell>
          <cell r="B6">
            <v>62525</v>
          </cell>
          <cell r="C6">
            <v>41082</v>
          </cell>
          <cell r="D6" t="str">
            <v>Rental Income - Operating Exp</v>
          </cell>
          <cell r="E6">
            <v>-117643.65</v>
          </cell>
          <cell r="F6">
            <v>-127774.71</v>
          </cell>
          <cell r="G6">
            <v>10131.06</v>
          </cell>
          <cell r="H6">
            <v>-511098.84</v>
          </cell>
          <cell r="I6">
            <v>-511098.84</v>
          </cell>
          <cell r="J6">
            <v>0</v>
          </cell>
        </row>
        <row r="7">
          <cell r="A7" t="str">
            <v>6252544610</v>
          </cell>
          <cell r="B7">
            <v>62525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6252545071</v>
          </cell>
          <cell r="B8">
            <v>62525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6252545010</v>
          </cell>
          <cell r="B9">
            <v>62525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6252545046</v>
          </cell>
          <cell r="B10">
            <v>62525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6252545070</v>
          </cell>
          <cell r="B11">
            <v>62525</v>
          </cell>
          <cell r="C11">
            <v>45070</v>
          </cell>
          <cell r="D11" t="str">
            <v>Other Income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6252541060</v>
          </cell>
          <cell r="B12">
            <v>62525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8817.99</v>
          </cell>
          <cell r="G12">
            <v>-8817.99</v>
          </cell>
          <cell r="H12">
            <v>35272</v>
          </cell>
          <cell r="I12">
            <v>35272</v>
          </cell>
          <cell r="J12">
            <v>0</v>
          </cell>
        </row>
        <row r="13">
          <cell r="A13" t="str">
            <v>6252544870</v>
          </cell>
          <cell r="B13">
            <v>62525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6252552542</v>
          </cell>
          <cell r="B14">
            <v>62525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6252572710</v>
          </cell>
          <cell r="B15">
            <v>62525</v>
          </cell>
          <cell r="C15">
            <v>72710</v>
          </cell>
          <cell r="D15" t="str">
            <v>Utilities - Electricity</v>
          </cell>
          <cell r="E15">
            <v>1231.76</v>
          </cell>
          <cell r="F15">
            <v>4558.26</v>
          </cell>
          <cell r="G15">
            <v>-3326.5</v>
          </cell>
          <cell r="H15">
            <v>18233</v>
          </cell>
          <cell r="I15">
            <v>18233</v>
          </cell>
          <cell r="J15">
            <v>0</v>
          </cell>
        </row>
        <row r="16">
          <cell r="A16" t="str">
            <v>6252572740</v>
          </cell>
          <cell r="B16">
            <v>62525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6252572770</v>
          </cell>
          <cell r="B17">
            <v>62525</v>
          </cell>
          <cell r="C17">
            <v>72770</v>
          </cell>
          <cell r="D17" t="str">
            <v>Utilities - Water</v>
          </cell>
          <cell r="E17">
            <v>2229.41</v>
          </cell>
          <cell r="F17">
            <v>2025.24</v>
          </cell>
          <cell r="G17">
            <v>204.17</v>
          </cell>
          <cell r="H17">
            <v>8101</v>
          </cell>
          <cell r="I17">
            <v>8101</v>
          </cell>
          <cell r="J17">
            <v>0</v>
          </cell>
        </row>
        <row r="18">
          <cell r="A18" t="str">
            <v>6252576000</v>
          </cell>
          <cell r="B18">
            <v>62525</v>
          </cell>
          <cell r="C18">
            <v>76000</v>
          </cell>
          <cell r="D18" t="str">
            <v>Bldg Maintenance &amp; Repair</v>
          </cell>
          <cell r="E18">
            <v>1149.93</v>
          </cell>
          <cell r="F18">
            <v>6024.86</v>
          </cell>
          <cell r="G18">
            <v>-4874.93</v>
          </cell>
          <cell r="H18">
            <v>14653.71</v>
          </cell>
          <cell r="I18">
            <v>14653.71</v>
          </cell>
          <cell r="J18">
            <v>0</v>
          </cell>
        </row>
        <row r="19">
          <cell r="A19" t="str">
            <v>6252576020</v>
          </cell>
          <cell r="B19">
            <v>62525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6252576034</v>
          </cell>
          <cell r="B20">
            <v>62525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6252576050</v>
          </cell>
          <cell r="B21">
            <v>62525</v>
          </cell>
          <cell r="C21">
            <v>76050</v>
          </cell>
          <cell r="D21" t="str">
            <v>Cleaning Expense</v>
          </cell>
          <cell r="E21">
            <v>3723.61</v>
          </cell>
          <cell r="F21">
            <v>5889.99</v>
          </cell>
          <cell r="G21">
            <v>-2166.38</v>
          </cell>
          <cell r="H21">
            <v>23560</v>
          </cell>
          <cell r="I21">
            <v>23560</v>
          </cell>
          <cell r="J21">
            <v>0</v>
          </cell>
        </row>
        <row r="22">
          <cell r="A22" t="str">
            <v>6252576056</v>
          </cell>
          <cell r="B22">
            <v>62525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6252576070</v>
          </cell>
          <cell r="B23">
            <v>62525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6252576091</v>
          </cell>
          <cell r="B24">
            <v>62525</v>
          </cell>
          <cell r="C24">
            <v>76091</v>
          </cell>
          <cell r="D24" t="str">
            <v>Parking Maintenance</v>
          </cell>
          <cell r="E24">
            <v>9366.9599999999991</v>
          </cell>
          <cell r="F24">
            <v>9318.4500000000007</v>
          </cell>
          <cell r="G24">
            <v>48.509999999998399</v>
          </cell>
          <cell r="H24">
            <v>28678.45</v>
          </cell>
          <cell r="I24">
            <v>28678.45</v>
          </cell>
          <cell r="J24">
            <v>0</v>
          </cell>
        </row>
        <row r="25">
          <cell r="A25" t="str">
            <v>6252577000</v>
          </cell>
          <cell r="B25">
            <v>62525</v>
          </cell>
          <cell r="C25">
            <v>77000</v>
          </cell>
          <cell r="D25" t="str">
            <v>Grounds Maintenance</v>
          </cell>
          <cell r="E25">
            <v>7726.67</v>
          </cell>
          <cell r="F25">
            <v>6040.21</v>
          </cell>
          <cell r="G25">
            <v>1686.46</v>
          </cell>
          <cell r="H25">
            <v>23421.98</v>
          </cell>
          <cell r="I25">
            <v>23421.98</v>
          </cell>
          <cell r="J25">
            <v>0</v>
          </cell>
        </row>
        <row r="26">
          <cell r="A26" t="str">
            <v>6252577053</v>
          </cell>
          <cell r="B26">
            <v>62525</v>
          </cell>
          <cell r="C26">
            <v>77053</v>
          </cell>
          <cell r="D26" t="str">
            <v>Landscaping</v>
          </cell>
          <cell r="E26">
            <v>5980</v>
          </cell>
          <cell r="F26">
            <v>5925.06</v>
          </cell>
          <cell r="G26">
            <v>54.9399999999996</v>
          </cell>
          <cell r="H26">
            <v>43493.82</v>
          </cell>
          <cell r="I26">
            <v>43493.82</v>
          </cell>
          <cell r="J26">
            <v>0</v>
          </cell>
        </row>
        <row r="27">
          <cell r="A27" t="str">
            <v>6252578020</v>
          </cell>
          <cell r="B27">
            <v>62525</v>
          </cell>
          <cell r="C27">
            <v>78020</v>
          </cell>
          <cell r="D27" t="str">
            <v>Amortized CAM Exp</v>
          </cell>
          <cell r="E27">
            <v>2500</v>
          </cell>
          <cell r="F27">
            <v>2499.9899999999998</v>
          </cell>
          <cell r="G27">
            <v>1.00000000002183E-2</v>
          </cell>
          <cell r="H27">
            <v>10000</v>
          </cell>
          <cell r="I27">
            <v>10000</v>
          </cell>
          <cell r="J27">
            <v>0</v>
          </cell>
        </row>
        <row r="28">
          <cell r="A28" t="str">
            <v>6252584264</v>
          </cell>
          <cell r="B28">
            <v>62525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6252585555</v>
          </cell>
          <cell r="B29">
            <v>62525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6252585584</v>
          </cell>
          <cell r="B30">
            <v>62525</v>
          </cell>
          <cell r="C30">
            <v>85584</v>
          </cell>
          <cell r="D30" t="str">
            <v>Bldg Admin-Office Costs</v>
          </cell>
          <cell r="E30">
            <v>1665.22</v>
          </cell>
          <cell r="F30">
            <v>1664.76</v>
          </cell>
          <cell r="G30">
            <v>0.46000000000003599</v>
          </cell>
          <cell r="H30">
            <v>7909</v>
          </cell>
          <cell r="I30">
            <v>7909</v>
          </cell>
          <cell r="J30">
            <v>0</v>
          </cell>
        </row>
        <row r="31">
          <cell r="A31" t="str">
            <v>6252585582</v>
          </cell>
          <cell r="B31">
            <v>62525</v>
          </cell>
          <cell r="C31">
            <v>85582</v>
          </cell>
          <cell r="D31" t="str">
            <v>Bldg Admin-Salaries</v>
          </cell>
          <cell r="E31">
            <v>13239</v>
          </cell>
          <cell r="F31">
            <v>13239</v>
          </cell>
          <cell r="G31">
            <v>0</v>
          </cell>
          <cell r="H31">
            <v>53599</v>
          </cell>
          <cell r="I31">
            <v>53599</v>
          </cell>
          <cell r="J31">
            <v>0</v>
          </cell>
        </row>
        <row r="32">
          <cell r="A32" t="str">
            <v>6252586564</v>
          </cell>
          <cell r="B32">
            <v>62525</v>
          </cell>
          <cell r="C32">
            <v>86564</v>
          </cell>
          <cell r="D32" t="str">
            <v>Insurance</v>
          </cell>
          <cell r="E32">
            <v>6282</v>
          </cell>
          <cell r="F32">
            <v>6282</v>
          </cell>
          <cell r="G32">
            <v>0</v>
          </cell>
          <cell r="H32">
            <v>25133</v>
          </cell>
          <cell r="I32">
            <v>25133</v>
          </cell>
          <cell r="J32">
            <v>0</v>
          </cell>
        </row>
        <row r="33">
          <cell r="A33" t="str">
            <v>6252588846</v>
          </cell>
          <cell r="B33">
            <v>62525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6252588890</v>
          </cell>
          <cell r="B34">
            <v>62525</v>
          </cell>
          <cell r="C34">
            <v>88890</v>
          </cell>
          <cell r="D34" t="str">
            <v>Security/Safety</v>
          </cell>
          <cell r="E34">
            <v>6103</v>
          </cell>
          <cell r="F34">
            <v>10102.31</v>
          </cell>
          <cell r="G34">
            <v>-3999.31</v>
          </cell>
          <cell r="H34">
            <v>28048.94</v>
          </cell>
          <cell r="I34">
            <v>28048.94</v>
          </cell>
          <cell r="J34">
            <v>0</v>
          </cell>
        </row>
        <row r="35">
          <cell r="A35" t="str">
            <v>6252589775</v>
          </cell>
          <cell r="B35">
            <v>62525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6252589729</v>
          </cell>
          <cell r="B36">
            <v>62525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6252589786</v>
          </cell>
          <cell r="B37">
            <v>62525</v>
          </cell>
          <cell r="C37">
            <v>89786</v>
          </cell>
          <cell r="D37" t="str">
            <v>Property Tax Exp</v>
          </cell>
          <cell r="E37">
            <v>53694</v>
          </cell>
          <cell r="F37">
            <v>53694</v>
          </cell>
          <cell r="G37">
            <v>0</v>
          </cell>
          <cell r="H37">
            <v>214776</v>
          </cell>
          <cell r="I37">
            <v>214776</v>
          </cell>
          <cell r="J37">
            <v>0</v>
          </cell>
        </row>
        <row r="38">
          <cell r="A38" t="str">
            <v>6252571040</v>
          </cell>
          <cell r="B38">
            <v>62525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6252572701</v>
          </cell>
          <cell r="B39">
            <v>62525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6252572855</v>
          </cell>
          <cell r="B40">
            <v>62525</v>
          </cell>
          <cell r="C40">
            <v>72855</v>
          </cell>
          <cell r="D40" t="str">
            <v>Rent Expense-Ground</v>
          </cell>
          <cell r="E40">
            <v>145654.79999999999</v>
          </cell>
          <cell r="F40">
            <v>148539.06</v>
          </cell>
          <cell r="G40">
            <v>-2884.2600000000102</v>
          </cell>
          <cell r="H40">
            <v>602345.01</v>
          </cell>
          <cell r="I40">
            <v>602345.01</v>
          </cell>
          <cell r="J40">
            <v>0</v>
          </cell>
        </row>
        <row r="41">
          <cell r="A41" t="str">
            <v>6252572870</v>
          </cell>
          <cell r="B41">
            <v>62525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6252576010</v>
          </cell>
          <cell r="B42">
            <v>62525</v>
          </cell>
          <cell r="C42">
            <v>76010</v>
          </cell>
          <cell r="D42" t="str">
            <v>Tenant Alterations</v>
          </cell>
          <cell r="E42">
            <v>20.82</v>
          </cell>
          <cell r="F42">
            <v>0</v>
          </cell>
          <cell r="G42">
            <v>20.82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6252576040</v>
          </cell>
          <cell r="B43">
            <v>62525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6252576051</v>
          </cell>
          <cell r="B44">
            <v>62525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6252576054</v>
          </cell>
          <cell r="B45">
            <v>62525</v>
          </cell>
          <cell r="C45">
            <v>76054</v>
          </cell>
          <cell r="D45" t="str">
            <v>Bldg Maintenance &amp; Repair</v>
          </cell>
          <cell r="E45">
            <v>6</v>
          </cell>
          <cell r="F45">
            <v>0</v>
          </cell>
          <cell r="G45">
            <v>6</v>
          </cell>
          <cell r="H45">
            <v>0</v>
          </cell>
          <cell r="I45">
            <v>0</v>
          </cell>
          <cell r="J45">
            <v>0</v>
          </cell>
        </row>
        <row r="46">
          <cell r="A46" t="str">
            <v>6252576060</v>
          </cell>
          <cell r="B46">
            <v>62525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6252576071</v>
          </cell>
          <cell r="B47">
            <v>62525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6252576090</v>
          </cell>
          <cell r="B48">
            <v>62525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6252577001</v>
          </cell>
          <cell r="B49">
            <v>62525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6252577022</v>
          </cell>
          <cell r="B50">
            <v>62525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6252584200</v>
          </cell>
          <cell r="B51">
            <v>62525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6252584240</v>
          </cell>
          <cell r="B52">
            <v>62525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397.26</v>
          </cell>
          <cell r="G52">
            <v>-397.26</v>
          </cell>
          <cell r="H52">
            <v>1589</v>
          </cell>
          <cell r="I52">
            <v>1589</v>
          </cell>
          <cell r="J52">
            <v>0</v>
          </cell>
        </row>
        <row r="53">
          <cell r="A53" t="str">
            <v>6252584242</v>
          </cell>
          <cell r="B53">
            <v>62525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6252584243</v>
          </cell>
          <cell r="B54">
            <v>62525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6252584244</v>
          </cell>
          <cell r="B55">
            <v>62525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6252584265</v>
          </cell>
          <cell r="B56">
            <v>62525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6252588037</v>
          </cell>
          <cell r="B57">
            <v>62525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6252585016</v>
          </cell>
          <cell r="B58">
            <v>62525</v>
          </cell>
          <cell r="C58">
            <v>85016</v>
          </cell>
          <cell r="D58" t="str">
            <v>Prof Svc-Attorney Outside</v>
          </cell>
          <cell r="E58">
            <v>1701</v>
          </cell>
          <cell r="F58">
            <v>0</v>
          </cell>
          <cell r="G58">
            <v>1701</v>
          </cell>
          <cell r="H58">
            <v>0</v>
          </cell>
          <cell r="I58">
            <v>0</v>
          </cell>
          <cell r="J58">
            <v>0</v>
          </cell>
        </row>
        <row r="59">
          <cell r="A59" t="str">
            <v>6252585022</v>
          </cell>
          <cell r="B59">
            <v>62525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1350.69</v>
          </cell>
          <cell r="I59">
            <v>1350.69</v>
          </cell>
          <cell r="J59">
            <v>0</v>
          </cell>
        </row>
        <row r="60">
          <cell r="A60" t="str">
            <v>6252585065</v>
          </cell>
          <cell r="B60">
            <v>62525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6252585500</v>
          </cell>
          <cell r="B61">
            <v>62525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6252585566</v>
          </cell>
          <cell r="B62">
            <v>62525</v>
          </cell>
          <cell r="C62">
            <v>85566</v>
          </cell>
          <cell r="D62" t="str">
            <v>Management Fee</v>
          </cell>
          <cell r="E62">
            <v>10200</v>
          </cell>
          <cell r="F62">
            <v>0</v>
          </cell>
          <cell r="G62">
            <v>10200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6252585581</v>
          </cell>
          <cell r="B63">
            <v>62525</v>
          </cell>
          <cell r="C63">
            <v>85581</v>
          </cell>
          <cell r="D63" t="str">
            <v>Bldg Admin- Salaries</v>
          </cell>
          <cell r="E63">
            <v>7084</v>
          </cell>
          <cell r="F63">
            <v>7083.99</v>
          </cell>
          <cell r="G63">
            <v>1.00000000002183E-2</v>
          </cell>
          <cell r="H63">
            <v>29064.97</v>
          </cell>
          <cell r="I63">
            <v>29064.97</v>
          </cell>
          <cell r="J63">
            <v>0</v>
          </cell>
        </row>
        <row r="64">
          <cell r="A64" t="str">
            <v>6252585583</v>
          </cell>
          <cell r="B64">
            <v>62525</v>
          </cell>
          <cell r="C64">
            <v>85583</v>
          </cell>
          <cell r="D64" t="str">
            <v>Bldg Admin-Office Exp.</v>
          </cell>
          <cell r="E64">
            <v>55.42</v>
          </cell>
          <cell r="F64">
            <v>0</v>
          </cell>
          <cell r="G64">
            <v>55.42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6252585530</v>
          </cell>
          <cell r="B65">
            <v>62525</v>
          </cell>
          <cell r="C65">
            <v>85530</v>
          </cell>
          <cell r="D65" t="str">
            <v>Bldg Admin - Office Exp</v>
          </cell>
          <cell r="E65">
            <v>55.42</v>
          </cell>
          <cell r="F65">
            <v>0</v>
          </cell>
          <cell r="G65">
            <v>55.42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6252586012</v>
          </cell>
          <cell r="B66">
            <v>62525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6252586037</v>
          </cell>
          <cell r="B67">
            <v>62525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6252583050</v>
          </cell>
          <cell r="B68">
            <v>62525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6252586510</v>
          </cell>
          <cell r="B69">
            <v>62525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6252586537</v>
          </cell>
          <cell r="B70">
            <v>62525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6252586566</v>
          </cell>
          <cell r="B71">
            <v>62525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6252586955</v>
          </cell>
          <cell r="B72">
            <v>62525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6252586985</v>
          </cell>
          <cell r="B73">
            <v>62525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6252586880</v>
          </cell>
          <cell r="B74">
            <v>62525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6252588710</v>
          </cell>
          <cell r="B75">
            <v>62525</v>
          </cell>
          <cell r="C75">
            <v>88710</v>
          </cell>
          <cell r="D75" t="str">
            <v>Losses-Bad Debts</v>
          </cell>
          <cell r="E75">
            <v>7927.2</v>
          </cell>
          <cell r="F75">
            <v>8818</v>
          </cell>
          <cell r="G75">
            <v>-890.8</v>
          </cell>
          <cell r="H75">
            <v>35272</v>
          </cell>
          <cell r="I75">
            <v>35272</v>
          </cell>
          <cell r="J75">
            <v>0</v>
          </cell>
        </row>
        <row r="76">
          <cell r="A76" t="str">
            <v>6252588711</v>
          </cell>
          <cell r="B76">
            <v>62525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6252588785</v>
          </cell>
          <cell r="B77">
            <v>62525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6252588847</v>
          </cell>
          <cell r="B78">
            <v>62525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6252588866</v>
          </cell>
          <cell r="B79">
            <v>62525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6252588870</v>
          </cell>
          <cell r="B80">
            <v>62525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6252588889</v>
          </cell>
          <cell r="B81">
            <v>62525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6252589776</v>
          </cell>
          <cell r="B82">
            <v>62525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6252589787</v>
          </cell>
          <cell r="B83">
            <v>62525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6252589510</v>
          </cell>
          <cell r="B84">
            <v>62525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6252589511</v>
          </cell>
          <cell r="B85">
            <v>62525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6252589512</v>
          </cell>
          <cell r="B86">
            <v>62525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6252589528</v>
          </cell>
          <cell r="B87">
            <v>62525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6252589529</v>
          </cell>
          <cell r="B88">
            <v>62525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6252589567</v>
          </cell>
          <cell r="B89">
            <v>62525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6252585058</v>
          </cell>
          <cell r="B90">
            <v>62525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6252586513</v>
          </cell>
          <cell r="B91">
            <v>62525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6252586519</v>
          </cell>
          <cell r="B92">
            <v>62525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6252588770</v>
          </cell>
          <cell r="B93">
            <v>62525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6252588862</v>
          </cell>
          <cell r="B94">
            <v>62525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6252588874</v>
          </cell>
          <cell r="B95">
            <v>62525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6252589910</v>
          </cell>
          <cell r="B96">
            <v>62525</v>
          </cell>
          <cell r="C96">
            <v>89910</v>
          </cell>
          <cell r="D96" t="str">
            <v>Depreciation</v>
          </cell>
          <cell r="E96">
            <v>0</v>
          </cell>
          <cell r="F96">
            <v>91869.21</v>
          </cell>
          <cell r="G96">
            <v>-91869.21</v>
          </cell>
          <cell r="H96">
            <v>367476.87</v>
          </cell>
          <cell r="I96">
            <v>367476.87</v>
          </cell>
          <cell r="J96">
            <v>0</v>
          </cell>
        </row>
        <row r="97">
          <cell r="A97" t="str">
            <v>6252589548</v>
          </cell>
          <cell r="B97">
            <v>62525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6213541010</v>
          </cell>
          <cell r="B98">
            <v>62135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6213541040</v>
          </cell>
          <cell r="B99">
            <v>62135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6213541050</v>
          </cell>
          <cell r="B100">
            <v>62135</v>
          </cell>
          <cell r="C100">
            <v>41050</v>
          </cell>
          <cell r="D100" t="str">
            <v>Rental Income - Fixed</v>
          </cell>
          <cell r="E100">
            <v>-130016.19</v>
          </cell>
          <cell r="F100">
            <v>-130746.36</v>
          </cell>
          <cell r="G100">
            <v>730.16999999999803</v>
          </cell>
          <cell r="H100">
            <v>-1637072.34</v>
          </cell>
          <cell r="I100">
            <v>-1637072.34</v>
          </cell>
          <cell r="J100">
            <v>0</v>
          </cell>
        </row>
        <row r="101">
          <cell r="A101" t="str">
            <v>6213541074</v>
          </cell>
          <cell r="B101">
            <v>62135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 t="str">
            <v>6213541082</v>
          </cell>
          <cell r="B102">
            <v>62135</v>
          </cell>
          <cell r="C102">
            <v>41082</v>
          </cell>
          <cell r="D102" t="str">
            <v>Rental Income - Operating Exp</v>
          </cell>
          <cell r="E102">
            <v>-31987.48</v>
          </cell>
          <cell r="F102">
            <v>-36390.51</v>
          </cell>
          <cell r="G102">
            <v>4403.03</v>
          </cell>
          <cell r="H102">
            <v>-436686.12</v>
          </cell>
          <cell r="I102">
            <v>-436686.12</v>
          </cell>
          <cell r="J102">
            <v>0</v>
          </cell>
        </row>
        <row r="103">
          <cell r="A103" t="str">
            <v>6213544610</v>
          </cell>
          <cell r="B103">
            <v>62135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6213545071</v>
          </cell>
          <cell r="B104">
            <v>62135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6213545010</v>
          </cell>
          <cell r="B105">
            <v>62135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6213545046</v>
          </cell>
          <cell r="B106">
            <v>62135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6213545070</v>
          </cell>
          <cell r="B107">
            <v>62135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-103</v>
          </cell>
          <cell r="I107">
            <v>-103</v>
          </cell>
          <cell r="J107">
            <v>0</v>
          </cell>
        </row>
        <row r="108">
          <cell r="A108" t="str">
            <v>6213541060</v>
          </cell>
          <cell r="B108">
            <v>62135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2592.17</v>
          </cell>
          <cell r="G108">
            <v>-2592.17</v>
          </cell>
          <cell r="H108">
            <v>31106</v>
          </cell>
          <cell r="I108">
            <v>31106</v>
          </cell>
          <cell r="J108">
            <v>0</v>
          </cell>
        </row>
        <row r="109">
          <cell r="A109" t="str">
            <v>6213544870</v>
          </cell>
          <cell r="B109">
            <v>62135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6213552542</v>
          </cell>
          <cell r="B110">
            <v>62135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6213572710</v>
          </cell>
          <cell r="B111">
            <v>62135</v>
          </cell>
          <cell r="C111">
            <v>72710</v>
          </cell>
          <cell r="D111" t="str">
            <v>Utilities - Electricity</v>
          </cell>
          <cell r="E111">
            <v>934.21</v>
          </cell>
          <cell r="F111">
            <v>1259.3900000000001</v>
          </cell>
          <cell r="G111">
            <v>-325.18</v>
          </cell>
          <cell r="H111">
            <v>18729.75</v>
          </cell>
          <cell r="I111">
            <v>18729.75</v>
          </cell>
          <cell r="J111">
            <v>0</v>
          </cell>
        </row>
        <row r="112">
          <cell r="A112" t="str">
            <v>6213572740</v>
          </cell>
          <cell r="B112">
            <v>62135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6213572770</v>
          </cell>
          <cell r="B113">
            <v>62135</v>
          </cell>
          <cell r="C113">
            <v>72770</v>
          </cell>
          <cell r="D113" t="str">
            <v>Utilities - Water</v>
          </cell>
          <cell r="E113">
            <v>1450</v>
          </cell>
          <cell r="F113">
            <v>520</v>
          </cell>
          <cell r="G113">
            <v>930</v>
          </cell>
          <cell r="H113">
            <v>9675.6</v>
          </cell>
          <cell r="I113">
            <v>9675.6</v>
          </cell>
          <cell r="J113">
            <v>0</v>
          </cell>
        </row>
        <row r="114">
          <cell r="A114" t="str">
            <v>6213576000</v>
          </cell>
          <cell r="B114">
            <v>62135</v>
          </cell>
          <cell r="C114">
            <v>76000</v>
          </cell>
          <cell r="D114" t="str">
            <v>Bldg Maintenance &amp; Repair</v>
          </cell>
          <cell r="E114">
            <v>538.22</v>
          </cell>
          <cell r="F114">
            <v>881.31</v>
          </cell>
          <cell r="G114">
            <v>-343.09</v>
          </cell>
          <cell r="H114">
            <v>39163.660000000003</v>
          </cell>
          <cell r="I114">
            <v>39163.660000000003</v>
          </cell>
          <cell r="J114">
            <v>0</v>
          </cell>
        </row>
        <row r="115">
          <cell r="A115" t="str">
            <v>6213576020</v>
          </cell>
          <cell r="B115">
            <v>62135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6213576034</v>
          </cell>
          <cell r="B116">
            <v>62135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6213576050</v>
          </cell>
          <cell r="B117">
            <v>62135</v>
          </cell>
          <cell r="C117">
            <v>76050</v>
          </cell>
          <cell r="D117" t="str">
            <v>Cleaning Expense</v>
          </cell>
          <cell r="E117">
            <v>2480</v>
          </cell>
          <cell r="F117">
            <v>2565.31</v>
          </cell>
          <cell r="G117">
            <v>-85.309999999999903</v>
          </cell>
          <cell r="H117">
            <v>31428.16</v>
          </cell>
          <cell r="I117">
            <v>31428.16</v>
          </cell>
          <cell r="J117">
            <v>0</v>
          </cell>
        </row>
        <row r="118">
          <cell r="A118" t="str">
            <v>6213576056</v>
          </cell>
          <cell r="B118">
            <v>62135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6213576070</v>
          </cell>
          <cell r="B119">
            <v>62135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6213576091</v>
          </cell>
          <cell r="B120">
            <v>62135</v>
          </cell>
          <cell r="C120">
            <v>76091</v>
          </cell>
          <cell r="D120" t="str">
            <v>Parking Maintenance</v>
          </cell>
          <cell r="E120">
            <v>2305</v>
          </cell>
          <cell r="F120">
            <v>2327.8000000000002</v>
          </cell>
          <cell r="G120">
            <v>-22.8000000000002</v>
          </cell>
          <cell r="H120">
            <v>40763.08</v>
          </cell>
          <cell r="I120">
            <v>40763.08</v>
          </cell>
          <cell r="J120">
            <v>0</v>
          </cell>
        </row>
        <row r="121">
          <cell r="A121" t="str">
            <v>6213577000</v>
          </cell>
          <cell r="B121">
            <v>62135</v>
          </cell>
          <cell r="C121">
            <v>77000</v>
          </cell>
          <cell r="D121" t="str">
            <v>Grounds Maintenance</v>
          </cell>
          <cell r="E121">
            <v>1334.47</v>
          </cell>
          <cell r="F121">
            <v>7057.21</v>
          </cell>
          <cell r="G121">
            <v>-5722.74</v>
          </cell>
          <cell r="H121">
            <v>51270.38</v>
          </cell>
          <cell r="I121">
            <v>51270.38</v>
          </cell>
          <cell r="J121">
            <v>0</v>
          </cell>
        </row>
        <row r="122">
          <cell r="A122" t="str">
            <v>6213577053</v>
          </cell>
          <cell r="B122">
            <v>62135</v>
          </cell>
          <cell r="C122">
            <v>77053</v>
          </cell>
          <cell r="D122" t="str">
            <v>Landscaping</v>
          </cell>
          <cell r="E122">
            <v>2652</v>
          </cell>
          <cell r="F122">
            <v>2320.0100000000002</v>
          </cell>
          <cell r="G122">
            <v>331.99</v>
          </cell>
          <cell r="H122">
            <v>40894.94</v>
          </cell>
          <cell r="I122">
            <v>40894.94</v>
          </cell>
          <cell r="J122">
            <v>0</v>
          </cell>
        </row>
        <row r="123">
          <cell r="A123" t="str">
            <v>6213578020</v>
          </cell>
          <cell r="B123">
            <v>62135</v>
          </cell>
          <cell r="C123">
            <v>78020</v>
          </cell>
          <cell r="D123" t="str">
            <v>Amortized CAM Exp</v>
          </cell>
          <cell r="E123">
            <v>1523.22</v>
          </cell>
          <cell r="F123">
            <v>1523.25</v>
          </cell>
          <cell r="G123">
            <v>-2.9999999999972701E-2</v>
          </cell>
          <cell r="H123">
            <v>18279</v>
          </cell>
          <cell r="I123">
            <v>18279</v>
          </cell>
          <cell r="J123">
            <v>0</v>
          </cell>
        </row>
        <row r="124">
          <cell r="A124" t="str">
            <v>6213584264</v>
          </cell>
          <cell r="B124">
            <v>62135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6213585555</v>
          </cell>
          <cell r="B125">
            <v>62135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6213585584</v>
          </cell>
          <cell r="B126">
            <v>62135</v>
          </cell>
          <cell r="C126">
            <v>85584</v>
          </cell>
          <cell r="D126" t="str">
            <v>Bldg Admin-Office Costs</v>
          </cell>
          <cell r="E126">
            <v>460.58</v>
          </cell>
          <cell r="F126">
            <v>673.08</v>
          </cell>
          <cell r="G126">
            <v>-212.5</v>
          </cell>
          <cell r="H126">
            <v>8077</v>
          </cell>
          <cell r="I126">
            <v>8077</v>
          </cell>
          <cell r="J126">
            <v>0</v>
          </cell>
        </row>
        <row r="127">
          <cell r="A127" t="str">
            <v>6213585582</v>
          </cell>
          <cell r="B127">
            <v>62135</v>
          </cell>
          <cell r="C127">
            <v>85582</v>
          </cell>
          <cell r="D127" t="str">
            <v>Bldg Admin-Salaries</v>
          </cell>
          <cell r="E127">
            <v>3799.49</v>
          </cell>
          <cell r="F127">
            <v>3788.5</v>
          </cell>
          <cell r="G127">
            <v>10.989999999999799</v>
          </cell>
          <cell r="H127">
            <v>48460</v>
          </cell>
          <cell r="I127">
            <v>48460</v>
          </cell>
          <cell r="J127">
            <v>0</v>
          </cell>
        </row>
        <row r="128">
          <cell r="A128" t="str">
            <v>6213586564</v>
          </cell>
          <cell r="B128">
            <v>62135</v>
          </cell>
          <cell r="C128">
            <v>86564</v>
          </cell>
          <cell r="D128" t="str">
            <v>Insurance</v>
          </cell>
          <cell r="E128">
            <v>2259</v>
          </cell>
          <cell r="F128">
            <v>2259</v>
          </cell>
          <cell r="G128">
            <v>0</v>
          </cell>
          <cell r="H128">
            <v>27108</v>
          </cell>
          <cell r="I128">
            <v>27108</v>
          </cell>
          <cell r="J128">
            <v>0</v>
          </cell>
        </row>
        <row r="129">
          <cell r="A129" t="str">
            <v>6213588846</v>
          </cell>
          <cell r="B129">
            <v>62135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6213588890</v>
          </cell>
          <cell r="B130">
            <v>62135</v>
          </cell>
          <cell r="C130">
            <v>88890</v>
          </cell>
          <cell r="D130" t="str">
            <v>Security/Safety</v>
          </cell>
          <cell r="E130">
            <v>4015.35</v>
          </cell>
          <cell r="F130">
            <v>292.68</v>
          </cell>
          <cell r="G130">
            <v>3722.67</v>
          </cell>
          <cell r="H130">
            <v>2976.06</v>
          </cell>
          <cell r="I130">
            <v>2976.06</v>
          </cell>
          <cell r="J130">
            <v>0</v>
          </cell>
        </row>
        <row r="131">
          <cell r="A131" t="str">
            <v>6213589775</v>
          </cell>
          <cell r="B131">
            <v>62135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6213589729</v>
          </cell>
          <cell r="B132">
            <v>62135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6213589786</v>
          </cell>
          <cell r="B133">
            <v>62135</v>
          </cell>
          <cell r="C133">
            <v>89786</v>
          </cell>
          <cell r="D133" t="str">
            <v>Property Tax Exp</v>
          </cell>
          <cell r="E133">
            <v>7608.17</v>
          </cell>
          <cell r="F133">
            <v>7608.17</v>
          </cell>
          <cell r="G133">
            <v>0</v>
          </cell>
          <cell r="H133">
            <v>91298</v>
          </cell>
          <cell r="I133">
            <v>91298</v>
          </cell>
          <cell r="J133">
            <v>0</v>
          </cell>
        </row>
        <row r="134">
          <cell r="A134" t="str">
            <v>6213571040</v>
          </cell>
          <cell r="B134">
            <v>62135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6213572701</v>
          </cell>
          <cell r="B135">
            <v>62135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51.5</v>
          </cell>
          <cell r="I135">
            <v>51.5</v>
          </cell>
          <cell r="J135">
            <v>0</v>
          </cell>
        </row>
        <row r="136">
          <cell r="A136" t="str">
            <v>6213572855</v>
          </cell>
          <cell r="B136">
            <v>62135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6213572870</v>
          </cell>
          <cell r="B137">
            <v>62135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6213576010</v>
          </cell>
          <cell r="B138">
            <v>62135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6213576040</v>
          </cell>
          <cell r="B139">
            <v>62135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6213576051</v>
          </cell>
          <cell r="B140">
            <v>62135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6213576054</v>
          </cell>
          <cell r="B141">
            <v>62135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75837.59</v>
          </cell>
          <cell r="I141">
            <v>75837.59</v>
          </cell>
          <cell r="J141">
            <v>0</v>
          </cell>
        </row>
        <row r="142">
          <cell r="A142" t="str">
            <v>6213576060</v>
          </cell>
          <cell r="B142">
            <v>62135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6213576071</v>
          </cell>
          <cell r="B143">
            <v>62135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6213576090</v>
          </cell>
          <cell r="B144">
            <v>62135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6213577001</v>
          </cell>
          <cell r="B145">
            <v>62135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6213577022</v>
          </cell>
          <cell r="B146">
            <v>62135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6213584200</v>
          </cell>
          <cell r="B147">
            <v>62135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6213584240</v>
          </cell>
          <cell r="B148">
            <v>62135</v>
          </cell>
          <cell r="C148">
            <v>84240</v>
          </cell>
          <cell r="D148" t="str">
            <v>Marketing Leasing</v>
          </cell>
          <cell r="E148">
            <v>13.89</v>
          </cell>
          <cell r="F148">
            <v>160.58000000000001</v>
          </cell>
          <cell r="G148">
            <v>-146.69</v>
          </cell>
          <cell r="H148">
            <v>1927</v>
          </cell>
          <cell r="I148">
            <v>1927</v>
          </cell>
          <cell r="J148">
            <v>0</v>
          </cell>
        </row>
        <row r="149">
          <cell r="A149" t="str">
            <v>6213584242</v>
          </cell>
          <cell r="B149">
            <v>62135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6213584243</v>
          </cell>
          <cell r="B150">
            <v>62135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6213584244</v>
          </cell>
          <cell r="B151">
            <v>62135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6213584265</v>
          </cell>
          <cell r="B152">
            <v>62135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6213588037</v>
          </cell>
          <cell r="B153">
            <v>62135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6213585016</v>
          </cell>
          <cell r="B154">
            <v>62135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0</v>
          </cell>
          <cell r="G154">
            <v>0</v>
          </cell>
          <cell r="H154">
            <v>2210</v>
          </cell>
          <cell r="I154">
            <v>2210</v>
          </cell>
          <cell r="J154">
            <v>0</v>
          </cell>
        </row>
        <row r="155">
          <cell r="A155" t="str">
            <v>6213585022</v>
          </cell>
          <cell r="B155">
            <v>62135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2121.13</v>
          </cell>
          <cell r="I155">
            <v>2121.13</v>
          </cell>
          <cell r="J155">
            <v>0</v>
          </cell>
        </row>
        <row r="156">
          <cell r="A156" t="str">
            <v>6213585065</v>
          </cell>
          <cell r="B156">
            <v>62135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6213585500</v>
          </cell>
          <cell r="B157">
            <v>62135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1238.58</v>
          </cell>
          <cell r="I157">
            <v>1238.58</v>
          </cell>
          <cell r="J157">
            <v>0</v>
          </cell>
        </row>
        <row r="158">
          <cell r="A158" t="str">
            <v>6213585566</v>
          </cell>
          <cell r="B158">
            <v>62135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6213585581</v>
          </cell>
          <cell r="B159">
            <v>62135</v>
          </cell>
          <cell r="C159">
            <v>85581</v>
          </cell>
          <cell r="D159" t="str">
            <v>Bldg Admin- Salaries</v>
          </cell>
          <cell r="E159">
            <v>3138.6</v>
          </cell>
          <cell r="F159">
            <v>3135.92</v>
          </cell>
          <cell r="G159">
            <v>2.6799999999998398</v>
          </cell>
          <cell r="H159">
            <v>39336.199999999997</v>
          </cell>
          <cell r="I159">
            <v>39336.199999999997</v>
          </cell>
          <cell r="J159">
            <v>0</v>
          </cell>
        </row>
        <row r="160">
          <cell r="A160" t="str">
            <v>6213585583</v>
          </cell>
          <cell r="B160">
            <v>62135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6213585530</v>
          </cell>
          <cell r="B161">
            <v>62135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6213586012</v>
          </cell>
          <cell r="B162">
            <v>62135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6213586037</v>
          </cell>
          <cell r="B163">
            <v>62135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6213583050</v>
          </cell>
          <cell r="B164">
            <v>62135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6213586510</v>
          </cell>
          <cell r="B165">
            <v>62135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6213586537</v>
          </cell>
          <cell r="B166">
            <v>62135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6213586566</v>
          </cell>
          <cell r="B167">
            <v>62135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6213586955</v>
          </cell>
          <cell r="B168">
            <v>62135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6213586985</v>
          </cell>
          <cell r="B169">
            <v>62135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6213586880</v>
          </cell>
          <cell r="B170">
            <v>62135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6213588710</v>
          </cell>
          <cell r="B171">
            <v>62135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0.08</v>
          </cell>
          <cell r="G171">
            <v>-0.08</v>
          </cell>
          <cell r="H171">
            <v>31108.639999999999</v>
          </cell>
          <cell r="I171">
            <v>31108.639999999999</v>
          </cell>
          <cell r="J171">
            <v>0</v>
          </cell>
        </row>
        <row r="172">
          <cell r="A172" t="str">
            <v>6213588711</v>
          </cell>
          <cell r="B172">
            <v>62135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6213588785</v>
          </cell>
          <cell r="B173">
            <v>62135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6213588847</v>
          </cell>
          <cell r="B174">
            <v>62135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6213588866</v>
          </cell>
          <cell r="B175">
            <v>62135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6213588870</v>
          </cell>
          <cell r="B176">
            <v>62135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6213588889</v>
          </cell>
          <cell r="B177">
            <v>62135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6213589776</v>
          </cell>
          <cell r="B178">
            <v>62135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6213589787</v>
          </cell>
          <cell r="B179">
            <v>62135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6213589510</v>
          </cell>
          <cell r="B180">
            <v>62135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6213589511</v>
          </cell>
          <cell r="B181">
            <v>62135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6213589512</v>
          </cell>
          <cell r="B182">
            <v>62135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6213589528</v>
          </cell>
          <cell r="B183">
            <v>62135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6213589529</v>
          </cell>
          <cell r="B184">
            <v>62135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6213589567</v>
          </cell>
          <cell r="B185">
            <v>62135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6213585058</v>
          </cell>
          <cell r="B186">
            <v>62135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6213586513</v>
          </cell>
          <cell r="B187">
            <v>62135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127.74</v>
          </cell>
          <cell r="G187">
            <v>-127.74</v>
          </cell>
          <cell r="H187">
            <v>1576.11</v>
          </cell>
          <cell r="I187">
            <v>1576.11</v>
          </cell>
          <cell r="J187">
            <v>0</v>
          </cell>
        </row>
        <row r="188">
          <cell r="A188" t="str">
            <v>6213586519</v>
          </cell>
          <cell r="B188">
            <v>62135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6213588770</v>
          </cell>
          <cell r="B189">
            <v>62135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6213588862</v>
          </cell>
          <cell r="B190">
            <v>62135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6213588874</v>
          </cell>
          <cell r="B191">
            <v>62135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6213589910</v>
          </cell>
          <cell r="B192">
            <v>62135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7892.64</v>
          </cell>
          <cell r="G192">
            <v>-7892.64</v>
          </cell>
          <cell r="H192">
            <v>93118.59</v>
          </cell>
          <cell r="I192">
            <v>93118.59</v>
          </cell>
          <cell r="J192">
            <v>0</v>
          </cell>
        </row>
        <row r="193">
          <cell r="A193" t="str">
            <v>6213589548</v>
          </cell>
          <cell r="B193">
            <v>62135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6216041010</v>
          </cell>
          <cell r="B194">
            <v>62160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6216041040</v>
          </cell>
          <cell r="B195">
            <v>62160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6216041050</v>
          </cell>
          <cell r="B196">
            <v>62160</v>
          </cell>
          <cell r="C196">
            <v>41050</v>
          </cell>
          <cell r="D196" t="str">
            <v>Rental Income - Fixed</v>
          </cell>
          <cell r="E196">
            <v>-1552664.5</v>
          </cell>
          <cell r="F196">
            <v>-1589708.57</v>
          </cell>
          <cell r="G196">
            <v>37044.070000000102</v>
          </cell>
          <cell r="H196">
            <v>-1710299.84</v>
          </cell>
          <cell r="I196">
            <v>-1740878.67</v>
          </cell>
          <cell r="J196">
            <v>-30578.829999999802</v>
          </cell>
        </row>
        <row r="197">
          <cell r="A197" t="str">
            <v>6216041074</v>
          </cell>
          <cell r="B197">
            <v>62160</v>
          </cell>
          <cell r="C197">
            <v>41074</v>
          </cell>
          <cell r="D197" t="str">
            <v>Rental Income - Percentage</v>
          </cell>
          <cell r="E197">
            <v>-6370.98</v>
          </cell>
          <cell r="F197">
            <v>-146.05999999999901</v>
          </cell>
          <cell r="G197">
            <v>-6224.92</v>
          </cell>
          <cell r="H197">
            <v>-4100.63</v>
          </cell>
          <cell r="I197">
            <v>627.33000000000095</v>
          </cell>
          <cell r="J197">
            <v>4727.96</v>
          </cell>
        </row>
        <row r="198">
          <cell r="A198" t="str">
            <v>6216041082</v>
          </cell>
          <cell r="B198">
            <v>62160</v>
          </cell>
          <cell r="C198">
            <v>41082</v>
          </cell>
          <cell r="D198" t="str">
            <v>Rental Income - Operating Exp</v>
          </cell>
          <cell r="E198">
            <v>-309016.94</v>
          </cell>
          <cell r="F198">
            <v>-325026.05</v>
          </cell>
          <cell r="G198">
            <v>16009.11</v>
          </cell>
          <cell r="H198">
            <v>-356920.51</v>
          </cell>
          <cell r="I198">
            <v>-350941.76</v>
          </cell>
          <cell r="J198">
            <v>5978.75</v>
          </cell>
        </row>
        <row r="199">
          <cell r="A199" t="str">
            <v>6216044610</v>
          </cell>
          <cell r="B199">
            <v>62160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6216045071</v>
          </cell>
          <cell r="B200">
            <v>62160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6216045010</v>
          </cell>
          <cell r="B201">
            <v>62160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6216045046</v>
          </cell>
          <cell r="B202">
            <v>62160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6216045070</v>
          </cell>
          <cell r="B203">
            <v>62160</v>
          </cell>
          <cell r="C203">
            <v>45070</v>
          </cell>
          <cell r="D203" t="str">
            <v>Other Income</v>
          </cell>
          <cell r="E203">
            <v>-882.51</v>
          </cell>
          <cell r="F203">
            <v>-675</v>
          </cell>
          <cell r="G203">
            <v>-207.51</v>
          </cell>
          <cell r="H203">
            <v>-902.25</v>
          </cell>
          <cell r="I203">
            <v>-810</v>
          </cell>
          <cell r="J203">
            <v>92.25</v>
          </cell>
        </row>
        <row r="204">
          <cell r="A204" t="str">
            <v>6216041060</v>
          </cell>
          <cell r="B204">
            <v>62160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38434</v>
          </cell>
          <cell r="G204">
            <v>-38434</v>
          </cell>
          <cell r="H204">
            <v>13976</v>
          </cell>
          <cell r="I204">
            <v>41928</v>
          </cell>
          <cell r="J204">
            <v>27952</v>
          </cell>
        </row>
        <row r="205">
          <cell r="A205" t="str">
            <v>6216044870</v>
          </cell>
          <cell r="B205">
            <v>62160</v>
          </cell>
          <cell r="C205">
            <v>44870</v>
          </cell>
          <cell r="D205" t="str">
            <v>Late Fees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6216052542</v>
          </cell>
          <cell r="B206">
            <v>62160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6216072710</v>
          </cell>
          <cell r="B207">
            <v>62160</v>
          </cell>
          <cell r="C207">
            <v>72710</v>
          </cell>
          <cell r="D207" t="str">
            <v>Utilities - Electricity</v>
          </cell>
          <cell r="E207">
            <v>9600.07</v>
          </cell>
          <cell r="F207">
            <v>8724</v>
          </cell>
          <cell r="G207">
            <v>876.07</v>
          </cell>
          <cell r="H207">
            <v>10455.89</v>
          </cell>
          <cell r="I207">
            <v>9330</v>
          </cell>
          <cell r="J207">
            <v>-1125.8900000000001</v>
          </cell>
        </row>
        <row r="208">
          <cell r="A208" t="str">
            <v>6216072740</v>
          </cell>
          <cell r="B208">
            <v>62160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6216072770</v>
          </cell>
          <cell r="B209">
            <v>62160</v>
          </cell>
          <cell r="C209">
            <v>72770</v>
          </cell>
          <cell r="D209" t="str">
            <v>Utilities - Water</v>
          </cell>
          <cell r="E209">
            <v>2284.94</v>
          </cell>
          <cell r="F209">
            <v>2381</v>
          </cell>
          <cell r="G209">
            <v>-96.059999999999903</v>
          </cell>
          <cell r="H209">
            <v>2833.93</v>
          </cell>
          <cell r="I209">
            <v>2781</v>
          </cell>
          <cell r="J209">
            <v>-52.929999999999801</v>
          </cell>
        </row>
        <row r="210">
          <cell r="A210" t="str">
            <v>6216076000</v>
          </cell>
          <cell r="B210">
            <v>62160</v>
          </cell>
          <cell r="C210">
            <v>76000</v>
          </cell>
          <cell r="D210" t="str">
            <v>Bldg Maintenance &amp; Repair</v>
          </cell>
          <cell r="E210">
            <v>17077.11</v>
          </cell>
          <cell r="F210">
            <v>11837</v>
          </cell>
          <cell r="G210">
            <v>5240.1099999999997</v>
          </cell>
          <cell r="H210">
            <v>13351.26</v>
          </cell>
          <cell r="I210">
            <v>12357</v>
          </cell>
          <cell r="J210">
            <v>-994.26</v>
          </cell>
        </row>
        <row r="211">
          <cell r="A211" t="str">
            <v>6216076020</v>
          </cell>
          <cell r="B211">
            <v>62160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6216076034</v>
          </cell>
          <cell r="B212">
            <v>62160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6216076050</v>
          </cell>
          <cell r="B213">
            <v>62160</v>
          </cell>
          <cell r="C213">
            <v>76050</v>
          </cell>
          <cell r="D213" t="str">
            <v>Cleaning Expense</v>
          </cell>
          <cell r="E213">
            <v>33351.43</v>
          </cell>
          <cell r="F213">
            <v>31361</v>
          </cell>
          <cell r="G213">
            <v>1990.43</v>
          </cell>
          <cell r="H213">
            <v>36033.589999999997</v>
          </cell>
          <cell r="I213">
            <v>34212</v>
          </cell>
          <cell r="J213">
            <v>-1821.59</v>
          </cell>
        </row>
        <row r="214">
          <cell r="A214" t="str">
            <v>6216076056</v>
          </cell>
          <cell r="B214">
            <v>62160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6216076070</v>
          </cell>
          <cell r="B215">
            <v>62160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6216076091</v>
          </cell>
          <cell r="B216">
            <v>62160</v>
          </cell>
          <cell r="C216">
            <v>76091</v>
          </cell>
          <cell r="D216" t="str">
            <v>Parking Maintenance</v>
          </cell>
          <cell r="E216">
            <v>22912.44</v>
          </cell>
          <cell r="F216">
            <v>23857</v>
          </cell>
          <cell r="G216">
            <v>-944.56000000000097</v>
          </cell>
          <cell r="H216">
            <v>27187.54</v>
          </cell>
          <cell r="I216">
            <v>25484</v>
          </cell>
          <cell r="J216">
            <v>-1703.54</v>
          </cell>
        </row>
        <row r="217">
          <cell r="A217" t="str">
            <v>6216077000</v>
          </cell>
          <cell r="B217">
            <v>62160</v>
          </cell>
          <cell r="C217">
            <v>77000</v>
          </cell>
          <cell r="D217" t="str">
            <v>Grounds Maintenance</v>
          </cell>
          <cell r="E217">
            <v>24676.560000000001</v>
          </cell>
          <cell r="F217">
            <v>29771</v>
          </cell>
          <cell r="G217">
            <v>-5094.4399999999996</v>
          </cell>
          <cell r="H217">
            <v>32820.839999999997</v>
          </cell>
          <cell r="I217">
            <v>30090</v>
          </cell>
          <cell r="J217">
            <v>-2730.84</v>
          </cell>
        </row>
        <row r="218">
          <cell r="A218" t="str">
            <v>6216077053</v>
          </cell>
          <cell r="B218">
            <v>62160</v>
          </cell>
          <cell r="C218">
            <v>77053</v>
          </cell>
          <cell r="D218" t="str">
            <v>Landscaping</v>
          </cell>
          <cell r="E218">
            <v>21802.58</v>
          </cell>
          <cell r="F218">
            <v>44700</v>
          </cell>
          <cell r="G218">
            <v>-22897.42</v>
          </cell>
          <cell r="H218">
            <v>38818.58</v>
          </cell>
          <cell r="I218">
            <v>45925</v>
          </cell>
          <cell r="J218">
            <v>7106.42</v>
          </cell>
        </row>
        <row r="219">
          <cell r="A219" t="str">
            <v>6216078020</v>
          </cell>
          <cell r="B219">
            <v>62160</v>
          </cell>
          <cell r="C219">
            <v>78020</v>
          </cell>
          <cell r="D219" t="str">
            <v>Amortized CAM Exp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</row>
        <row r="220">
          <cell r="A220" t="str">
            <v>6216084264</v>
          </cell>
          <cell r="B220">
            <v>62160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6216085555</v>
          </cell>
          <cell r="B221">
            <v>62160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6216085584</v>
          </cell>
          <cell r="B222">
            <v>62160</v>
          </cell>
          <cell r="C222">
            <v>85584</v>
          </cell>
          <cell r="D222" t="str">
            <v>Bldg Admin-Office Costs</v>
          </cell>
          <cell r="E222">
            <v>9862.3799999999992</v>
          </cell>
          <cell r="F222">
            <v>7506.62</v>
          </cell>
          <cell r="G222">
            <v>2355.7600000000002</v>
          </cell>
          <cell r="H222">
            <v>10068.65</v>
          </cell>
          <cell r="I222">
            <v>8189</v>
          </cell>
          <cell r="J222">
            <v>-1879.65</v>
          </cell>
        </row>
        <row r="223">
          <cell r="A223" t="str">
            <v>6216085582</v>
          </cell>
          <cell r="B223">
            <v>62160</v>
          </cell>
          <cell r="C223">
            <v>85582</v>
          </cell>
          <cell r="D223" t="str">
            <v>Bldg Admin-Salaries</v>
          </cell>
          <cell r="E223">
            <v>37715.89</v>
          </cell>
          <cell r="F223">
            <v>42468.3</v>
          </cell>
          <cell r="G223">
            <v>-4752.41</v>
          </cell>
          <cell r="H223">
            <v>44507</v>
          </cell>
          <cell r="I223">
            <v>49382.3</v>
          </cell>
          <cell r="J223">
            <v>4875.3</v>
          </cell>
        </row>
        <row r="224">
          <cell r="A224" t="str">
            <v>6216086564</v>
          </cell>
          <cell r="B224">
            <v>62160</v>
          </cell>
          <cell r="C224">
            <v>86564</v>
          </cell>
          <cell r="D224" t="str">
            <v>Insurance</v>
          </cell>
          <cell r="E224">
            <v>25113</v>
          </cell>
          <cell r="F224">
            <v>32015.5</v>
          </cell>
          <cell r="G224">
            <v>-6902.5</v>
          </cell>
          <cell r="H224">
            <v>27405</v>
          </cell>
          <cell r="I224">
            <v>34926</v>
          </cell>
          <cell r="J224">
            <v>7521</v>
          </cell>
        </row>
        <row r="225">
          <cell r="A225" t="str">
            <v>6216088846</v>
          </cell>
          <cell r="B225">
            <v>62160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6216088890</v>
          </cell>
          <cell r="B226">
            <v>62160</v>
          </cell>
          <cell r="C226">
            <v>88890</v>
          </cell>
          <cell r="D226" t="str">
            <v>Security/Safety</v>
          </cell>
          <cell r="E226">
            <v>2393.2399999999998</v>
          </cell>
          <cell r="F226">
            <v>5645</v>
          </cell>
          <cell r="G226">
            <v>-3251.76</v>
          </cell>
          <cell r="H226">
            <v>892</v>
          </cell>
          <cell r="I226">
            <v>5868</v>
          </cell>
          <cell r="J226">
            <v>4976</v>
          </cell>
        </row>
        <row r="227">
          <cell r="A227" t="str">
            <v>6216089775</v>
          </cell>
          <cell r="B227">
            <v>62160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6216089729</v>
          </cell>
          <cell r="B228">
            <v>62160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6216089786</v>
          </cell>
          <cell r="B229">
            <v>62160</v>
          </cell>
          <cell r="C229">
            <v>89786</v>
          </cell>
          <cell r="D229" t="str">
            <v>Property Tax Exp</v>
          </cell>
          <cell r="E229">
            <v>83076</v>
          </cell>
          <cell r="F229">
            <v>78701.259999999995</v>
          </cell>
          <cell r="G229">
            <v>4374.7400000000098</v>
          </cell>
          <cell r="H229">
            <v>87930</v>
          </cell>
          <cell r="I229">
            <v>85856</v>
          </cell>
          <cell r="J229">
            <v>-2074</v>
          </cell>
        </row>
        <row r="230">
          <cell r="A230" t="str">
            <v>6216071040</v>
          </cell>
          <cell r="B230">
            <v>62160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6216072701</v>
          </cell>
          <cell r="B231">
            <v>62160</v>
          </cell>
          <cell r="C231">
            <v>72701</v>
          </cell>
          <cell r="D231" t="str">
            <v>Utilities</v>
          </cell>
          <cell r="E231">
            <v>741.96</v>
          </cell>
          <cell r="F231">
            <v>0</v>
          </cell>
          <cell r="G231">
            <v>741.96</v>
          </cell>
          <cell r="H231">
            <v>514.91</v>
          </cell>
          <cell r="I231">
            <v>0</v>
          </cell>
          <cell r="J231">
            <v>-514.91</v>
          </cell>
        </row>
        <row r="232">
          <cell r="A232" t="str">
            <v>6216072855</v>
          </cell>
          <cell r="B232">
            <v>62160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6216072870</v>
          </cell>
          <cell r="B233">
            <v>62160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6216076010</v>
          </cell>
          <cell r="B234">
            <v>62160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1000</v>
          </cell>
          <cell r="G234">
            <v>-1000</v>
          </cell>
          <cell r="H234">
            <v>0</v>
          </cell>
          <cell r="I234">
            <v>1000</v>
          </cell>
          <cell r="J234">
            <v>1000</v>
          </cell>
        </row>
        <row r="235">
          <cell r="A235" t="str">
            <v>6216076040</v>
          </cell>
          <cell r="B235">
            <v>62160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6216076051</v>
          </cell>
          <cell r="B236">
            <v>62160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6216076054</v>
          </cell>
          <cell r="B237">
            <v>62160</v>
          </cell>
          <cell r="C237">
            <v>76054</v>
          </cell>
          <cell r="D237" t="str">
            <v>Bldg Maintenance &amp; Repair</v>
          </cell>
          <cell r="E237">
            <v>300.08</v>
          </cell>
          <cell r="F237">
            <v>0</v>
          </cell>
          <cell r="G237">
            <v>300.08</v>
          </cell>
          <cell r="H237">
            <v>300.08</v>
          </cell>
          <cell r="I237">
            <v>0</v>
          </cell>
          <cell r="J237">
            <v>-300.08</v>
          </cell>
        </row>
        <row r="238">
          <cell r="A238" t="str">
            <v>6216076060</v>
          </cell>
          <cell r="B238">
            <v>62160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6216076071</v>
          </cell>
          <cell r="B239">
            <v>62160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9600</v>
          </cell>
          <cell r="I239">
            <v>0</v>
          </cell>
          <cell r="J239">
            <v>-9600</v>
          </cell>
        </row>
        <row r="240">
          <cell r="A240" t="str">
            <v>6216076090</v>
          </cell>
          <cell r="B240">
            <v>62160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6216077001</v>
          </cell>
          <cell r="B241">
            <v>62160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6216077022</v>
          </cell>
          <cell r="B242">
            <v>62160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6216084200</v>
          </cell>
          <cell r="B243">
            <v>62160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6216084240</v>
          </cell>
          <cell r="B244">
            <v>62160</v>
          </cell>
          <cell r="C244">
            <v>84240</v>
          </cell>
          <cell r="D244" t="str">
            <v>Marketing Leasing</v>
          </cell>
          <cell r="E244">
            <v>283.74</v>
          </cell>
          <cell r="F244">
            <v>0</v>
          </cell>
          <cell r="G244">
            <v>283.74</v>
          </cell>
          <cell r="H244">
            <v>244.68</v>
          </cell>
          <cell r="I244">
            <v>0</v>
          </cell>
          <cell r="J244">
            <v>-244.68</v>
          </cell>
        </row>
        <row r="245">
          <cell r="A245" t="str">
            <v>6216084242</v>
          </cell>
          <cell r="B245">
            <v>62160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6216084243</v>
          </cell>
          <cell r="B246">
            <v>62160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6216084244</v>
          </cell>
          <cell r="B247">
            <v>62160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6216084265</v>
          </cell>
          <cell r="B248">
            <v>62160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6216088037</v>
          </cell>
          <cell r="B249">
            <v>62160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6216085016</v>
          </cell>
          <cell r="B250">
            <v>62160</v>
          </cell>
          <cell r="C250">
            <v>85016</v>
          </cell>
          <cell r="D250" t="str">
            <v>Prof Svc-Attorney Outside</v>
          </cell>
          <cell r="E250">
            <v>1464.45</v>
          </cell>
          <cell r="F250">
            <v>1500</v>
          </cell>
          <cell r="G250">
            <v>-35.549999999999997</v>
          </cell>
          <cell r="H250">
            <v>2382</v>
          </cell>
          <cell r="I250">
            <v>2000</v>
          </cell>
          <cell r="J250">
            <v>-382</v>
          </cell>
        </row>
        <row r="251">
          <cell r="A251" t="str">
            <v>6216085022</v>
          </cell>
          <cell r="B251">
            <v>62160</v>
          </cell>
          <cell r="C251">
            <v>85022</v>
          </cell>
          <cell r="D251" t="str">
            <v>Prof Svc-Audit/Acctng</v>
          </cell>
          <cell r="E251">
            <v>1221.93</v>
          </cell>
          <cell r="F251">
            <v>650</v>
          </cell>
          <cell r="G251">
            <v>571.92999999999995</v>
          </cell>
          <cell r="H251">
            <v>2071.35</v>
          </cell>
          <cell r="I251">
            <v>1872</v>
          </cell>
          <cell r="J251">
            <v>-199.35</v>
          </cell>
        </row>
        <row r="252">
          <cell r="A252" t="str">
            <v>6216085065</v>
          </cell>
          <cell r="B252">
            <v>62160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6216085500</v>
          </cell>
          <cell r="B253">
            <v>62160</v>
          </cell>
          <cell r="C253">
            <v>85500</v>
          </cell>
          <cell r="D253" t="str">
            <v>Consulting Services</v>
          </cell>
          <cell r="E253">
            <v>170.52</v>
          </cell>
          <cell r="F253">
            <v>800</v>
          </cell>
          <cell r="G253">
            <v>-629.48</v>
          </cell>
          <cell r="H253">
            <v>335</v>
          </cell>
          <cell r="I253">
            <v>800</v>
          </cell>
          <cell r="J253">
            <v>465</v>
          </cell>
        </row>
        <row r="254">
          <cell r="A254" t="str">
            <v>6216085566</v>
          </cell>
          <cell r="B254">
            <v>62160</v>
          </cell>
          <cell r="C254">
            <v>85566</v>
          </cell>
          <cell r="D254" t="str">
            <v>Management Fee</v>
          </cell>
          <cell r="E254">
            <v>36929.35</v>
          </cell>
          <cell r="F254">
            <v>36925</v>
          </cell>
          <cell r="G254">
            <v>4.3499999999985404</v>
          </cell>
          <cell r="H254">
            <v>40271.760000000002</v>
          </cell>
          <cell r="I254">
            <v>40272</v>
          </cell>
          <cell r="J254">
            <v>0.23999999999796301</v>
          </cell>
        </row>
        <row r="255">
          <cell r="A255" t="str">
            <v>6216085581</v>
          </cell>
          <cell r="B255">
            <v>62160</v>
          </cell>
          <cell r="C255">
            <v>85581</v>
          </cell>
          <cell r="D255" t="str">
            <v>Bldg Admin- Salaries</v>
          </cell>
          <cell r="E255">
            <v>5315.61</v>
          </cell>
          <cell r="F255">
            <v>5783.7</v>
          </cell>
          <cell r="G255">
            <v>-468.09</v>
          </cell>
          <cell r="H255">
            <v>6562.49</v>
          </cell>
          <cell r="I255">
            <v>6717.7</v>
          </cell>
          <cell r="J255">
            <v>155.21</v>
          </cell>
        </row>
        <row r="256">
          <cell r="A256" t="str">
            <v>6216085583</v>
          </cell>
          <cell r="B256">
            <v>62160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6216085530</v>
          </cell>
          <cell r="B257">
            <v>62160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6216086012</v>
          </cell>
          <cell r="B258">
            <v>62160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6216086037</v>
          </cell>
          <cell r="B259">
            <v>62160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6216083050</v>
          </cell>
          <cell r="B260">
            <v>62160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6216086510</v>
          </cell>
          <cell r="B261">
            <v>62160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6216086537</v>
          </cell>
          <cell r="B262">
            <v>62160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6216086566</v>
          </cell>
          <cell r="B263">
            <v>62160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6216086955</v>
          </cell>
          <cell r="B264">
            <v>62160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6216086985</v>
          </cell>
          <cell r="B265">
            <v>62160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6216086880</v>
          </cell>
          <cell r="B266">
            <v>62160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6216088710</v>
          </cell>
          <cell r="B267">
            <v>62160</v>
          </cell>
          <cell r="C267">
            <v>88710</v>
          </cell>
          <cell r="D267" t="str">
            <v>Losses-Bad Debts</v>
          </cell>
          <cell r="E267">
            <v>-10102.18</v>
          </cell>
          <cell r="F267">
            <v>31773.360000000001</v>
          </cell>
          <cell r="G267">
            <v>-41875.54</v>
          </cell>
          <cell r="H267">
            <v>2927</v>
          </cell>
          <cell r="I267">
            <v>42364.72</v>
          </cell>
          <cell r="J267">
            <v>39437.72</v>
          </cell>
        </row>
        <row r="268">
          <cell r="A268" t="str">
            <v>6216088711</v>
          </cell>
          <cell r="B268">
            <v>62160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6216088785</v>
          </cell>
          <cell r="B269">
            <v>62160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6216088847</v>
          </cell>
          <cell r="B270">
            <v>62160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6216088866</v>
          </cell>
          <cell r="B271">
            <v>62160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6216088870</v>
          </cell>
          <cell r="B272">
            <v>62160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6216088889</v>
          </cell>
          <cell r="B273">
            <v>62160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6216089776</v>
          </cell>
          <cell r="B274">
            <v>62160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6216089787</v>
          </cell>
          <cell r="B275">
            <v>62160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6216089510</v>
          </cell>
          <cell r="B276">
            <v>62160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414892</v>
          </cell>
          <cell r="G276">
            <v>-414892</v>
          </cell>
          <cell r="H276">
            <v>243144</v>
          </cell>
          <cell r="I276">
            <v>433410</v>
          </cell>
          <cell r="J276">
            <v>190266</v>
          </cell>
        </row>
        <row r="277">
          <cell r="A277" t="str">
            <v>6216089511</v>
          </cell>
          <cell r="B277">
            <v>62160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6216089512</v>
          </cell>
          <cell r="B278">
            <v>62160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6216089528</v>
          </cell>
          <cell r="B279">
            <v>62160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6216089529</v>
          </cell>
          <cell r="B280">
            <v>62160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7810</v>
          </cell>
          <cell r="G280">
            <v>-7810</v>
          </cell>
          <cell r="H280">
            <v>5681</v>
          </cell>
          <cell r="I280">
            <v>9231</v>
          </cell>
          <cell r="J280">
            <v>3550</v>
          </cell>
        </row>
        <row r="281">
          <cell r="A281" t="str">
            <v>6216089567</v>
          </cell>
          <cell r="B281">
            <v>62160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6216085058</v>
          </cell>
          <cell r="B282">
            <v>62160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6216086513</v>
          </cell>
          <cell r="B283">
            <v>62160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4506.4799999999996</v>
          </cell>
          <cell r="G283">
            <v>-4506.4799999999996</v>
          </cell>
          <cell r="H283">
            <v>757.14</v>
          </cell>
          <cell r="I283">
            <v>5279.8</v>
          </cell>
          <cell r="J283">
            <v>4522.66</v>
          </cell>
        </row>
        <row r="284">
          <cell r="A284" t="str">
            <v>6216086519</v>
          </cell>
          <cell r="B284">
            <v>62160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6216088770</v>
          </cell>
          <cell r="B285">
            <v>62160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6216088862</v>
          </cell>
          <cell r="B286">
            <v>62160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6216088874</v>
          </cell>
          <cell r="B287">
            <v>62160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6216089910</v>
          </cell>
          <cell r="B288">
            <v>62160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84919.6</v>
          </cell>
          <cell r="G288">
            <v>-84919.6</v>
          </cell>
          <cell r="H288">
            <v>97808.54</v>
          </cell>
          <cell r="I288">
            <v>93431.02</v>
          </cell>
          <cell r="J288">
            <v>-4377.5199999999904</v>
          </cell>
        </row>
        <row r="289">
          <cell r="A289" t="str">
            <v>6216089548</v>
          </cell>
          <cell r="B289">
            <v>62160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-587336.49</v>
          </cell>
          <cell r="F292">
            <v>-583671.22</v>
          </cell>
          <cell r="G292">
            <v>-3665.27000000002</v>
          </cell>
          <cell r="H292">
            <v>-3599476.8</v>
          </cell>
          <cell r="I292">
            <v>-3599476.8</v>
          </cell>
          <cell r="J292">
            <v>0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-60059.39</v>
          </cell>
          <cell r="F293">
            <v>-114844</v>
          </cell>
          <cell r="G293">
            <v>54784.61</v>
          </cell>
          <cell r="H293">
            <v>-744677</v>
          </cell>
          <cell r="I293">
            <v>-744677</v>
          </cell>
          <cell r="J293">
            <v>0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-172044.9</v>
          </cell>
          <cell r="F294">
            <v>-190625</v>
          </cell>
          <cell r="G294">
            <v>18580.099999999999</v>
          </cell>
          <cell r="H294">
            <v>-1143750</v>
          </cell>
          <cell r="I294">
            <v>-1143750</v>
          </cell>
          <cell r="J294">
            <v>0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-390.02</v>
          </cell>
          <cell r="F299">
            <v>-9.86</v>
          </cell>
          <cell r="G299">
            <v>-380.16</v>
          </cell>
          <cell r="H299">
            <v>-454.41</v>
          </cell>
          <cell r="I299">
            <v>-454.41</v>
          </cell>
          <cell r="J299">
            <v>0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9146.5</v>
          </cell>
          <cell r="G300">
            <v>-9146.5</v>
          </cell>
          <cell r="H300">
            <v>54879</v>
          </cell>
          <cell r="I300">
            <v>54879</v>
          </cell>
          <cell r="J300">
            <v>0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4162.43</v>
          </cell>
          <cell r="F303">
            <v>4452.2</v>
          </cell>
          <cell r="G303">
            <v>-289.77</v>
          </cell>
          <cell r="H303">
            <v>28424.9</v>
          </cell>
          <cell r="I303">
            <v>28424.9</v>
          </cell>
          <cell r="J303">
            <v>0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9240.26</v>
          </cell>
          <cell r="F305">
            <v>8068.66</v>
          </cell>
          <cell r="G305">
            <v>1171.5999999999999</v>
          </cell>
          <cell r="H305">
            <v>37959.879999999997</v>
          </cell>
          <cell r="I305">
            <v>37959.879999999997</v>
          </cell>
          <cell r="J305">
            <v>0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6414.5</v>
          </cell>
          <cell r="F306">
            <v>6810.23</v>
          </cell>
          <cell r="G306">
            <v>-395.73</v>
          </cell>
          <cell r="H306">
            <v>43624.87</v>
          </cell>
          <cell r="I306">
            <v>43624.87</v>
          </cell>
          <cell r="J306">
            <v>0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11055.74</v>
          </cell>
          <cell r="F309">
            <v>11123.56</v>
          </cell>
          <cell r="G309">
            <v>-67.819999999999695</v>
          </cell>
          <cell r="H309">
            <v>68062.720000000001</v>
          </cell>
          <cell r="I309">
            <v>68062.720000000001</v>
          </cell>
          <cell r="J309">
            <v>0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7120</v>
          </cell>
          <cell r="F312">
            <v>7276.95</v>
          </cell>
          <cell r="G312">
            <v>-156.94999999999999</v>
          </cell>
          <cell r="H312">
            <v>52388.73</v>
          </cell>
          <cell r="I312">
            <v>52388.73</v>
          </cell>
          <cell r="J312">
            <v>0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5510.13</v>
          </cell>
          <cell r="F313">
            <v>19842.73</v>
          </cell>
          <cell r="G313">
            <v>-14332.6</v>
          </cell>
          <cell r="H313">
            <v>65694.600000000006</v>
          </cell>
          <cell r="I313">
            <v>65694.600000000006</v>
          </cell>
          <cell r="J313">
            <v>0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8646</v>
          </cell>
          <cell r="F314">
            <v>7104.22</v>
          </cell>
          <cell r="G314">
            <v>1541.78</v>
          </cell>
          <cell r="H314">
            <v>74286.95</v>
          </cell>
          <cell r="I314">
            <v>74286.95</v>
          </cell>
          <cell r="J314">
            <v>0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7277.34</v>
          </cell>
          <cell r="F315">
            <v>7361.16</v>
          </cell>
          <cell r="G315">
            <v>-83.819999999999695</v>
          </cell>
          <cell r="H315">
            <v>44167</v>
          </cell>
          <cell r="I315">
            <v>44167</v>
          </cell>
          <cell r="J315">
            <v>0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2022.92</v>
          </cell>
          <cell r="F318">
            <v>2022.66</v>
          </cell>
          <cell r="G318">
            <v>0.25999999999999102</v>
          </cell>
          <cell r="H318">
            <v>12136</v>
          </cell>
          <cell r="I318">
            <v>12136</v>
          </cell>
          <cell r="J318">
            <v>0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11707.52</v>
          </cell>
          <cell r="F319">
            <v>11707.16</v>
          </cell>
          <cell r="G319">
            <v>0.36000000000058202</v>
          </cell>
          <cell r="H319">
            <v>74913.8</v>
          </cell>
          <cell r="I319">
            <v>74913.8</v>
          </cell>
          <cell r="J319">
            <v>0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8057</v>
          </cell>
          <cell r="F320">
            <v>8057.34</v>
          </cell>
          <cell r="G320">
            <v>-0.34000000000014602</v>
          </cell>
          <cell r="H320">
            <v>48344</v>
          </cell>
          <cell r="I320">
            <v>48344</v>
          </cell>
          <cell r="J320">
            <v>0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3632</v>
          </cell>
          <cell r="F322">
            <v>3333.34</v>
          </cell>
          <cell r="G322">
            <v>298.66000000000003</v>
          </cell>
          <cell r="H322">
            <v>63000.33</v>
          </cell>
          <cell r="I322">
            <v>63000.33</v>
          </cell>
          <cell r="J322">
            <v>0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27781.16</v>
          </cell>
          <cell r="F323">
            <v>27781.16</v>
          </cell>
          <cell r="G323">
            <v>0</v>
          </cell>
          <cell r="H323">
            <v>166687</v>
          </cell>
          <cell r="I323">
            <v>166687</v>
          </cell>
          <cell r="J323">
            <v>0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47757.32</v>
          </cell>
          <cell r="F325">
            <v>47757.32</v>
          </cell>
          <cell r="G325">
            <v>0</v>
          </cell>
          <cell r="H325">
            <v>286544</v>
          </cell>
          <cell r="I325">
            <v>286544</v>
          </cell>
          <cell r="J325">
            <v>0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31.7</v>
          </cell>
          <cell r="F327">
            <v>0</v>
          </cell>
          <cell r="G327">
            <v>31.7</v>
          </cell>
          <cell r="H327">
            <v>59.73</v>
          </cell>
          <cell r="I327">
            <v>59.73</v>
          </cell>
          <cell r="J327">
            <v>0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188</v>
          </cell>
          <cell r="F333">
            <v>3333.34</v>
          </cell>
          <cell r="G333">
            <v>-3145.34</v>
          </cell>
          <cell r="H333">
            <v>20930.95</v>
          </cell>
          <cell r="I333">
            <v>20930.95</v>
          </cell>
          <cell r="J333">
            <v>0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5501.24</v>
          </cell>
          <cell r="F340">
            <v>5965</v>
          </cell>
          <cell r="G340">
            <v>-463.76</v>
          </cell>
          <cell r="H340">
            <v>37763.5</v>
          </cell>
          <cell r="I340">
            <v>37763.5</v>
          </cell>
          <cell r="J340">
            <v>0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-33946</v>
          </cell>
          <cell r="J342">
            <v>0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12820.64</v>
          </cell>
          <cell r="F346">
            <v>0</v>
          </cell>
          <cell r="G346">
            <v>12820.64</v>
          </cell>
          <cell r="H346">
            <v>1028.28</v>
          </cell>
          <cell r="I346">
            <v>1028.28</v>
          </cell>
          <cell r="J346">
            <v>0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5089.59</v>
          </cell>
          <cell r="I347">
            <v>5089.59</v>
          </cell>
          <cell r="J347">
            <v>0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206</v>
          </cell>
          <cell r="J349">
            <v>0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11580.61</v>
          </cell>
          <cell r="F351">
            <v>11580.66</v>
          </cell>
          <cell r="G351">
            <v>-4.9999999999272397E-2</v>
          </cell>
          <cell r="H351">
            <v>72269.3</v>
          </cell>
          <cell r="I351">
            <v>72269.3</v>
          </cell>
          <cell r="J351">
            <v>0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129.30000000000001</v>
          </cell>
          <cell r="F352">
            <v>0</v>
          </cell>
          <cell r="G352">
            <v>129.30000000000001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129.30000000000001</v>
          </cell>
          <cell r="F353">
            <v>0</v>
          </cell>
          <cell r="G353">
            <v>129.30000000000001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</v>
          </cell>
          <cell r="G363">
            <v>0</v>
          </cell>
          <cell r="H363">
            <v>54884</v>
          </cell>
          <cell r="I363">
            <v>54884</v>
          </cell>
          <cell r="J363">
            <v>0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262235</v>
          </cell>
          <cell r="G372">
            <v>-262235</v>
          </cell>
          <cell r="H372">
            <v>407051</v>
          </cell>
          <cell r="I372">
            <v>407051</v>
          </cell>
          <cell r="J372">
            <v>0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240.44</v>
          </cell>
          <cell r="G379">
            <v>-240.44</v>
          </cell>
          <cell r="H379">
            <v>2294.64</v>
          </cell>
          <cell r="I379">
            <v>2294.64</v>
          </cell>
          <cell r="J379">
            <v>0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106120.53</v>
          </cell>
          <cell r="G384">
            <v>-106120.53</v>
          </cell>
          <cell r="H384">
            <v>641254.89</v>
          </cell>
          <cell r="I384">
            <v>641254.89</v>
          </cell>
          <cell r="J384">
            <v>0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/>
          </cell>
        </row>
        <row r="387">
          <cell r="A387" t="str">
            <v>6232041010</v>
          </cell>
          <cell r="B387">
            <v>62320</v>
          </cell>
          <cell r="C387">
            <v>41010</v>
          </cell>
          <cell r="D387" t="str">
            <v>Parking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6232041040</v>
          </cell>
          <cell r="B388">
            <v>62320</v>
          </cell>
          <cell r="C388">
            <v>41040</v>
          </cell>
          <cell r="D388" t="str">
            <v>Rental Income FAS 13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</row>
        <row r="389">
          <cell r="A389" t="str">
            <v>6232041050</v>
          </cell>
          <cell r="B389">
            <v>62320</v>
          </cell>
          <cell r="C389">
            <v>41050</v>
          </cell>
          <cell r="D389" t="str">
            <v>Rental Income - Fixed</v>
          </cell>
          <cell r="E389">
            <v>-119894.57</v>
          </cell>
          <cell r="F389">
            <v>-132339.4</v>
          </cell>
          <cell r="G389">
            <v>12444.83</v>
          </cell>
          <cell r="H389">
            <v>-2673566.12</v>
          </cell>
          <cell r="I389">
            <v>-2673566.12</v>
          </cell>
          <cell r="J389">
            <v>0</v>
          </cell>
        </row>
        <row r="390">
          <cell r="A390" t="str">
            <v>6232041074</v>
          </cell>
          <cell r="B390">
            <v>62320</v>
          </cell>
          <cell r="C390">
            <v>41074</v>
          </cell>
          <cell r="D390" t="str">
            <v>Rental Income - Percentage</v>
          </cell>
          <cell r="E390">
            <v>-40195</v>
          </cell>
          <cell r="F390">
            <v>-18141</v>
          </cell>
          <cell r="G390">
            <v>-22054</v>
          </cell>
          <cell r="H390">
            <v>-155942</v>
          </cell>
          <cell r="I390">
            <v>-155942</v>
          </cell>
          <cell r="J390">
            <v>0</v>
          </cell>
        </row>
        <row r="391">
          <cell r="A391" t="str">
            <v>6232041082</v>
          </cell>
          <cell r="B391">
            <v>62320</v>
          </cell>
          <cell r="C391">
            <v>41082</v>
          </cell>
          <cell r="D391" t="str">
            <v>Rental Income - Operating Exp</v>
          </cell>
          <cell r="E391">
            <v>-53011.199999999997</v>
          </cell>
          <cell r="F391">
            <v>-73715.08</v>
          </cell>
          <cell r="G391">
            <v>20703.88</v>
          </cell>
          <cell r="H391">
            <v>-884580.96</v>
          </cell>
          <cell r="I391">
            <v>-884580.96</v>
          </cell>
          <cell r="J391">
            <v>0</v>
          </cell>
        </row>
        <row r="392">
          <cell r="A392" t="str">
            <v>6232044610</v>
          </cell>
          <cell r="B392">
            <v>62320</v>
          </cell>
          <cell r="C392">
            <v>44610</v>
          </cell>
          <cell r="D392" t="str">
            <v>Marketing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6232045071</v>
          </cell>
          <cell r="B393">
            <v>62320</v>
          </cell>
          <cell r="C393">
            <v>45071</v>
          </cell>
          <cell r="D393" t="str">
            <v>Termination Fee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6232045010</v>
          </cell>
          <cell r="B394">
            <v>62320</v>
          </cell>
          <cell r="C394">
            <v>45010</v>
          </cell>
          <cell r="D394" t="str">
            <v>Bad Debt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6232045046</v>
          </cell>
          <cell r="B395">
            <v>62320</v>
          </cell>
          <cell r="C395">
            <v>45046</v>
          </cell>
          <cell r="D395" t="str">
            <v>Mgmt/Consult Fee Income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6232045070</v>
          </cell>
          <cell r="B396">
            <v>62320</v>
          </cell>
          <cell r="C396">
            <v>45070</v>
          </cell>
          <cell r="D396" t="str">
            <v>Other Income</v>
          </cell>
          <cell r="E396">
            <v>-500</v>
          </cell>
          <cell r="F396">
            <v>0</v>
          </cell>
          <cell r="G396">
            <v>-500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6232041060</v>
          </cell>
          <cell r="B397">
            <v>62320</v>
          </cell>
          <cell r="C397">
            <v>41060</v>
          </cell>
          <cell r="D397" t="str">
            <v>Rental Income - Vacancy</v>
          </cell>
          <cell r="E397">
            <v>0</v>
          </cell>
          <cell r="F397">
            <v>6190.17</v>
          </cell>
          <cell r="G397">
            <v>-6190.17</v>
          </cell>
          <cell r="H397">
            <v>74282</v>
          </cell>
          <cell r="I397">
            <v>74282</v>
          </cell>
          <cell r="J397">
            <v>0</v>
          </cell>
        </row>
        <row r="398">
          <cell r="A398" t="str">
            <v>6232044870</v>
          </cell>
          <cell r="B398">
            <v>62320</v>
          </cell>
          <cell r="C398">
            <v>44870</v>
          </cell>
          <cell r="D398" t="str">
            <v>Late Fees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6232052542</v>
          </cell>
          <cell r="B399">
            <v>62320</v>
          </cell>
          <cell r="C399">
            <v>52542</v>
          </cell>
          <cell r="D399" t="str">
            <v>Cost of Tenant Services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</row>
        <row r="400">
          <cell r="A400" t="str">
            <v>6232072710</v>
          </cell>
          <cell r="B400">
            <v>62320</v>
          </cell>
          <cell r="C400">
            <v>72710</v>
          </cell>
          <cell r="D400" t="str">
            <v>Utilities - Electricity</v>
          </cell>
          <cell r="E400">
            <v>2356.15</v>
          </cell>
          <cell r="F400">
            <v>3025.07</v>
          </cell>
          <cell r="G400">
            <v>-668.92</v>
          </cell>
          <cell r="H400">
            <v>39613.370000000003</v>
          </cell>
          <cell r="I400">
            <v>39613.370000000003</v>
          </cell>
          <cell r="J400">
            <v>0</v>
          </cell>
        </row>
        <row r="401">
          <cell r="A401" t="str">
            <v>6232072740</v>
          </cell>
          <cell r="B401">
            <v>62320</v>
          </cell>
          <cell r="C401">
            <v>72740</v>
          </cell>
          <cell r="D401" t="str">
            <v>Utilities - Gas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</row>
        <row r="402">
          <cell r="A402" t="str">
            <v>6232072770</v>
          </cell>
          <cell r="B402">
            <v>62320</v>
          </cell>
          <cell r="C402">
            <v>72770</v>
          </cell>
          <cell r="D402" t="str">
            <v>Utilities - Water</v>
          </cell>
          <cell r="E402">
            <v>1287.54</v>
          </cell>
          <cell r="F402">
            <v>689.16</v>
          </cell>
          <cell r="G402">
            <v>598.38</v>
          </cell>
          <cell r="H402">
            <v>8984.7800000000007</v>
          </cell>
          <cell r="I402">
            <v>8984.7800000000007</v>
          </cell>
          <cell r="J402">
            <v>0</v>
          </cell>
        </row>
        <row r="403">
          <cell r="A403" t="str">
            <v>6232076000</v>
          </cell>
          <cell r="B403">
            <v>62320</v>
          </cell>
          <cell r="C403">
            <v>76000</v>
          </cell>
          <cell r="D403" t="str">
            <v>Bldg Maintenance &amp; Repair</v>
          </cell>
          <cell r="E403">
            <v>210.65</v>
          </cell>
          <cell r="F403">
            <v>1991.18</v>
          </cell>
          <cell r="G403">
            <v>-1780.53</v>
          </cell>
          <cell r="H403">
            <v>44528.47</v>
          </cell>
          <cell r="I403">
            <v>44528.47</v>
          </cell>
          <cell r="J403">
            <v>0</v>
          </cell>
        </row>
        <row r="404">
          <cell r="A404" t="str">
            <v>6232076020</v>
          </cell>
          <cell r="B404">
            <v>62320</v>
          </cell>
          <cell r="C404">
            <v>76020</v>
          </cell>
          <cell r="D404" t="str">
            <v>Food Court Expense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6232076034</v>
          </cell>
          <cell r="B405">
            <v>62320</v>
          </cell>
          <cell r="C405">
            <v>76034</v>
          </cell>
          <cell r="D405" t="str">
            <v>Bldg. - General Repair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</row>
        <row r="406">
          <cell r="A406" t="str">
            <v>6232076050</v>
          </cell>
          <cell r="B406">
            <v>62320</v>
          </cell>
          <cell r="C406">
            <v>76050</v>
          </cell>
          <cell r="D406" t="str">
            <v>Cleaning Expense</v>
          </cell>
          <cell r="E406">
            <v>6825.2</v>
          </cell>
          <cell r="F406">
            <v>7325.6</v>
          </cell>
          <cell r="G406">
            <v>-500.400000000001</v>
          </cell>
          <cell r="H406">
            <v>82104.429999999993</v>
          </cell>
          <cell r="I406">
            <v>82104.429999999993</v>
          </cell>
          <cell r="J406">
            <v>0</v>
          </cell>
        </row>
        <row r="407">
          <cell r="A407" t="str">
            <v>6232076056</v>
          </cell>
          <cell r="B407">
            <v>62320</v>
          </cell>
          <cell r="C407">
            <v>76056</v>
          </cell>
          <cell r="D407" t="str">
            <v>Maintenance - Reimb 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6232076070</v>
          </cell>
          <cell r="B408">
            <v>62320</v>
          </cell>
          <cell r="C408">
            <v>76070</v>
          </cell>
          <cell r="D408" t="str">
            <v>Reimaging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</row>
        <row r="409">
          <cell r="A409" t="str">
            <v>6232076091</v>
          </cell>
          <cell r="B409">
            <v>62320</v>
          </cell>
          <cell r="C409">
            <v>76091</v>
          </cell>
          <cell r="D409" t="str">
            <v>Parking Maintenance</v>
          </cell>
          <cell r="E409">
            <v>4590</v>
          </cell>
          <cell r="F409">
            <v>7568.14</v>
          </cell>
          <cell r="G409">
            <v>-2978.14</v>
          </cell>
          <cell r="H409">
            <v>72494.570000000007</v>
          </cell>
          <cell r="I409">
            <v>72494.570000000007</v>
          </cell>
          <cell r="J409">
            <v>0</v>
          </cell>
        </row>
        <row r="410">
          <cell r="A410" t="str">
            <v>6232077000</v>
          </cell>
          <cell r="B410">
            <v>62320</v>
          </cell>
          <cell r="C410">
            <v>77000</v>
          </cell>
          <cell r="D410" t="str">
            <v>Grounds Maintenance</v>
          </cell>
          <cell r="E410">
            <v>586.33000000000004</v>
          </cell>
          <cell r="F410">
            <v>9384.5300000000007</v>
          </cell>
          <cell r="G410">
            <v>-8798.2000000000007</v>
          </cell>
          <cell r="H410">
            <v>113278.88</v>
          </cell>
          <cell r="I410">
            <v>113278.88</v>
          </cell>
          <cell r="J410">
            <v>0</v>
          </cell>
        </row>
        <row r="411">
          <cell r="A411" t="str">
            <v>6232077053</v>
          </cell>
          <cell r="B411">
            <v>62320</v>
          </cell>
          <cell r="C411">
            <v>77053</v>
          </cell>
          <cell r="D411" t="str">
            <v>Landscaping</v>
          </cell>
          <cell r="E411">
            <v>4825</v>
          </cell>
          <cell r="F411">
            <v>17086.97</v>
          </cell>
          <cell r="G411">
            <v>-12261.97</v>
          </cell>
          <cell r="H411">
            <v>116121.65</v>
          </cell>
          <cell r="I411">
            <v>116121.65</v>
          </cell>
          <cell r="J411">
            <v>0</v>
          </cell>
        </row>
        <row r="412">
          <cell r="A412" t="str">
            <v>6232078020</v>
          </cell>
          <cell r="B412">
            <v>62320</v>
          </cell>
          <cell r="C412">
            <v>78020</v>
          </cell>
          <cell r="D412" t="str">
            <v>Amortized CAM Exp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6232084264</v>
          </cell>
          <cell r="B413">
            <v>62320</v>
          </cell>
          <cell r="C413">
            <v>84264</v>
          </cell>
          <cell r="D413" t="str">
            <v>Mktg-Tenant Relations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6232085555</v>
          </cell>
          <cell r="B414">
            <v>62320</v>
          </cell>
          <cell r="C414">
            <v>85555</v>
          </cell>
          <cell r="D414" t="str">
            <v>Management Fee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</row>
        <row r="415">
          <cell r="A415" t="str">
            <v>6232085584</v>
          </cell>
          <cell r="B415">
            <v>62320</v>
          </cell>
          <cell r="C415">
            <v>85584</v>
          </cell>
          <cell r="D415" t="str">
            <v>Bldg Admin-Office Costs</v>
          </cell>
          <cell r="E415">
            <v>779.13</v>
          </cell>
          <cell r="F415">
            <v>1199</v>
          </cell>
          <cell r="G415">
            <v>-419.87</v>
          </cell>
          <cell r="H415">
            <v>14388</v>
          </cell>
          <cell r="I415">
            <v>14388</v>
          </cell>
          <cell r="J415">
            <v>0</v>
          </cell>
        </row>
        <row r="416">
          <cell r="A416" t="str">
            <v>6232085582</v>
          </cell>
          <cell r="B416">
            <v>62320</v>
          </cell>
          <cell r="C416">
            <v>85582</v>
          </cell>
          <cell r="D416" t="str">
            <v>Bldg Admin-Salaries</v>
          </cell>
          <cell r="E416">
            <v>6956.69</v>
          </cell>
          <cell r="F416">
            <v>6939.42</v>
          </cell>
          <cell r="G416">
            <v>17.269999999999499</v>
          </cell>
          <cell r="H416">
            <v>88808.2</v>
          </cell>
          <cell r="I416">
            <v>88808.2</v>
          </cell>
          <cell r="J416">
            <v>0</v>
          </cell>
        </row>
        <row r="417">
          <cell r="A417" t="str">
            <v>6232086564</v>
          </cell>
          <cell r="B417">
            <v>62320</v>
          </cell>
          <cell r="C417">
            <v>86564</v>
          </cell>
          <cell r="D417" t="str">
            <v>Insurance</v>
          </cell>
          <cell r="E417">
            <v>4353</v>
          </cell>
          <cell r="F417">
            <v>4352.42</v>
          </cell>
          <cell r="G417">
            <v>0.57999999999992702</v>
          </cell>
          <cell r="H417">
            <v>52229</v>
          </cell>
          <cell r="I417">
            <v>52229</v>
          </cell>
          <cell r="J417">
            <v>0</v>
          </cell>
        </row>
        <row r="418">
          <cell r="A418" t="str">
            <v>6232088846</v>
          </cell>
          <cell r="B418">
            <v>62320</v>
          </cell>
          <cell r="C418">
            <v>88846</v>
          </cell>
          <cell r="D418" t="str">
            <v>Expenses -Other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</row>
        <row r="419">
          <cell r="A419" t="str">
            <v>6232088890</v>
          </cell>
          <cell r="B419">
            <v>62320</v>
          </cell>
          <cell r="C419">
            <v>88890</v>
          </cell>
          <cell r="D419" t="str">
            <v>Security/Safety</v>
          </cell>
          <cell r="E419">
            <v>6300</v>
          </cell>
          <cell r="F419">
            <v>8531.75</v>
          </cell>
          <cell r="G419">
            <v>-2231.75</v>
          </cell>
          <cell r="H419">
            <v>102381</v>
          </cell>
          <cell r="I419">
            <v>102381</v>
          </cell>
          <cell r="J419">
            <v>0</v>
          </cell>
        </row>
        <row r="420">
          <cell r="A420" t="str">
            <v>6232089775</v>
          </cell>
          <cell r="B420">
            <v>62320</v>
          </cell>
          <cell r="C420">
            <v>89775</v>
          </cell>
          <cell r="D420" t="str">
            <v>Assmt Dist Taxes- Reimb</v>
          </cell>
          <cell r="E420">
            <v>3854.42</v>
          </cell>
          <cell r="F420">
            <v>3854.42</v>
          </cell>
          <cell r="G420">
            <v>0</v>
          </cell>
          <cell r="H420">
            <v>46253</v>
          </cell>
          <cell r="I420">
            <v>46253</v>
          </cell>
          <cell r="J420">
            <v>0</v>
          </cell>
        </row>
        <row r="421">
          <cell r="A421" t="str">
            <v>6232089729</v>
          </cell>
          <cell r="B421">
            <v>62320</v>
          </cell>
          <cell r="C421">
            <v>89729</v>
          </cell>
          <cell r="D421" t="str">
            <v>Taxes - Miscellaneous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</row>
        <row r="422">
          <cell r="A422" t="str">
            <v>6232089786</v>
          </cell>
          <cell r="B422">
            <v>62320</v>
          </cell>
          <cell r="C422">
            <v>89786</v>
          </cell>
          <cell r="D422" t="str">
            <v>Property Tax Exp</v>
          </cell>
          <cell r="E422">
            <v>15995.92</v>
          </cell>
          <cell r="F422">
            <v>15995.92</v>
          </cell>
          <cell r="G422">
            <v>0</v>
          </cell>
          <cell r="H422">
            <v>191951</v>
          </cell>
          <cell r="I422">
            <v>191951</v>
          </cell>
          <cell r="J422">
            <v>0</v>
          </cell>
        </row>
        <row r="423">
          <cell r="A423" t="str">
            <v>6232071040</v>
          </cell>
          <cell r="B423">
            <v>62320</v>
          </cell>
          <cell r="C423">
            <v>71040</v>
          </cell>
          <cell r="D423" t="str">
            <v>Office Supplies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</row>
        <row r="424">
          <cell r="A424" t="str">
            <v>6232072701</v>
          </cell>
          <cell r="B424">
            <v>62320</v>
          </cell>
          <cell r="C424">
            <v>72701</v>
          </cell>
          <cell r="D424" t="str">
            <v>Utilities</v>
          </cell>
          <cell r="E424">
            <v>0</v>
          </cell>
          <cell r="F424">
            <v>0</v>
          </cell>
          <cell r="G424">
            <v>0</v>
          </cell>
          <cell r="H424">
            <v>424.36</v>
          </cell>
          <cell r="I424">
            <v>424.36</v>
          </cell>
          <cell r="J424">
            <v>0</v>
          </cell>
        </row>
        <row r="425">
          <cell r="A425" t="str">
            <v>6232072855</v>
          </cell>
          <cell r="B425">
            <v>62320</v>
          </cell>
          <cell r="C425">
            <v>72855</v>
          </cell>
          <cell r="D425" t="str">
            <v>Rent Expense-Ground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6232072870</v>
          </cell>
          <cell r="B426">
            <v>62320</v>
          </cell>
          <cell r="C426">
            <v>72870</v>
          </cell>
          <cell r="D426" t="str">
            <v>Office Rent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6232076010</v>
          </cell>
          <cell r="B427">
            <v>62320</v>
          </cell>
          <cell r="C427">
            <v>76010</v>
          </cell>
          <cell r="D427" t="str">
            <v>Tenant Alterations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6232076040</v>
          </cell>
          <cell r="B428">
            <v>62320</v>
          </cell>
          <cell r="C428">
            <v>76040</v>
          </cell>
          <cell r="D428" t="str">
            <v>HVAC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6232076051</v>
          </cell>
          <cell r="B429">
            <v>62320</v>
          </cell>
          <cell r="C429">
            <v>76051</v>
          </cell>
          <cell r="D429" t="str">
            <v>Cleaning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</row>
        <row r="430">
          <cell r="A430" t="str">
            <v>6232076054</v>
          </cell>
          <cell r="B430">
            <v>62320</v>
          </cell>
          <cell r="C430">
            <v>76054</v>
          </cell>
          <cell r="D430" t="str">
            <v>Bldg Maintenance &amp; Repair</v>
          </cell>
          <cell r="E430">
            <v>409.5</v>
          </cell>
          <cell r="F430">
            <v>0</v>
          </cell>
          <cell r="G430">
            <v>409.5</v>
          </cell>
          <cell r="H430">
            <v>777.79</v>
          </cell>
          <cell r="I430">
            <v>777.79</v>
          </cell>
          <cell r="J430">
            <v>0</v>
          </cell>
        </row>
        <row r="431">
          <cell r="A431" t="str">
            <v>6232076060</v>
          </cell>
          <cell r="B431">
            <v>62320</v>
          </cell>
          <cell r="C431">
            <v>76060</v>
          </cell>
          <cell r="D431" t="str">
            <v>Asbestos Abatement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6232076071</v>
          </cell>
          <cell r="B432">
            <v>62320</v>
          </cell>
          <cell r="C432">
            <v>76071</v>
          </cell>
          <cell r="D432" t="str">
            <v>Reimaging Maintenance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6232076090</v>
          </cell>
          <cell r="B433">
            <v>62320</v>
          </cell>
          <cell r="C433">
            <v>76090</v>
          </cell>
          <cell r="D433" t="str">
            <v>Parking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6232077001</v>
          </cell>
          <cell r="B434">
            <v>62320</v>
          </cell>
          <cell r="C434">
            <v>77001</v>
          </cell>
          <cell r="D434" t="str">
            <v>Grounds Maintenance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6232077022</v>
          </cell>
          <cell r="B435">
            <v>62320</v>
          </cell>
          <cell r="C435">
            <v>77022</v>
          </cell>
          <cell r="D435" t="str">
            <v>Landscaping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6232084200</v>
          </cell>
          <cell r="B436">
            <v>62320</v>
          </cell>
          <cell r="C436">
            <v>84200</v>
          </cell>
          <cell r="D436" t="str">
            <v>Marketing-Other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</row>
        <row r="437">
          <cell r="A437" t="str">
            <v>6232084240</v>
          </cell>
          <cell r="B437">
            <v>62320</v>
          </cell>
          <cell r="C437">
            <v>84240</v>
          </cell>
          <cell r="D437" t="str">
            <v>Marketing Leasing</v>
          </cell>
          <cell r="E437">
            <v>2373.5</v>
          </cell>
          <cell r="F437">
            <v>2635.67</v>
          </cell>
          <cell r="G437">
            <v>-262.17</v>
          </cell>
          <cell r="H437">
            <v>33321.699999999997</v>
          </cell>
          <cell r="I437">
            <v>33321.699999999997</v>
          </cell>
          <cell r="J437">
            <v>0</v>
          </cell>
        </row>
        <row r="438">
          <cell r="A438" t="str">
            <v>6232084242</v>
          </cell>
          <cell r="B438">
            <v>62320</v>
          </cell>
          <cell r="C438">
            <v>84242</v>
          </cell>
          <cell r="D438" t="str">
            <v>Marketing-Subsidy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6232084243</v>
          </cell>
          <cell r="B439">
            <v>62320</v>
          </cell>
          <cell r="C439">
            <v>84243</v>
          </cell>
          <cell r="D439" t="str">
            <v>Marketing Coordination</v>
          </cell>
          <cell r="E439">
            <v>0</v>
          </cell>
          <cell r="F439">
            <v>0</v>
          </cell>
          <cell r="G439">
            <v>0</v>
          </cell>
          <cell r="H439">
            <v>-27397</v>
          </cell>
          <cell r="I439">
            <v>-27397</v>
          </cell>
          <cell r="J439">
            <v>0</v>
          </cell>
        </row>
        <row r="440">
          <cell r="A440" t="str">
            <v>6232084244</v>
          </cell>
          <cell r="B440">
            <v>62320</v>
          </cell>
          <cell r="C440">
            <v>84244</v>
          </cell>
          <cell r="D440" t="str">
            <v>Marketing-Net Required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6232084265</v>
          </cell>
          <cell r="B441">
            <v>62320</v>
          </cell>
          <cell r="C441">
            <v>84265</v>
          </cell>
          <cell r="D441" t="str">
            <v>Marketing -TR-Non-Reimb.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6232088037</v>
          </cell>
          <cell r="B442">
            <v>62320</v>
          </cell>
          <cell r="C442">
            <v>88037</v>
          </cell>
          <cell r="D442" t="str">
            <v>Marketing - Leasing Office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</row>
        <row r="443">
          <cell r="A443" t="str">
            <v>6232085016</v>
          </cell>
          <cell r="B443">
            <v>62320</v>
          </cell>
          <cell r="C443">
            <v>85016</v>
          </cell>
          <cell r="D443" t="str">
            <v>Prof Svc-Attorney Outside</v>
          </cell>
          <cell r="E443">
            <v>0</v>
          </cell>
          <cell r="F443">
            <v>0</v>
          </cell>
          <cell r="G443">
            <v>0</v>
          </cell>
          <cell r="H443">
            <v>2626.24</v>
          </cell>
          <cell r="I443">
            <v>2626.24</v>
          </cell>
          <cell r="J443">
            <v>0</v>
          </cell>
        </row>
        <row r="444">
          <cell r="A444" t="str">
            <v>6232085022</v>
          </cell>
          <cell r="B444">
            <v>62320</v>
          </cell>
          <cell r="C444">
            <v>85022</v>
          </cell>
          <cell r="D444" t="str">
            <v>Prof Svc-Audit/Acctng</v>
          </cell>
          <cell r="E444">
            <v>0</v>
          </cell>
          <cell r="F444">
            <v>0</v>
          </cell>
          <cell r="G444">
            <v>0</v>
          </cell>
          <cell r="H444">
            <v>2572.27</v>
          </cell>
          <cell r="I444">
            <v>2572.27</v>
          </cell>
          <cell r="J444">
            <v>0</v>
          </cell>
        </row>
        <row r="445">
          <cell r="A445" t="str">
            <v>6232085065</v>
          </cell>
          <cell r="B445">
            <v>62320</v>
          </cell>
          <cell r="C445">
            <v>85065</v>
          </cell>
          <cell r="D445" t="str">
            <v>Professional Services Other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6232085500</v>
          </cell>
          <cell r="B446">
            <v>62320</v>
          </cell>
          <cell r="C446">
            <v>85500</v>
          </cell>
          <cell r="D446" t="str">
            <v>Consulting Services</v>
          </cell>
          <cell r="E446">
            <v>0</v>
          </cell>
          <cell r="F446">
            <v>0</v>
          </cell>
          <cell r="G446">
            <v>0</v>
          </cell>
          <cell r="H446">
            <v>7308.89</v>
          </cell>
          <cell r="I446">
            <v>7308.89</v>
          </cell>
          <cell r="J446">
            <v>0</v>
          </cell>
        </row>
        <row r="447">
          <cell r="A447" t="str">
            <v>6232085566</v>
          </cell>
          <cell r="B447">
            <v>62320</v>
          </cell>
          <cell r="C447">
            <v>85566</v>
          </cell>
          <cell r="D447" t="str">
            <v>Management Fee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</row>
        <row r="448">
          <cell r="A448" t="str">
            <v>6232085581</v>
          </cell>
          <cell r="B448">
            <v>62320</v>
          </cell>
          <cell r="C448">
            <v>85581</v>
          </cell>
          <cell r="D448" t="str">
            <v>Bldg Admin- Salaries</v>
          </cell>
          <cell r="E448">
            <v>5387.4</v>
          </cell>
          <cell r="F448">
            <v>5382.67</v>
          </cell>
          <cell r="G448">
            <v>4.7299999999995599</v>
          </cell>
          <cell r="H448">
            <v>67774.7</v>
          </cell>
          <cell r="I448">
            <v>67774.7</v>
          </cell>
          <cell r="J448">
            <v>0</v>
          </cell>
        </row>
        <row r="449">
          <cell r="A449" t="str">
            <v>6232085583</v>
          </cell>
          <cell r="B449">
            <v>62320</v>
          </cell>
          <cell r="C449">
            <v>85583</v>
          </cell>
          <cell r="D449" t="str">
            <v>Bldg Admin-Office Exp.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6232085530</v>
          </cell>
          <cell r="B450">
            <v>62320</v>
          </cell>
          <cell r="C450">
            <v>85530</v>
          </cell>
          <cell r="D450" t="str">
            <v>Bldg Admin - Office Exp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6232086012</v>
          </cell>
          <cell r="B451">
            <v>62320</v>
          </cell>
          <cell r="C451">
            <v>86012</v>
          </cell>
          <cell r="D451" t="str">
            <v>Regional Employee Parking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6232086037</v>
          </cell>
          <cell r="B452">
            <v>62320</v>
          </cell>
          <cell r="C452">
            <v>86037</v>
          </cell>
          <cell r="D452" t="str">
            <v>Travel &amp; Entertainment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6232083050</v>
          </cell>
          <cell r="B453">
            <v>62320</v>
          </cell>
          <cell r="C453">
            <v>83050</v>
          </cell>
          <cell r="D453" t="str">
            <v>Regional Employee Travel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6232086510</v>
          </cell>
          <cell r="B454">
            <v>62320</v>
          </cell>
          <cell r="C454">
            <v>86510</v>
          </cell>
          <cell r="D454" t="str">
            <v>Leasing Admin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6232086537</v>
          </cell>
          <cell r="B455">
            <v>62320</v>
          </cell>
          <cell r="C455">
            <v>86537</v>
          </cell>
          <cell r="D455" t="str">
            <v>Fees-Credit Reports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6232086566</v>
          </cell>
          <cell r="B456">
            <v>62320</v>
          </cell>
          <cell r="C456">
            <v>86566</v>
          </cell>
          <cell r="D456" t="str">
            <v>Insurance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6232086955</v>
          </cell>
          <cell r="B457">
            <v>62320</v>
          </cell>
          <cell r="C457">
            <v>86955</v>
          </cell>
          <cell r="D457" t="str">
            <v>Regional Temporary Labor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6232086985</v>
          </cell>
          <cell r="B458">
            <v>62320</v>
          </cell>
          <cell r="C458">
            <v>86985</v>
          </cell>
          <cell r="D458" t="str">
            <v>Purchased Svcs _ Other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6232086880</v>
          </cell>
          <cell r="B459">
            <v>62320</v>
          </cell>
          <cell r="C459">
            <v>86880</v>
          </cell>
          <cell r="D459" t="str">
            <v>Telephone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</row>
        <row r="460">
          <cell r="A460" t="str">
            <v>6232088710</v>
          </cell>
          <cell r="B460">
            <v>62320</v>
          </cell>
          <cell r="C460">
            <v>88710</v>
          </cell>
          <cell r="D460" t="str">
            <v>Losses-Bad Debts</v>
          </cell>
          <cell r="E460">
            <v>0</v>
          </cell>
          <cell r="F460">
            <v>0</v>
          </cell>
          <cell r="G460">
            <v>0</v>
          </cell>
          <cell r="H460">
            <v>74280</v>
          </cell>
          <cell r="I460">
            <v>74280</v>
          </cell>
          <cell r="J460">
            <v>0</v>
          </cell>
        </row>
        <row r="461">
          <cell r="A461" t="str">
            <v>6232088711</v>
          </cell>
          <cell r="B461">
            <v>62320</v>
          </cell>
          <cell r="C461">
            <v>88711</v>
          </cell>
          <cell r="D461" t="str">
            <v>Losses-Bad Debts- FASB 13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6232088785</v>
          </cell>
          <cell r="B462">
            <v>62320</v>
          </cell>
          <cell r="C462">
            <v>88785</v>
          </cell>
          <cell r="D462" t="str">
            <v>Losses-Uninsured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6232088847</v>
          </cell>
          <cell r="B463">
            <v>62320</v>
          </cell>
          <cell r="C463">
            <v>88847</v>
          </cell>
          <cell r="D463" t="str">
            <v>Expenses - Other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6232088866</v>
          </cell>
          <cell r="B464">
            <v>62320</v>
          </cell>
          <cell r="C464">
            <v>88866</v>
          </cell>
          <cell r="D464" t="str">
            <v>Legal Settlements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6232088870</v>
          </cell>
          <cell r="B465">
            <v>62320</v>
          </cell>
          <cell r="C465">
            <v>88870</v>
          </cell>
          <cell r="D465" t="str">
            <v>Backside Dist-O/S Partner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6232088889</v>
          </cell>
          <cell r="B466">
            <v>62320</v>
          </cell>
          <cell r="C466">
            <v>88889</v>
          </cell>
          <cell r="D466" t="str">
            <v>Security/Safety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6232089776</v>
          </cell>
          <cell r="B467">
            <v>62320</v>
          </cell>
          <cell r="C467">
            <v>89776</v>
          </cell>
          <cell r="D467" t="str">
            <v>Assmt Dist Taxes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6232089787</v>
          </cell>
          <cell r="B468">
            <v>62320</v>
          </cell>
          <cell r="C468">
            <v>89787</v>
          </cell>
          <cell r="D468" t="str">
            <v>Property Tax Exp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6232089510</v>
          </cell>
          <cell r="B469">
            <v>62320</v>
          </cell>
          <cell r="C469">
            <v>89510</v>
          </cell>
          <cell r="D469" t="str">
            <v>Interest Expense - General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6232089511</v>
          </cell>
          <cell r="B470">
            <v>62320</v>
          </cell>
          <cell r="C470">
            <v>89511</v>
          </cell>
          <cell r="D470" t="str">
            <v>Interest Expense - Swap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6232089512</v>
          </cell>
          <cell r="B471">
            <v>62320</v>
          </cell>
          <cell r="C471">
            <v>89512</v>
          </cell>
          <cell r="D471" t="str">
            <v>Interest Expense - Accrual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6232089528</v>
          </cell>
          <cell r="B472">
            <v>62320</v>
          </cell>
          <cell r="C472">
            <v>89528</v>
          </cell>
          <cell r="D472" t="str">
            <v>Interest Expense - Loan Fees-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6232089529</v>
          </cell>
          <cell r="B473">
            <v>62320</v>
          </cell>
          <cell r="C473">
            <v>89529</v>
          </cell>
          <cell r="D473" t="str">
            <v>Interest Expense - Loan Fee A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6232089567</v>
          </cell>
          <cell r="B474">
            <v>62320</v>
          </cell>
          <cell r="C474">
            <v>89567</v>
          </cell>
          <cell r="D474" t="str">
            <v>Interest Expense - TIC/Partne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6232085058</v>
          </cell>
          <cell r="B475">
            <v>62320</v>
          </cell>
          <cell r="C475">
            <v>85058</v>
          </cell>
          <cell r="D475" t="str">
            <v>Legal Fee Amort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6232086513</v>
          </cell>
          <cell r="B476">
            <v>62320</v>
          </cell>
          <cell r="C476">
            <v>86513</v>
          </cell>
          <cell r="D476" t="str">
            <v>Leasing Commission Amort</v>
          </cell>
          <cell r="E476">
            <v>0</v>
          </cell>
          <cell r="F476">
            <v>189.04</v>
          </cell>
          <cell r="G476">
            <v>-189.04</v>
          </cell>
          <cell r="H476">
            <v>15893.1</v>
          </cell>
          <cell r="I476">
            <v>15893.1</v>
          </cell>
          <cell r="J476">
            <v>0</v>
          </cell>
        </row>
        <row r="477">
          <cell r="A477" t="str">
            <v>6232086519</v>
          </cell>
          <cell r="B477">
            <v>62320</v>
          </cell>
          <cell r="C477">
            <v>86519</v>
          </cell>
          <cell r="D477" t="str">
            <v>Fees-Appraisal Amort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6232088770</v>
          </cell>
          <cell r="B478">
            <v>62320</v>
          </cell>
          <cell r="C478">
            <v>88770</v>
          </cell>
          <cell r="D478" t="str">
            <v>Losses-Prop Abandon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6232088862</v>
          </cell>
          <cell r="B479">
            <v>62320</v>
          </cell>
          <cell r="C479">
            <v>88862</v>
          </cell>
          <cell r="D479" t="str">
            <v>Lease Buy-Out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6232088874</v>
          </cell>
          <cell r="B480">
            <v>62320</v>
          </cell>
          <cell r="C480">
            <v>88874</v>
          </cell>
          <cell r="D480" t="str">
            <v>Organization Cost Amort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</row>
        <row r="481">
          <cell r="A481" t="str">
            <v>6232089910</v>
          </cell>
          <cell r="B481">
            <v>62320</v>
          </cell>
          <cell r="C481">
            <v>89910</v>
          </cell>
          <cell r="D481" t="str">
            <v>Depreciation</v>
          </cell>
          <cell r="E481">
            <v>0</v>
          </cell>
          <cell r="F481">
            <v>76560.490000000005</v>
          </cell>
          <cell r="G481">
            <v>-76560.490000000005</v>
          </cell>
          <cell r="H481">
            <v>969670.88</v>
          </cell>
          <cell r="I481">
            <v>969670.88</v>
          </cell>
          <cell r="J481">
            <v>0</v>
          </cell>
        </row>
        <row r="482">
          <cell r="A482" t="str">
            <v>6232089548</v>
          </cell>
          <cell r="B482">
            <v>62320</v>
          </cell>
          <cell r="C482">
            <v>89548</v>
          </cell>
          <cell r="D482" t="str">
            <v>Other Amortized Cost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6252641010</v>
          </cell>
          <cell r="B483">
            <v>62526</v>
          </cell>
          <cell r="C483">
            <v>41010</v>
          </cell>
          <cell r="D483" t="str">
            <v>Parking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6252641040</v>
          </cell>
          <cell r="B484">
            <v>62526</v>
          </cell>
          <cell r="C484">
            <v>41040</v>
          </cell>
          <cell r="D484" t="str">
            <v>Rental Income FAS 13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</row>
        <row r="485">
          <cell r="A485" t="str">
            <v>6252641050</v>
          </cell>
          <cell r="B485">
            <v>62526</v>
          </cell>
          <cell r="C485">
            <v>41050</v>
          </cell>
          <cell r="D485" t="str">
            <v>Rental Income - Fixed</v>
          </cell>
          <cell r="E485">
            <v>-390381.15</v>
          </cell>
          <cell r="F485">
            <v>-433727.56</v>
          </cell>
          <cell r="G485">
            <v>43346.41</v>
          </cell>
          <cell r="H485">
            <v>-1789624.49</v>
          </cell>
          <cell r="I485">
            <v>-1789624.49</v>
          </cell>
          <cell r="J485">
            <v>0</v>
          </cell>
        </row>
        <row r="486">
          <cell r="A486" t="str">
            <v>6252641074</v>
          </cell>
          <cell r="B486">
            <v>62526</v>
          </cell>
          <cell r="C486">
            <v>41074</v>
          </cell>
          <cell r="D486" t="str">
            <v>Rental Income - Percentage</v>
          </cell>
          <cell r="E486">
            <v>-1018.91</v>
          </cell>
          <cell r="F486">
            <v>0</v>
          </cell>
          <cell r="G486">
            <v>-1018.91</v>
          </cell>
          <cell r="H486">
            <v>0</v>
          </cell>
          <cell r="I486">
            <v>0</v>
          </cell>
          <cell r="J486">
            <v>0</v>
          </cell>
        </row>
        <row r="487">
          <cell r="A487" t="str">
            <v>6252641082</v>
          </cell>
          <cell r="B487">
            <v>62526</v>
          </cell>
          <cell r="C487">
            <v>41082</v>
          </cell>
          <cell r="D487" t="str">
            <v>Rental Income - Operating Exp</v>
          </cell>
          <cell r="E487">
            <v>-162848.31</v>
          </cell>
          <cell r="F487">
            <v>-166042.04999999999</v>
          </cell>
          <cell r="G487">
            <v>3193.7399999999898</v>
          </cell>
          <cell r="H487">
            <v>-664168.19999999995</v>
          </cell>
          <cell r="I487">
            <v>-664168.19999999995</v>
          </cell>
          <cell r="J487">
            <v>0</v>
          </cell>
        </row>
        <row r="488">
          <cell r="A488" t="str">
            <v>6252644610</v>
          </cell>
          <cell r="B488">
            <v>62526</v>
          </cell>
          <cell r="C488">
            <v>44610</v>
          </cell>
          <cell r="D488" t="str">
            <v>Marketing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6252645071</v>
          </cell>
          <cell r="B489">
            <v>62526</v>
          </cell>
          <cell r="C489">
            <v>45071</v>
          </cell>
          <cell r="D489" t="str">
            <v>Termination Fee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6252645010</v>
          </cell>
          <cell r="B490">
            <v>62526</v>
          </cell>
          <cell r="C490">
            <v>45010</v>
          </cell>
          <cell r="D490" t="str">
            <v>Bad Debt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6252645046</v>
          </cell>
          <cell r="B491">
            <v>62526</v>
          </cell>
          <cell r="C491">
            <v>45046</v>
          </cell>
          <cell r="D491" t="str">
            <v>Mgmt/Consult Fee Income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6252645070</v>
          </cell>
          <cell r="B492">
            <v>62526</v>
          </cell>
          <cell r="C492">
            <v>45070</v>
          </cell>
          <cell r="D492" t="str">
            <v>Other Income</v>
          </cell>
          <cell r="E492">
            <v>-1297.1300000000001</v>
          </cell>
          <cell r="F492">
            <v>0</v>
          </cell>
          <cell r="G492">
            <v>-1297.1300000000001</v>
          </cell>
          <cell r="H492">
            <v>-61.8</v>
          </cell>
          <cell r="I492">
            <v>-61.8</v>
          </cell>
          <cell r="J492">
            <v>0</v>
          </cell>
        </row>
        <row r="493">
          <cell r="A493" t="str">
            <v>6252641060</v>
          </cell>
          <cell r="B493">
            <v>62526</v>
          </cell>
          <cell r="C493">
            <v>41060</v>
          </cell>
          <cell r="D493" t="str">
            <v>Rental Income - Vacancy</v>
          </cell>
          <cell r="E493">
            <v>0</v>
          </cell>
          <cell r="F493">
            <v>9200.01</v>
          </cell>
          <cell r="G493">
            <v>-9200.01</v>
          </cell>
          <cell r="H493">
            <v>36800</v>
          </cell>
          <cell r="I493">
            <v>36800</v>
          </cell>
          <cell r="J493">
            <v>0</v>
          </cell>
        </row>
        <row r="494">
          <cell r="A494" t="str">
            <v>6252644870</v>
          </cell>
          <cell r="B494">
            <v>62526</v>
          </cell>
          <cell r="C494">
            <v>44870</v>
          </cell>
          <cell r="D494" t="str">
            <v>Late Fees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6252652542</v>
          </cell>
          <cell r="B495">
            <v>62526</v>
          </cell>
          <cell r="C495">
            <v>52542</v>
          </cell>
          <cell r="D495" t="str">
            <v>Cost of Tenant Services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</row>
        <row r="496">
          <cell r="A496" t="str">
            <v>6252672710</v>
          </cell>
          <cell r="B496">
            <v>62526</v>
          </cell>
          <cell r="C496">
            <v>72710</v>
          </cell>
          <cell r="D496" t="str">
            <v>Utilities - Electricity</v>
          </cell>
          <cell r="E496">
            <v>6259.83</v>
          </cell>
          <cell r="F496">
            <v>8132.41</v>
          </cell>
          <cell r="G496">
            <v>-1872.58</v>
          </cell>
          <cell r="H496">
            <v>36075.870000000003</v>
          </cell>
          <cell r="I496">
            <v>36075.870000000003</v>
          </cell>
          <cell r="J496">
            <v>0</v>
          </cell>
        </row>
        <row r="497">
          <cell r="A497" t="str">
            <v>6252672740</v>
          </cell>
          <cell r="B497">
            <v>62526</v>
          </cell>
          <cell r="C497">
            <v>72740</v>
          </cell>
          <cell r="D497" t="str">
            <v>Utilities - Gas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</row>
        <row r="498">
          <cell r="A498" t="str">
            <v>6252672770</v>
          </cell>
          <cell r="B498">
            <v>62526</v>
          </cell>
          <cell r="C498">
            <v>72770</v>
          </cell>
          <cell r="D498" t="str">
            <v>Utilities - Water</v>
          </cell>
          <cell r="E498">
            <v>3324.8</v>
          </cell>
          <cell r="F498">
            <v>2555.4499999999998</v>
          </cell>
          <cell r="G498">
            <v>769.35</v>
          </cell>
          <cell r="H498">
            <v>9892.92</v>
          </cell>
          <cell r="I498">
            <v>9892.92</v>
          </cell>
          <cell r="J498">
            <v>0</v>
          </cell>
        </row>
        <row r="499">
          <cell r="A499" t="str">
            <v>6252676000</v>
          </cell>
          <cell r="B499">
            <v>62526</v>
          </cell>
          <cell r="C499">
            <v>76000</v>
          </cell>
          <cell r="D499" t="str">
            <v>Bldg Maintenance &amp; Repair</v>
          </cell>
          <cell r="E499">
            <v>13066.33</v>
          </cell>
          <cell r="F499">
            <v>7204.23</v>
          </cell>
          <cell r="G499">
            <v>5862.1</v>
          </cell>
          <cell r="H499">
            <v>47192.08</v>
          </cell>
          <cell r="I499">
            <v>47192.08</v>
          </cell>
          <cell r="J499">
            <v>0</v>
          </cell>
        </row>
        <row r="500">
          <cell r="A500" t="str">
            <v>6252676020</v>
          </cell>
          <cell r="B500">
            <v>62526</v>
          </cell>
          <cell r="C500">
            <v>76020</v>
          </cell>
          <cell r="D500" t="str">
            <v>Food Court Expense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6252676034</v>
          </cell>
          <cell r="B501">
            <v>62526</v>
          </cell>
          <cell r="C501">
            <v>76034</v>
          </cell>
          <cell r="D501" t="str">
            <v>Bldg. - General Repair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</row>
        <row r="502">
          <cell r="A502" t="str">
            <v>6252676050</v>
          </cell>
          <cell r="B502">
            <v>62526</v>
          </cell>
          <cell r="C502">
            <v>76050</v>
          </cell>
          <cell r="D502" t="str">
            <v>Cleaning Expense</v>
          </cell>
          <cell r="E502">
            <v>20428.7</v>
          </cell>
          <cell r="F502">
            <v>17977.5</v>
          </cell>
          <cell r="G502">
            <v>2451.1999999999998</v>
          </cell>
          <cell r="H502">
            <v>73798.12</v>
          </cell>
          <cell r="I502">
            <v>73798.12</v>
          </cell>
          <cell r="J502">
            <v>0</v>
          </cell>
        </row>
        <row r="503">
          <cell r="A503" t="str">
            <v>6252676056</v>
          </cell>
          <cell r="B503">
            <v>62526</v>
          </cell>
          <cell r="C503">
            <v>76056</v>
          </cell>
          <cell r="D503" t="str">
            <v>Maintenance - Reimb 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6252676070</v>
          </cell>
          <cell r="B504">
            <v>62526</v>
          </cell>
          <cell r="C504">
            <v>76070</v>
          </cell>
          <cell r="D504" t="str">
            <v>Reimaging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</row>
        <row r="505">
          <cell r="A505" t="str">
            <v>6252676091</v>
          </cell>
          <cell r="B505">
            <v>62526</v>
          </cell>
          <cell r="C505">
            <v>76091</v>
          </cell>
          <cell r="D505" t="str">
            <v>Parking Maintenance</v>
          </cell>
          <cell r="E505">
            <v>15036.82</v>
          </cell>
          <cell r="F505">
            <v>45785.96</v>
          </cell>
          <cell r="G505">
            <v>-30749.14</v>
          </cell>
          <cell r="H505">
            <v>90407.29</v>
          </cell>
          <cell r="I505">
            <v>90407.29</v>
          </cell>
          <cell r="J505">
            <v>0</v>
          </cell>
        </row>
        <row r="506">
          <cell r="A506" t="str">
            <v>6252677000</v>
          </cell>
          <cell r="B506">
            <v>62526</v>
          </cell>
          <cell r="C506">
            <v>77000</v>
          </cell>
          <cell r="D506" t="str">
            <v>Grounds Maintenance</v>
          </cell>
          <cell r="E506">
            <v>15001.3</v>
          </cell>
          <cell r="F506">
            <v>21599.32</v>
          </cell>
          <cell r="G506">
            <v>-6598.02</v>
          </cell>
          <cell r="H506">
            <v>47531.49</v>
          </cell>
          <cell r="I506">
            <v>47531.49</v>
          </cell>
          <cell r="J506">
            <v>0</v>
          </cell>
        </row>
        <row r="507">
          <cell r="A507" t="str">
            <v>6252677053</v>
          </cell>
          <cell r="B507">
            <v>62526</v>
          </cell>
          <cell r="C507">
            <v>77053</v>
          </cell>
          <cell r="D507" t="str">
            <v>Landscaping</v>
          </cell>
          <cell r="E507">
            <v>9750</v>
          </cell>
          <cell r="F507">
            <v>19432.05</v>
          </cell>
          <cell r="G507">
            <v>-9682.0499999999993</v>
          </cell>
          <cell r="H507">
            <v>100977.44</v>
          </cell>
          <cell r="I507">
            <v>100977.44</v>
          </cell>
          <cell r="J507">
            <v>0</v>
          </cell>
        </row>
        <row r="508">
          <cell r="A508" t="str">
            <v>6252678020</v>
          </cell>
          <cell r="B508">
            <v>62526</v>
          </cell>
          <cell r="C508">
            <v>78020</v>
          </cell>
          <cell r="D508" t="str">
            <v>Amortized CAM Exp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6252684264</v>
          </cell>
          <cell r="B509">
            <v>62526</v>
          </cell>
          <cell r="C509">
            <v>84264</v>
          </cell>
          <cell r="D509" t="str">
            <v>Mktg-Tenant Relations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6252685555</v>
          </cell>
          <cell r="B510">
            <v>62526</v>
          </cell>
          <cell r="C510">
            <v>85555</v>
          </cell>
          <cell r="D510" t="str">
            <v>Management Fee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</row>
        <row r="511">
          <cell r="A511" t="str">
            <v>6252685584</v>
          </cell>
          <cell r="B511">
            <v>62526</v>
          </cell>
          <cell r="C511">
            <v>85584</v>
          </cell>
          <cell r="D511" t="str">
            <v>Bldg Admin-Office Costs</v>
          </cell>
          <cell r="E511">
            <v>1399.39</v>
          </cell>
          <cell r="F511">
            <v>1399.26</v>
          </cell>
          <cell r="G511">
            <v>0.130000000000109</v>
          </cell>
          <cell r="H511">
            <v>5597</v>
          </cell>
          <cell r="I511">
            <v>5597</v>
          </cell>
          <cell r="J511">
            <v>0</v>
          </cell>
        </row>
        <row r="512">
          <cell r="A512" t="str">
            <v>6252685582</v>
          </cell>
          <cell r="B512">
            <v>62526</v>
          </cell>
          <cell r="C512">
            <v>85582</v>
          </cell>
          <cell r="D512" t="str">
            <v>Bldg Admin-Salaries</v>
          </cell>
          <cell r="E512">
            <v>8098.56</v>
          </cell>
          <cell r="F512">
            <v>8098.5</v>
          </cell>
          <cell r="G512">
            <v>6.0000000000400198E-2</v>
          </cell>
          <cell r="H512">
            <v>34548</v>
          </cell>
          <cell r="I512">
            <v>34548</v>
          </cell>
          <cell r="J512">
            <v>0</v>
          </cell>
        </row>
        <row r="513">
          <cell r="A513" t="str">
            <v>6252686564</v>
          </cell>
          <cell r="B513">
            <v>62526</v>
          </cell>
          <cell r="C513">
            <v>86564</v>
          </cell>
          <cell r="D513" t="str">
            <v>Insurance</v>
          </cell>
          <cell r="E513">
            <v>5038</v>
          </cell>
          <cell r="F513">
            <v>5037.99</v>
          </cell>
          <cell r="G513">
            <v>1.00000000002183E-2</v>
          </cell>
          <cell r="H513">
            <v>20152</v>
          </cell>
          <cell r="I513">
            <v>20152</v>
          </cell>
          <cell r="J513">
            <v>0</v>
          </cell>
        </row>
        <row r="514">
          <cell r="A514" t="str">
            <v>6252688846</v>
          </cell>
          <cell r="B514">
            <v>62526</v>
          </cell>
          <cell r="C514">
            <v>88846</v>
          </cell>
          <cell r="D514" t="str">
            <v>Expenses -Other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</row>
        <row r="515">
          <cell r="A515" t="str">
            <v>6252688890</v>
          </cell>
          <cell r="B515">
            <v>62526</v>
          </cell>
          <cell r="C515">
            <v>88890</v>
          </cell>
          <cell r="D515" t="str">
            <v>Security/Safety</v>
          </cell>
          <cell r="E515">
            <v>1888</v>
          </cell>
          <cell r="F515">
            <v>2499.9899999999998</v>
          </cell>
          <cell r="G515">
            <v>-611.99</v>
          </cell>
          <cell r="H515">
            <v>10000</v>
          </cell>
          <cell r="I515">
            <v>10000</v>
          </cell>
          <cell r="J515">
            <v>0</v>
          </cell>
        </row>
        <row r="516">
          <cell r="A516" t="str">
            <v>6252689775</v>
          </cell>
          <cell r="B516">
            <v>62526</v>
          </cell>
          <cell r="C516">
            <v>89775</v>
          </cell>
          <cell r="D516" t="str">
            <v>Assmt Dist Taxes- Reimb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6252689729</v>
          </cell>
          <cell r="B517">
            <v>62526</v>
          </cell>
          <cell r="C517">
            <v>89729</v>
          </cell>
          <cell r="D517" t="str">
            <v>Taxes - Miscellaneous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</row>
        <row r="518">
          <cell r="A518" t="str">
            <v>6252689786</v>
          </cell>
          <cell r="B518">
            <v>62526</v>
          </cell>
          <cell r="C518">
            <v>89786</v>
          </cell>
          <cell r="D518" t="str">
            <v>Property Tax Exp</v>
          </cell>
          <cell r="E518">
            <v>30409.74</v>
          </cell>
          <cell r="F518">
            <v>30409.74</v>
          </cell>
          <cell r="G518">
            <v>0</v>
          </cell>
          <cell r="H518">
            <v>121639</v>
          </cell>
          <cell r="I518">
            <v>121639</v>
          </cell>
          <cell r="J518">
            <v>0</v>
          </cell>
        </row>
        <row r="519">
          <cell r="A519" t="str">
            <v>6252671040</v>
          </cell>
          <cell r="B519">
            <v>62526</v>
          </cell>
          <cell r="C519">
            <v>71040</v>
          </cell>
          <cell r="D519" t="str">
            <v>Office Supplies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6252672701</v>
          </cell>
          <cell r="B520">
            <v>62526</v>
          </cell>
          <cell r="C520">
            <v>72701</v>
          </cell>
          <cell r="D520" t="str">
            <v>Utilities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6252672855</v>
          </cell>
          <cell r="B521">
            <v>62526</v>
          </cell>
          <cell r="C521">
            <v>72855</v>
          </cell>
          <cell r="D521" t="str">
            <v>Rent Expense-Ground</v>
          </cell>
          <cell r="E521">
            <v>87500.01</v>
          </cell>
          <cell r="F521">
            <v>87500.01</v>
          </cell>
          <cell r="G521">
            <v>0</v>
          </cell>
          <cell r="H521">
            <v>350000</v>
          </cell>
          <cell r="I521">
            <v>350000</v>
          </cell>
          <cell r="J521">
            <v>0</v>
          </cell>
        </row>
        <row r="522">
          <cell r="A522" t="str">
            <v>6252672870</v>
          </cell>
          <cell r="B522">
            <v>62526</v>
          </cell>
          <cell r="C522">
            <v>72870</v>
          </cell>
          <cell r="D522" t="str">
            <v>Office Rent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6252676010</v>
          </cell>
          <cell r="B523">
            <v>62526</v>
          </cell>
          <cell r="C523">
            <v>76010</v>
          </cell>
          <cell r="D523" t="str">
            <v>Tenant Alterations</v>
          </cell>
          <cell r="E523">
            <v>40.64</v>
          </cell>
          <cell r="F523">
            <v>0</v>
          </cell>
          <cell r="G523">
            <v>40.64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6252676040</v>
          </cell>
          <cell r="B524">
            <v>62526</v>
          </cell>
          <cell r="C524">
            <v>76040</v>
          </cell>
          <cell r="D524" t="str">
            <v>HVAC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6252676051</v>
          </cell>
          <cell r="B525">
            <v>62526</v>
          </cell>
          <cell r="C525">
            <v>76051</v>
          </cell>
          <cell r="D525" t="str">
            <v>Cleaning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</row>
        <row r="526">
          <cell r="A526" t="str">
            <v>6252676054</v>
          </cell>
          <cell r="B526">
            <v>62526</v>
          </cell>
          <cell r="C526">
            <v>76054</v>
          </cell>
          <cell r="D526" t="str">
            <v>Bldg Maintenance &amp; Repair</v>
          </cell>
          <cell r="E526">
            <v>897</v>
          </cell>
          <cell r="F526">
            <v>0</v>
          </cell>
          <cell r="G526">
            <v>897</v>
          </cell>
          <cell r="H526">
            <v>541.86</v>
          </cell>
          <cell r="I526">
            <v>541.86</v>
          </cell>
          <cell r="J526">
            <v>0</v>
          </cell>
        </row>
        <row r="527">
          <cell r="A527" t="str">
            <v>6252676060</v>
          </cell>
          <cell r="B527">
            <v>62526</v>
          </cell>
          <cell r="C527">
            <v>76060</v>
          </cell>
          <cell r="D527" t="str">
            <v>Asbestos Abatement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6252676071</v>
          </cell>
          <cell r="B528">
            <v>62526</v>
          </cell>
          <cell r="C528">
            <v>76071</v>
          </cell>
          <cell r="D528" t="str">
            <v>Reimaging Maintenance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6252676090</v>
          </cell>
          <cell r="B529">
            <v>62526</v>
          </cell>
          <cell r="C529">
            <v>76090</v>
          </cell>
          <cell r="D529" t="str">
            <v>Parking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6252677001</v>
          </cell>
          <cell r="B530">
            <v>62526</v>
          </cell>
          <cell r="C530">
            <v>77001</v>
          </cell>
          <cell r="D530" t="str">
            <v>Grounds Maintenance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6252677022</v>
          </cell>
          <cell r="B531">
            <v>62526</v>
          </cell>
          <cell r="C531">
            <v>77022</v>
          </cell>
          <cell r="D531" t="str">
            <v>Landscaping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6252684200</v>
          </cell>
          <cell r="B532">
            <v>62526</v>
          </cell>
          <cell r="C532">
            <v>84200</v>
          </cell>
          <cell r="D532" t="str">
            <v>Marketing-Other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</row>
        <row r="533">
          <cell r="A533" t="str">
            <v>6252684240</v>
          </cell>
          <cell r="B533">
            <v>62526</v>
          </cell>
          <cell r="C533">
            <v>84240</v>
          </cell>
          <cell r="D533" t="str">
            <v>Marketing Leasing</v>
          </cell>
          <cell r="E533">
            <v>3543.36</v>
          </cell>
          <cell r="F533">
            <v>3858.24</v>
          </cell>
          <cell r="G533">
            <v>-314.88</v>
          </cell>
          <cell r="H533">
            <v>16280.3</v>
          </cell>
          <cell r="I533">
            <v>16280.3</v>
          </cell>
          <cell r="J533">
            <v>0</v>
          </cell>
        </row>
        <row r="534">
          <cell r="A534" t="str">
            <v>6252684242</v>
          </cell>
          <cell r="B534">
            <v>62526</v>
          </cell>
          <cell r="C534">
            <v>84242</v>
          </cell>
          <cell r="D534" t="str">
            <v>Marketing-Subsidy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6252684243</v>
          </cell>
          <cell r="B535">
            <v>62526</v>
          </cell>
          <cell r="C535">
            <v>84243</v>
          </cell>
          <cell r="D535" t="str">
            <v>Marketing Coordination</v>
          </cell>
          <cell r="E535">
            <v>0</v>
          </cell>
          <cell r="F535">
            <v>0</v>
          </cell>
          <cell r="G535">
            <v>0</v>
          </cell>
          <cell r="H535">
            <v>-12897</v>
          </cell>
          <cell r="I535">
            <v>-12897</v>
          </cell>
          <cell r="J535">
            <v>0</v>
          </cell>
        </row>
        <row r="536">
          <cell r="A536" t="str">
            <v>6252684244</v>
          </cell>
          <cell r="B536">
            <v>62526</v>
          </cell>
          <cell r="C536">
            <v>84244</v>
          </cell>
          <cell r="D536" t="str">
            <v>Marketing-Net Required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6252684265</v>
          </cell>
          <cell r="B537">
            <v>62526</v>
          </cell>
          <cell r="C537">
            <v>84265</v>
          </cell>
          <cell r="D537" t="str">
            <v>Marketing -TR-Non-Reimb.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6252688037</v>
          </cell>
          <cell r="B538">
            <v>62526</v>
          </cell>
          <cell r="C538">
            <v>88037</v>
          </cell>
          <cell r="D538" t="str">
            <v>Marketing - Leasing Office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</row>
        <row r="539">
          <cell r="A539" t="str">
            <v>6252685016</v>
          </cell>
          <cell r="B539">
            <v>62526</v>
          </cell>
          <cell r="C539">
            <v>85016</v>
          </cell>
          <cell r="D539" t="str">
            <v>Prof Svc-Attorney Outside</v>
          </cell>
          <cell r="E539">
            <v>344.5</v>
          </cell>
          <cell r="F539">
            <v>0</v>
          </cell>
          <cell r="G539">
            <v>344.5</v>
          </cell>
          <cell r="H539">
            <v>515</v>
          </cell>
          <cell r="I539">
            <v>515</v>
          </cell>
          <cell r="J539">
            <v>0</v>
          </cell>
        </row>
        <row r="540">
          <cell r="A540" t="str">
            <v>6252685022</v>
          </cell>
          <cell r="B540">
            <v>62526</v>
          </cell>
          <cell r="C540">
            <v>85022</v>
          </cell>
          <cell r="D540" t="str">
            <v>Prof Svc-Audit/Acctng</v>
          </cell>
          <cell r="E540">
            <v>0</v>
          </cell>
          <cell r="F540">
            <v>0</v>
          </cell>
          <cell r="G540">
            <v>0</v>
          </cell>
          <cell r="H540">
            <v>1943.97</v>
          </cell>
          <cell r="I540">
            <v>1943.97</v>
          </cell>
          <cell r="J540">
            <v>0</v>
          </cell>
        </row>
        <row r="541">
          <cell r="A541" t="str">
            <v>6252685065</v>
          </cell>
          <cell r="B541">
            <v>62526</v>
          </cell>
          <cell r="C541">
            <v>85065</v>
          </cell>
          <cell r="D541" t="str">
            <v>Professional Services Other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6252685500</v>
          </cell>
          <cell r="B542">
            <v>62526</v>
          </cell>
          <cell r="C542">
            <v>85500</v>
          </cell>
          <cell r="D542" t="str">
            <v>Consulting Services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6252685566</v>
          </cell>
          <cell r="B543">
            <v>62526</v>
          </cell>
          <cell r="C543">
            <v>85566</v>
          </cell>
          <cell r="D543" t="str">
            <v>Management Fee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</row>
        <row r="544">
          <cell r="A544" t="str">
            <v>6252685581</v>
          </cell>
          <cell r="B544">
            <v>62526</v>
          </cell>
          <cell r="C544">
            <v>85581</v>
          </cell>
          <cell r="D544" t="str">
            <v>Bldg Admin- Salaries</v>
          </cell>
          <cell r="E544">
            <v>8339.65</v>
          </cell>
          <cell r="F544">
            <v>8339.26</v>
          </cell>
          <cell r="G544">
            <v>0.38999999999941798</v>
          </cell>
          <cell r="H544">
            <v>34638.199999999997</v>
          </cell>
          <cell r="I544">
            <v>34638.199999999997</v>
          </cell>
          <cell r="J544">
            <v>0</v>
          </cell>
        </row>
        <row r="545">
          <cell r="A545" t="str">
            <v>6252685583</v>
          </cell>
          <cell r="B545">
            <v>62526</v>
          </cell>
          <cell r="C545">
            <v>85583</v>
          </cell>
          <cell r="D545" t="str">
            <v>Bldg Admin-Office Exp.</v>
          </cell>
          <cell r="E545">
            <v>64.650000000000006</v>
          </cell>
          <cell r="F545">
            <v>0</v>
          </cell>
          <cell r="G545">
            <v>64.650000000000006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6252685530</v>
          </cell>
          <cell r="B546">
            <v>62526</v>
          </cell>
          <cell r="C546">
            <v>85530</v>
          </cell>
          <cell r="D546" t="str">
            <v>Bldg Admin - Office Exp</v>
          </cell>
          <cell r="E546">
            <v>64.650000000000006</v>
          </cell>
          <cell r="F546">
            <v>0</v>
          </cell>
          <cell r="G546">
            <v>64.650000000000006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6252686012</v>
          </cell>
          <cell r="B547">
            <v>62526</v>
          </cell>
          <cell r="C547">
            <v>86012</v>
          </cell>
          <cell r="D547" t="str">
            <v>Regional Employee Parking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6252686037</v>
          </cell>
          <cell r="B548">
            <v>62526</v>
          </cell>
          <cell r="C548">
            <v>86037</v>
          </cell>
          <cell r="D548" t="str">
            <v>Travel &amp; Entertainment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6252683050</v>
          </cell>
          <cell r="B549">
            <v>62526</v>
          </cell>
          <cell r="C549">
            <v>83050</v>
          </cell>
          <cell r="D549" t="str">
            <v>Regional Employee Travel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6252686510</v>
          </cell>
          <cell r="B550">
            <v>62526</v>
          </cell>
          <cell r="C550">
            <v>86510</v>
          </cell>
          <cell r="D550" t="str">
            <v>Leasing Admin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6252686537</v>
          </cell>
          <cell r="B551">
            <v>62526</v>
          </cell>
          <cell r="C551">
            <v>86537</v>
          </cell>
          <cell r="D551" t="str">
            <v>Fees-Credit Reports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6252686566</v>
          </cell>
          <cell r="B552">
            <v>62526</v>
          </cell>
          <cell r="C552">
            <v>86566</v>
          </cell>
          <cell r="D552" t="str">
            <v>Insurance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6252686955</v>
          </cell>
          <cell r="B553">
            <v>62526</v>
          </cell>
          <cell r="C553">
            <v>86955</v>
          </cell>
          <cell r="D553" t="str">
            <v>Regional Temporary Labor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6252686985</v>
          </cell>
          <cell r="B554">
            <v>62526</v>
          </cell>
          <cell r="C554">
            <v>86985</v>
          </cell>
          <cell r="D554" t="str">
            <v>Purchased Svcs _ Other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6252686880</v>
          </cell>
          <cell r="B555">
            <v>62526</v>
          </cell>
          <cell r="C555">
            <v>86880</v>
          </cell>
          <cell r="D555" t="str">
            <v>Telephone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</row>
        <row r="556">
          <cell r="A556" t="str">
            <v>6252688710</v>
          </cell>
          <cell r="B556">
            <v>62526</v>
          </cell>
          <cell r="C556">
            <v>88710</v>
          </cell>
          <cell r="D556" t="str">
            <v>Losses-Bad Debts</v>
          </cell>
          <cell r="E556">
            <v>-11675.05</v>
          </cell>
          <cell r="F556">
            <v>9200.16</v>
          </cell>
          <cell r="G556">
            <v>-20875.21</v>
          </cell>
          <cell r="H556">
            <v>36800.639999999999</v>
          </cell>
          <cell r="I556">
            <v>36800.639999999999</v>
          </cell>
          <cell r="J556">
            <v>0</v>
          </cell>
        </row>
        <row r="557">
          <cell r="A557" t="str">
            <v>6252688711</v>
          </cell>
          <cell r="B557">
            <v>62526</v>
          </cell>
          <cell r="C557">
            <v>88711</v>
          </cell>
          <cell r="D557" t="str">
            <v>Losses-Bad Debts- FASB 13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6252688785</v>
          </cell>
          <cell r="B558">
            <v>62526</v>
          </cell>
          <cell r="C558">
            <v>88785</v>
          </cell>
          <cell r="D558" t="str">
            <v>Losses-Uninsured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6252688847</v>
          </cell>
          <cell r="B559">
            <v>62526</v>
          </cell>
          <cell r="C559">
            <v>88847</v>
          </cell>
          <cell r="D559" t="str">
            <v>Expenses - Other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6252688866</v>
          </cell>
          <cell r="B560">
            <v>62526</v>
          </cell>
          <cell r="C560">
            <v>88866</v>
          </cell>
          <cell r="D560" t="str">
            <v>Legal Settlements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6252688870</v>
          </cell>
          <cell r="B561">
            <v>62526</v>
          </cell>
          <cell r="C561">
            <v>88870</v>
          </cell>
          <cell r="D561" t="str">
            <v>Backside Dist-O/S Partner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6252688889</v>
          </cell>
          <cell r="B562">
            <v>62526</v>
          </cell>
          <cell r="C562">
            <v>88889</v>
          </cell>
          <cell r="D562" t="str">
            <v>Security/Safety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6252689776</v>
          </cell>
          <cell r="B563">
            <v>62526</v>
          </cell>
          <cell r="C563">
            <v>89776</v>
          </cell>
          <cell r="D563" t="str">
            <v>Assmt Dist Taxes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6252689787</v>
          </cell>
          <cell r="B564">
            <v>62526</v>
          </cell>
          <cell r="C564">
            <v>89787</v>
          </cell>
          <cell r="D564" t="str">
            <v>Property Tax Exp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6252689510</v>
          </cell>
          <cell r="B565">
            <v>62526</v>
          </cell>
          <cell r="C565">
            <v>89510</v>
          </cell>
          <cell r="D565" t="str">
            <v>Interest Expense - General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6252689511</v>
          </cell>
          <cell r="B566">
            <v>62526</v>
          </cell>
          <cell r="C566">
            <v>89511</v>
          </cell>
          <cell r="D566" t="str">
            <v>Interest Expense - Swap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6252689512</v>
          </cell>
          <cell r="B567">
            <v>62526</v>
          </cell>
          <cell r="C567">
            <v>89512</v>
          </cell>
          <cell r="D567" t="str">
            <v>Interest Expense - Accrual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6252689528</v>
          </cell>
          <cell r="B568">
            <v>62526</v>
          </cell>
          <cell r="C568">
            <v>89528</v>
          </cell>
          <cell r="D568" t="str">
            <v>Interest Expense - Loan Fees-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6252689529</v>
          </cell>
          <cell r="B569">
            <v>62526</v>
          </cell>
          <cell r="C569">
            <v>89529</v>
          </cell>
          <cell r="D569" t="str">
            <v>Interest Expense - Loan Fee A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6252689567</v>
          </cell>
          <cell r="B570">
            <v>62526</v>
          </cell>
          <cell r="C570">
            <v>89567</v>
          </cell>
          <cell r="D570" t="str">
            <v>Interest Expense - TIC/Partne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6252685058</v>
          </cell>
          <cell r="B571">
            <v>62526</v>
          </cell>
          <cell r="C571">
            <v>85058</v>
          </cell>
          <cell r="D571" t="str">
            <v>Legal Fee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6252686513</v>
          </cell>
          <cell r="B572">
            <v>62526</v>
          </cell>
          <cell r="C572">
            <v>86513</v>
          </cell>
          <cell r="D572" t="str">
            <v>Leasing Commission Amort</v>
          </cell>
          <cell r="E572">
            <v>0</v>
          </cell>
          <cell r="F572">
            <v>1292.04</v>
          </cell>
          <cell r="G572">
            <v>-1292.04</v>
          </cell>
          <cell r="H572">
            <v>5245.62</v>
          </cell>
          <cell r="I572">
            <v>5245.62</v>
          </cell>
          <cell r="J572">
            <v>0</v>
          </cell>
        </row>
        <row r="573">
          <cell r="A573" t="str">
            <v>6252686519</v>
          </cell>
          <cell r="B573">
            <v>62526</v>
          </cell>
          <cell r="C573">
            <v>86519</v>
          </cell>
          <cell r="D573" t="str">
            <v>Fees-Appraisal Amort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6252688770</v>
          </cell>
          <cell r="B574">
            <v>62526</v>
          </cell>
          <cell r="C574">
            <v>88770</v>
          </cell>
          <cell r="D574" t="str">
            <v>Losses-Prop Abandon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6252688862</v>
          </cell>
          <cell r="B575">
            <v>62526</v>
          </cell>
          <cell r="C575">
            <v>88862</v>
          </cell>
          <cell r="D575" t="str">
            <v>Lease Buy-Out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6252688874</v>
          </cell>
          <cell r="B576">
            <v>62526</v>
          </cell>
          <cell r="C576">
            <v>88874</v>
          </cell>
          <cell r="D576" t="str">
            <v>Organization Cost Amort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</row>
        <row r="577">
          <cell r="A577" t="str">
            <v>6252689910</v>
          </cell>
          <cell r="B577">
            <v>62526</v>
          </cell>
          <cell r="C577">
            <v>89910</v>
          </cell>
          <cell r="D577" t="str">
            <v>Depreciation</v>
          </cell>
          <cell r="E577">
            <v>0</v>
          </cell>
          <cell r="F577">
            <v>68676.679999999993</v>
          </cell>
          <cell r="G577">
            <v>-68676.679999999993</v>
          </cell>
          <cell r="H577">
            <v>274706.71000000002</v>
          </cell>
          <cell r="I577">
            <v>274706.71000000002</v>
          </cell>
          <cell r="J577">
            <v>0</v>
          </cell>
        </row>
        <row r="578">
          <cell r="B578">
            <v>62526</v>
          </cell>
          <cell r="C578">
            <v>89548</v>
          </cell>
          <cell r="D578" t="str">
            <v>Other Amortized Cost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C579">
            <v>89548</v>
          </cell>
          <cell r="D579" t="str">
            <v>Other Amortized Cost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bor View"/>
      <sheetName val="variance"/>
    </sheetNames>
    <sheetDataSet>
      <sheetData sheetId="0"/>
      <sheetData sheetId="1" refreshError="1">
        <row r="2">
          <cell r="A2" t="str">
            <v>6216041010</v>
          </cell>
          <cell r="B2">
            <v>62160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6216041040</v>
          </cell>
          <cell r="B3">
            <v>62160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6216041050</v>
          </cell>
          <cell r="B4">
            <v>62160</v>
          </cell>
          <cell r="C4">
            <v>41050</v>
          </cell>
          <cell r="D4" t="str">
            <v>Rental Income - Fixed</v>
          </cell>
          <cell r="E4">
            <v>-1701806.2</v>
          </cell>
          <cell r="F4">
            <v>-1740878.67</v>
          </cell>
          <cell r="G4">
            <v>39072.47</v>
          </cell>
          <cell r="H4">
            <v>-1710299.84</v>
          </cell>
          <cell r="I4">
            <v>-1740878.67</v>
          </cell>
          <cell r="J4">
            <v>-30578.829999999802</v>
          </cell>
        </row>
        <row r="5">
          <cell r="A5" t="str">
            <v>6216041074</v>
          </cell>
          <cell r="B5">
            <v>62160</v>
          </cell>
          <cell r="C5">
            <v>41074</v>
          </cell>
          <cell r="D5" t="str">
            <v>Rental Income - Percentage</v>
          </cell>
          <cell r="E5">
            <v>-53476.32</v>
          </cell>
          <cell r="F5">
            <v>627.33000000000095</v>
          </cell>
          <cell r="G5">
            <v>-54103.65</v>
          </cell>
          <cell r="H5">
            <v>-4100.63</v>
          </cell>
          <cell r="I5">
            <v>627.33000000000095</v>
          </cell>
          <cell r="J5">
            <v>4727.96</v>
          </cell>
        </row>
        <row r="6">
          <cell r="A6" t="str">
            <v>6216041082</v>
          </cell>
          <cell r="B6">
            <v>62160</v>
          </cell>
          <cell r="C6">
            <v>41082</v>
          </cell>
          <cell r="D6" t="str">
            <v>Rental Income - Operating Exp</v>
          </cell>
          <cell r="E6">
            <v>-351877.11</v>
          </cell>
          <cell r="F6">
            <v>-350941.76</v>
          </cell>
          <cell r="G6">
            <v>-935.34999999997694</v>
          </cell>
          <cell r="H6">
            <v>-356920.51</v>
          </cell>
          <cell r="I6">
            <v>-350941.76</v>
          </cell>
          <cell r="J6">
            <v>5978.75</v>
          </cell>
        </row>
        <row r="7">
          <cell r="A7" t="str">
            <v>6216044610</v>
          </cell>
          <cell r="B7">
            <v>62160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6216045071</v>
          </cell>
          <cell r="B8">
            <v>62160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6216045010</v>
          </cell>
          <cell r="B9">
            <v>62160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6216045046</v>
          </cell>
          <cell r="B10">
            <v>62160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6216045070</v>
          </cell>
          <cell r="B11">
            <v>62160</v>
          </cell>
          <cell r="C11">
            <v>45070</v>
          </cell>
          <cell r="D11" t="str">
            <v>Other Income</v>
          </cell>
          <cell r="E11">
            <v>-882.26</v>
          </cell>
          <cell r="F11">
            <v>-810</v>
          </cell>
          <cell r="G11">
            <v>-72.260000000000005</v>
          </cell>
          <cell r="H11">
            <v>-902.25</v>
          </cell>
          <cell r="I11">
            <v>-810</v>
          </cell>
          <cell r="J11">
            <v>92.25</v>
          </cell>
        </row>
        <row r="12">
          <cell r="A12" t="str">
            <v>6216041060</v>
          </cell>
          <cell r="B12">
            <v>62160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41928</v>
          </cell>
          <cell r="G12">
            <v>-41928</v>
          </cell>
          <cell r="H12">
            <v>13976</v>
          </cell>
          <cell r="I12">
            <v>41928</v>
          </cell>
          <cell r="J12">
            <v>27952</v>
          </cell>
        </row>
        <row r="13">
          <cell r="A13" t="str">
            <v>6216044870</v>
          </cell>
          <cell r="B13">
            <v>62160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6216052542</v>
          </cell>
          <cell r="B14">
            <v>62160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6216072710</v>
          </cell>
          <cell r="B15">
            <v>62160</v>
          </cell>
          <cell r="C15">
            <v>72710</v>
          </cell>
          <cell r="D15" t="str">
            <v>Utilities - Electricity</v>
          </cell>
          <cell r="E15">
            <v>10242.120000000001</v>
          </cell>
          <cell r="F15">
            <v>9330</v>
          </cell>
          <cell r="G15">
            <v>912.12000000000103</v>
          </cell>
          <cell r="H15">
            <v>10455.89</v>
          </cell>
          <cell r="I15">
            <v>9330</v>
          </cell>
          <cell r="J15">
            <v>-1125.8900000000001</v>
          </cell>
        </row>
        <row r="16">
          <cell r="A16" t="str">
            <v>6216072740</v>
          </cell>
          <cell r="B16">
            <v>62160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6216072770</v>
          </cell>
          <cell r="B17">
            <v>62160</v>
          </cell>
          <cell r="C17">
            <v>72770</v>
          </cell>
          <cell r="D17" t="str">
            <v>Utilities - Water</v>
          </cell>
          <cell r="E17">
            <v>2756.82</v>
          </cell>
          <cell r="F17">
            <v>2781</v>
          </cell>
          <cell r="G17">
            <v>-24.179999999999801</v>
          </cell>
          <cell r="H17">
            <v>2833.93</v>
          </cell>
          <cell r="I17">
            <v>2781</v>
          </cell>
          <cell r="J17">
            <v>-52.929999999999801</v>
          </cell>
        </row>
        <row r="18">
          <cell r="A18" t="str">
            <v>6216076000</v>
          </cell>
          <cell r="B18">
            <v>62160</v>
          </cell>
          <cell r="C18">
            <v>76000</v>
          </cell>
          <cell r="D18" t="str">
            <v>Bldg Maintenance &amp; Repair</v>
          </cell>
          <cell r="E18">
            <v>18607.5</v>
          </cell>
          <cell r="F18">
            <v>12357</v>
          </cell>
          <cell r="G18">
            <v>6250.5</v>
          </cell>
          <cell r="H18">
            <v>13351.26</v>
          </cell>
          <cell r="I18">
            <v>12357</v>
          </cell>
          <cell r="J18">
            <v>-994.26</v>
          </cell>
        </row>
        <row r="19">
          <cell r="A19" t="str">
            <v>6216076020</v>
          </cell>
          <cell r="B19">
            <v>62160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6216076034</v>
          </cell>
          <cell r="B20">
            <v>62160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6216076050</v>
          </cell>
          <cell r="B21">
            <v>62160</v>
          </cell>
          <cell r="C21">
            <v>76050</v>
          </cell>
          <cell r="D21" t="str">
            <v>Cleaning Expense</v>
          </cell>
          <cell r="E21">
            <v>36816.65</v>
          </cell>
          <cell r="F21">
            <v>34212</v>
          </cell>
          <cell r="G21">
            <v>2604.65</v>
          </cell>
          <cell r="H21">
            <v>36033.589999999997</v>
          </cell>
          <cell r="I21">
            <v>34212</v>
          </cell>
          <cell r="J21">
            <v>-1821.59</v>
          </cell>
        </row>
        <row r="22">
          <cell r="A22" t="str">
            <v>6216076056</v>
          </cell>
          <cell r="B22">
            <v>62160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6216076070</v>
          </cell>
          <cell r="B23">
            <v>62160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6216076091</v>
          </cell>
          <cell r="B24">
            <v>62160</v>
          </cell>
          <cell r="C24">
            <v>76091</v>
          </cell>
          <cell r="D24" t="str">
            <v>Parking Maintenance</v>
          </cell>
          <cell r="E24">
            <v>35947.11</v>
          </cell>
          <cell r="F24">
            <v>25484</v>
          </cell>
          <cell r="G24">
            <v>10463.11</v>
          </cell>
          <cell r="H24">
            <v>27187.54</v>
          </cell>
          <cell r="I24">
            <v>25484</v>
          </cell>
          <cell r="J24">
            <v>-1703.54</v>
          </cell>
        </row>
        <row r="25">
          <cell r="A25" t="str">
            <v>6216077000</v>
          </cell>
          <cell r="B25">
            <v>62160</v>
          </cell>
          <cell r="C25">
            <v>77000</v>
          </cell>
          <cell r="D25" t="str">
            <v>Grounds Maintenance</v>
          </cell>
          <cell r="E25">
            <v>26370</v>
          </cell>
          <cell r="F25">
            <v>30090</v>
          </cell>
          <cell r="G25">
            <v>-3720</v>
          </cell>
          <cell r="H25">
            <v>32820.839999999997</v>
          </cell>
          <cell r="I25">
            <v>30090</v>
          </cell>
          <cell r="J25">
            <v>-2730.84</v>
          </cell>
        </row>
        <row r="26">
          <cell r="A26" t="str">
            <v>6216077053</v>
          </cell>
          <cell r="B26">
            <v>62160</v>
          </cell>
          <cell r="C26">
            <v>77053</v>
          </cell>
          <cell r="D26" t="str">
            <v>Landscaping</v>
          </cell>
          <cell r="E26">
            <v>23982.58</v>
          </cell>
          <cell r="F26">
            <v>45925</v>
          </cell>
          <cell r="G26">
            <v>-21942.42</v>
          </cell>
          <cell r="H26">
            <v>38818.58</v>
          </cell>
          <cell r="I26">
            <v>45925</v>
          </cell>
          <cell r="J26">
            <v>7106.42</v>
          </cell>
        </row>
        <row r="27">
          <cell r="A27" t="str">
            <v>6216078020</v>
          </cell>
          <cell r="B27">
            <v>62160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6216084264</v>
          </cell>
          <cell r="B28">
            <v>62160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6216085555</v>
          </cell>
          <cell r="B29">
            <v>62160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6216085584</v>
          </cell>
          <cell r="B30">
            <v>62160</v>
          </cell>
          <cell r="C30">
            <v>85584</v>
          </cell>
          <cell r="D30" t="str">
            <v>Bldg Admin-Office Costs</v>
          </cell>
          <cell r="E30">
            <v>10872.17</v>
          </cell>
          <cell r="F30">
            <v>8189</v>
          </cell>
          <cell r="G30">
            <v>2683.17</v>
          </cell>
          <cell r="H30">
            <v>10068.65</v>
          </cell>
          <cell r="I30">
            <v>8189</v>
          </cell>
          <cell r="J30">
            <v>-1879.65</v>
          </cell>
        </row>
        <row r="31">
          <cell r="A31" t="str">
            <v>6216085582</v>
          </cell>
          <cell r="B31">
            <v>62160</v>
          </cell>
          <cell r="C31">
            <v>85582</v>
          </cell>
          <cell r="D31" t="str">
            <v>Bldg Admin-Salaries</v>
          </cell>
          <cell r="E31">
            <v>42083.83</v>
          </cell>
          <cell r="F31">
            <v>49382.3</v>
          </cell>
          <cell r="G31">
            <v>-7298.47</v>
          </cell>
          <cell r="H31">
            <v>44507</v>
          </cell>
          <cell r="I31">
            <v>49382.3</v>
          </cell>
          <cell r="J31">
            <v>4875.3</v>
          </cell>
        </row>
        <row r="32">
          <cell r="A32" t="str">
            <v>6216086564</v>
          </cell>
          <cell r="B32">
            <v>62160</v>
          </cell>
          <cell r="C32">
            <v>86564</v>
          </cell>
          <cell r="D32" t="str">
            <v>Insurance</v>
          </cell>
          <cell r="E32">
            <v>27405</v>
          </cell>
          <cell r="F32">
            <v>34926</v>
          </cell>
          <cell r="G32">
            <v>-7521</v>
          </cell>
          <cell r="H32">
            <v>27405</v>
          </cell>
          <cell r="I32">
            <v>34926</v>
          </cell>
          <cell r="J32">
            <v>7521</v>
          </cell>
        </row>
        <row r="33">
          <cell r="A33" t="str">
            <v>6216088846</v>
          </cell>
          <cell r="B33">
            <v>62160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6216088890</v>
          </cell>
          <cell r="B34">
            <v>62160</v>
          </cell>
          <cell r="C34">
            <v>88890</v>
          </cell>
          <cell r="D34" t="str">
            <v>Security/Safety</v>
          </cell>
          <cell r="E34">
            <v>2393.2399999999998</v>
          </cell>
          <cell r="F34">
            <v>5868</v>
          </cell>
          <cell r="G34">
            <v>-3474.76</v>
          </cell>
          <cell r="H34">
            <v>892</v>
          </cell>
          <cell r="I34">
            <v>5868</v>
          </cell>
          <cell r="J34">
            <v>4976</v>
          </cell>
        </row>
        <row r="35">
          <cell r="A35" t="str">
            <v>6216089775</v>
          </cell>
          <cell r="B35">
            <v>62160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6216089729</v>
          </cell>
          <cell r="B36">
            <v>62160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6216089786</v>
          </cell>
          <cell r="B37">
            <v>62160</v>
          </cell>
          <cell r="C37">
            <v>89786</v>
          </cell>
          <cell r="D37" t="str">
            <v>Property Tax Exp</v>
          </cell>
          <cell r="E37">
            <v>87929</v>
          </cell>
          <cell r="F37">
            <v>85856</v>
          </cell>
          <cell r="G37">
            <v>2073</v>
          </cell>
          <cell r="H37">
            <v>87930</v>
          </cell>
          <cell r="I37">
            <v>85856</v>
          </cell>
          <cell r="J37">
            <v>-2074</v>
          </cell>
        </row>
        <row r="38">
          <cell r="A38" t="str">
            <v>6216071040</v>
          </cell>
          <cell r="B38">
            <v>62160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6216072701</v>
          </cell>
          <cell r="B39">
            <v>62160</v>
          </cell>
          <cell r="C39">
            <v>72701</v>
          </cell>
          <cell r="D39" t="str">
            <v>Utilities</v>
          </cell>
          <cell r="E39">
            <v>741.96</v>
          </cell>
          <cell r="F39">
            <v>0</v>
          </cell>
          <cell r="G39">
            <v>741.96</v>
          </cell>
          <cell r="H39">
            <v>514.91</v>
          </cell>
          <cell r="I39">
            <v>0</v>
          </cell>
          <cell r="J39">
            <v>-514.91</v>
          </cell>
        </row>
        <row r="40">
          <cell r="A40" t="str">
            <v>6216072855</v>
          </cell>
          <cell r="B40">
            <v>62160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6216072870</v>
          </cell>
          <cell r="B41">
            <v>62160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6216076010</v>
          </cell>
          <cell r="B42">
            <v>62160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1000</v>
          </cell>
          <cell r="G42">
            <v>-1000</v>
          </cell>
          <cell r="H42">
            <v>0</v>
          </cell>
          <cell r="I42">
            <v>1000</v>
          </cell>
          <cell r="J42">
            <v>1000</v>
          </cell>
        </row>
        <row r="43">
          <cell r="A43" t="str">
            <v>6216076040</v>
          </cell>
          <cell r="B43">
            <v>62160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6216076051</v>
          </cell>
          <cell r="B44">
            <v>62160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6216076054</v>
          </cell>
          <cell r="B45">
            <v>62160</v>
          </cell>
          <cell r="C45">
            <v>76054</v>
          </cell>
          <cell r="D45" t="str">
            <v>Bldg Maintenance &amp; Repair</v>
          </cell>
          <cell r="E45">
            <v>2597.1799999999998</v>
          </cell>
          <cell r="F45">
            <v>0</v>
          </cell>
          <cell r="G45">
            <v>2597.1799999999998</v>
          </cell>
          <cell r="H45">
            <v>300.08</v>
          </cell>
          <cell r="I45">
            <v>0</v>
          </cell>
          <cell r="J45">
            <v>-300.08</v>
          </cell>
        </row>
        <row r="46">
          <cell r="A46" t="str">
            <v>6216076060</v>
          </cell>
          <cell r="B46">
            <v>62160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6216076071</v>
          </cell>
          <cell r="B47">
            <v>62160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9600</v>
          </cell>
          <cell r="I47">
            <v>0</v>
          </cell>
          <cell r="J47">
            <v>-9600</v>
          </cell>
        </row>
        <row r="48">
          <cell r="A48" t="str">
            <v>6216076090</v>
          </cell>
          <cell r="B48">
            <v>62160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6216077001</v>
          </cell>
          <cell r="B49">
            <v>62160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6216077022</v>
          </cell>
          <cell r="B50">
            <v>62160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6216084200</v>
          </cell>
          <cell r="B51">
            <v>62160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6216084240</v>
          </cell>
          <cell r="B52">
            <v>62160</v>
          </cell>
          <cell r="C52">
            <v>84240</v>
          </cell>
          <cell r="D52" t="str">
            <v>Marketing Leasing</v>
          </cell>
          <cell r="E52">
            <v>328.51</v>
          </cell>
          <cell r="F52">
            <v>0</v>
          </cell>
          <cell r="G52">
            <v>328.51</v>
          </cell>
          <cell r="H52">
            <v>244.68</v>
          </cell>
          <cell r="I52">
            <v>0</v>
          </cell>
          <cell r="J52">
            <v>-244.68</v>
          </cell>
        </row>
        <row r="53">
          <cell r="A53" t="str">
            <v>6216084242</v>
          </cell>
          <cell r="B53">
            <v>62160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6216084243</v>
          </cell>
          <cell r="B54">
            <v>62160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6216084244</v>
          </cell>
          <cell r="B55">
            <v>62160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6216084265</v>
          </cell>
          <cell r="B56">
            <v>62160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6216088037</v>
          </cell>
          <cell r="B57">
            <v>62160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6216085016</v>
          </cell>
          <cell r="B58">
            <v>62160</v>
          </cell>
          <cell r="C58">
            <v>85016</v>
          </cell>
          <cell r="D58" t="str">
            <v>Prof Svc-Attorney Outside</v>
          </cell>
          <cell r="E58">
            <v>1512.45</v>
          </cell>
          <cell r="F58">
            <v>2000</v>
          </cell>
          <cell r="G58">
            <v>-487.55</v>
          </cell>
          <cell r="H58">
            <v>2382</v>
          </cell>
          <cell r="I58">
            <v>2000</v>
          </cell>
          <cell r="J58">
            <v>-382</v>
          </cell>
        </row>
        <row r="59">
          <cell r="A59" t="str">
            <v>6216085022</v>
          </cell>
          <cell r="B59">
            <v>62160</v>
          </cell>
          <cell r="C59">
            <v>85022</v>
          </cell>
          <cell r="D59" t="str">
            <v>Prof Svc-Audit/Acctng</v>
          </cell>
          <cell r="E59">
            <v>874.35</v>
          </cell>
          <cell r="F59">
            <v>1872</v>
          </cell>
          <cell r="G59">
            <v>-997.65</v>
          </cell>
          <cell r="H59">
            <v>2071.35</v>
          </cell>
          <cell r="I59">
            <v>1872</v>
          </cell>
          <cell r="J59">
            <v>-199.35</v>
          </cell>
        </row>
        <row r="60">
          <cell r="A60" t="str">
            <v>6216085065</v>
          </cell>
          <cell r="B60">
            <v>62160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6216085500</v>
          </cell>
          <cell r="B61">
            <v>62160</v>
          </cell>
          <cell r="C61">
            <v>85500</v>
          </cell>
          <cell r="D61" t="str">
            <v>Consulting Services</v>
          </cell>
          <cell r="E61">
            <v>170.52</v>
          </cell>
          <cell r="F61">
            <v>800</v>
          </cell>
          <cell r="G61">
            <v>-629.48</v>
          </cell>
          <cell r="H61">
            <v>335</v>
          </cell>
          <cell r="I61">
            <v>800</v>
          </cell>
          <cell r="J61">
            <v>465</v>
          </cell>
        </row>
        <row r="62">
          <cell r="A62" t="str">
            <v>6216085566</v>
          </cell>
          <cell r="B62">
            <v>62160</v>
          </cell>
          <cell r="C62">
            <v>85566</v>
          </cell>
          <cell r="D62" t="str">
            <v>Management Fee</v>
          </cell>
          <cell r="E62">
            <v>40271.910000000003</v>
          </cell>
          <cell r="F62">
            <v>40272</v>
          </cell>
          <cell r="G62">
            <v>-8.9999999996507499E-2</v>
          </cell>
          <cell r="H62">
            <v>40271.760000000002</v>
          </cell>
          <cell r="I62">
            <v>40272</v>
          </cell>
          <cell r="J62">
            <v>0.23999999999796301</v>
          </cell>
        </row>
        <row r="63">
          <cell r="A63" t="str">
            <v>6216085581</v>
          </cell>
          <cell r="B63">
            <v>62160</v>
          </cell>
          <cell r="C63">
            <v>85581</v>
          </cell>
          <cell r="D63" t="str">
            <v>Bldg Admin- Salaries</v>
          </cell>
          <cell r="E63">
            <v>5774.29</v>
          </cell>
          <cell r="F63">
            <v>6717.7</v>
          </cell>
          <cell r="G63">
            <v>-943.41</v>
          </cell>
          <cell r="H63">
            <v>6562.49</v>
          </cell>
          <cell r="I63">
            <v>6717.7</v>
          </cell>
          <cell r="J63">
            <v>155.21</v>
          </cell>
        </row>
        <row r="64">
          <cell r="A64" t="str">
            <v>6216085583</v>
          </cell>
          <cell r="B64">
            <v>62160</v>
          </cell>
          <cell r="C64">
            <v>85583</v>
          </cell>
          <cell r="D64" t="str">
            <v>Bldg Admin-Office Exp.</v>
          </cell>
          <cell r="E64">
            <v>64.650000000000006</v>
          </cell>
          <cell r="F64">
            <v>0</v>
          </cell>
          <cell r="G64">
            <v>64.650000000000006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6216085534</v>
          </cell>
          <cell r="B65">
            <v>62160</v>
          </cell>
          <cell r="C65">
            <v>85534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6216086012</v>
          </cell>
          <cell r="B66">
            <v>62160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6216086037</v>
          </cell>
          <cell r="B67">
            <v>62160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6216083050</v>
          </cell>
          <cell r="B68">
            <v>62160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6216086510</v>
          </cell>
          <cell r="B69">
            <v>62160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6216086537</v>
          </cell>
          <cell r="B70">
            <v>62160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6216086566</v>
          </cell>
          <cell r="B71">
            <v>62160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6216086955</v>
          </cell>
          <cell r="B72">
            <v>62160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6216086985</v>
          </cell>
          <cell r="B73">
            <v>62160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6216086880</v>
          </cell>
          <cell r="B74">
            <v>62160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6216088710</v>
          </cell>
          <cell r="B75">
            <v>62160</v>
          </cell>
          <cell r="C75">
            <v>88710</v>
          </cell>
          <cell r="D75" t="str">
            <v>Losses-Bad Debts</v>
          </cell>
          <cell r="E75">
            <v>-3821.65</v>
          </cell>
          <cell r="F75">
            <v>42364.72</v>
          </cell>
          <cell r="G75">
            <v>-46186.37</v>
          </cell>
          <cell r="H75">
            <v>2927</v>
          </cell>
          <cell r="I75">
            <v>42364.72</v>
          </cell>
          <cell r="J75">
            <v>39437.72</v>
          </cell>
        </row>
        <row r="76">
          <cell r="A76" t="str">
            <v>6216088711</v>
          </cell>
          <cell r="B76">
            <v>62160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6216088785</v>
          </cell>
          <cell r="B77">
            <v>62160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6216088847</v>
          </cell>
          <cell r="B78">
            <v>62160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6216088866</v>
          </cell>
          <cell r="B79">
            <v>62160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6216088870</v>
          </cell>
          <cell r="B80">
            <v>62160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6216088889</v>
          </cell>
          <cell r="B81">
            <v>62160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6216089776</v>
          </cell>
          <cell r="B82">
            <v>62160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6216089787</v>
          </cell>
          <cell r="B83">
            <v>62160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6216089510</v>
          </cell>
          <cell r="B84">
            <v>62160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433410</v>
          </cell>
          <cell r="G84">
            <v>-433410</v>
          </cell>
          <cell r="H84">
            <v>243144</v>
          </cell>
          <cell r="I84">
            <v>433410</v>
          </cell>
          <cell r="J84">
            <v>190266</v>
          </cell>
        </row>
        <row r="85">
          <cell r="A85" t="str">
            <v>6216089511</v>
          </cell>
          <cell r="B85">
            <v>62160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6216089512</v>
          </cell>
          <cell r="B86">
            <v>62160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6216089528</v>
          </cell>
          <cell r="B87">
            <v>62160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6216089529</v>
          </cell>
          <cell r="B88">
            <v>62160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9231</v>
          </cell>
          <cell r="G88">
            <v>-9231</v>
          </cell>
          <cell r="H88">
            <v>5681</v>
          </cell>
          <cell r="I88">
            <v>9231</v>
          </cell>
          <cell r="J88">
            <v>3550</v>
          </cell>
        </row>
        <row r="89">
          <cell r="A89" t="str">
            <v>6216089567</v>
          </cell>
          <cell r="B89">
            <v>62160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6216085058</v>
          </cell>
          <cell r="B90">
            <v>62160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6216086513</v>
          </cell>
          <cell r="B91">
            <v>62160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5279.8</v>
          </cell>
          <cell r="G91">
            <v>-5279.8</v>
          </cell>
          <cell r="H91">
            <v>757.14</v>
          </cell>
          <cell r="I91">
            <v>5279.8</v>
          </cell>
          <cell r="J91">
            <v>4522.66</v>
          </cell>
        </row>
        <row r="92">
          <cell r="A92" t="str">
            <v>6216086519</v>
          </cell>
          <cell r="B92">
            <v>62160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6216088770</v>
          </cell>
          <cell r="B93">
            <v>62160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6216088862</v>
          </cell>
          <cell r="B94">
            <v>62160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6216088874</v>
          </cell>
          <cell r="B95">
            <v>62160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6216089910</v>
          </cell>
          <cell r="B96">
            <v>62160</v>
          </cell>
          <cell r="C96">
            <v>89910</v>
          </cell>
          <cell r="D96" t="str">
            <v>Depreciation</v>
          </cell>
          <cell r="E96">
            <v>0</v>
          </cell>
          <cell r="F96">
            <v>93431.02</v>
          </cell>
          <cell r="G96">
            <v>-93431.02</v>
          </cell>
          <cell r="H96">
            <v>97808.54</v>
          </cell>
          <cell r="I96">
            <v>93431.02</v>
          </cell>
          <cell r="J96">
            <v>-4377.5199999999904</v>
          </cell>
        </row>
        <row r="97">
          <cell r="A97" t="str">
            <v>6216089548</v>
          </cell>
          <cell r="B97">
            <v>62160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 Bluffs"/>
      <sheetName val="Cherry Orchard"/>
      <sheetName val="Commons"/>
      <sheetName val="Crossroads"/>
      <sheetName val="Culver Plaza"/>
      <sheetName val="Executive Park"/>
      <sheetName val="The Square"/>
      <sheetName val="Lakeside"/>
      <sheetName val="Sand Canyon"/>
      <sheetName val="University Center"/>
      <sheetName val="Walnut Village"/>
      <sheetName val="Westpark"/>
      <sheetName val="Woodbridge"/>
      <sheetName val="IRPC"/>
      <sheetName val="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2">
          <cell r="A2" t="str">
            <v>6211541010</v>
          </cell>
          <cell r="B2">
            <v>62115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6211541040</v>
          </cell>
          <cell r="B3">
            <v>62115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6211541050</v>
          </cell>
          <cell r="B4">
            <v>62115</v>
          </cell>
          <cell r="C4">
            <v>41050</v>
          </cell>
          <cell r="D4" t="str">
            <v>Rental Income - Fixed</v>
          </cell>
          <cell r="E4">
            <v>-32833.660000000003</v>
          </cell>
          <cell r="F4">
            <v>-32833.660000000003</v>
          </cell>
          <cell r="G4">
            <v>0</v>
          </cell>
          <cell r="H4">
            <v>-503389.97</v>
          </cell>
          <cell r="I4">
            <v>-503389.97</v>
          </cell>
          <cell r="J4">
            <v>0</v>
          </cell>
        </row>
        <row r="5">
          <cell r="A5" t="str">
            <v>6211541074</v>
          </cell>
          <cell r="B5">
            <v>62115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6211541082</v>
          </cell>
          <cell r="B6">
            <v>62115</v>
          </cell>
          <cell r="C6">
            <v>41082</v>
          </cell>
          <cell r="D6" t="str">
            <v>Rental Income - Operating Exp</v>
          </cell>
          <cell r="E6">
            <v>-9283.9</v>
          </cell>
          <cell r="F6">
            <v>-15227.15</v>
          </cell>
          <cell r="G6">
            <v>5943.25</v>
          </cell>
          <cell r="H6">
            <v>-182725.8</v>
          </cell>
          <cell r="I6">
            <v>-182725.8</v>
          </cell>
          <cell r="J6">
            <v>0</v>
          </cell>
        </row>
        <row r="7">
          <cell r="A7" t="str">
            <v>6211544610</v>
          </cell>
          <cell r="B7">
            <v>62115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6211545071</v>
          </cell>
          <cell r="B8">
            <v>62115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6211545010</v>
          </cell>
          <cell r="B9">
            <v>62115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6211545046</v>
          </cell>
          <cell r="B10">
            <v>62115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6211545070</v>
          </cell>
          <cell r="B11">
            <v>62115</v>
          </cell>
          <cell r="C11">
            <v>45070</v>
          </cell>
          <cell r="D11" t="str">
            <v>Other Income</v>
          </cell>
          <cell r="E11">
            <v>0</v>
          </cell>
          <cell r="F11">
            <v>0</v>
          </cell>
          <cell r="G11">
            <v>0</v>
          </cell>
          <cell r="H11">
            <v>-547</v>
          </cell>
          <cell r="I11">
            <v>-547</v>
          </cell>
          <cell r="J11">
            <v>0</v>
          </cell>
        </row>
        <row r="12">
          <cell r="A12" t="str">
            <v>6211541060</v>
          </cell>
          <cell r="B12">
            <v>62115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1143.5</v>
          </cell>
          <cell r="G12">
            <v>-1143.5</v>
          </cell>
          <cell r="H12">
            <v>13722</v>
          </cell>
          <cell r="I12">
            <v>13722</v>
          </cell>
          <cell r="J12">
            <v>0</v>
          </cell>
        </row>
        <row r="13">
          <cell r="A13" t="str">
            <v>6211544870</v>
          </cell>
          <cell r="B13">
            <v>62115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-125</v>
          </cell>
          <cell r="I13">
            <v>-125</v>
          </cell>
          <cell r="J13">
            <v>0</v>
          </cell>
        </row>
        <row r="14">
          <cell r="A14" t="str">
            <v>6211552542</v>
          </cell>
          <cell r="B14">
            <v>62115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6211572710</v>
          </cell>
          <cell r="B15">
            <v>62115</v>
          </cell>
          <cell r="C15">
            <v>72710</v>
          </cell>
          <cell r="D15" t="str">
            <v>Utilities - Electricity</v>
          </cell>
          <cell r="E15">
            <v>300</v>
          </cell>
          <cell r="F15">
            <v>408</v>
          </cell>
          <cell r="G15">
            <v>-108</v>
          </cell>
          <cell r="H15">
            <v>5193.9399999999996</v>
          </cell>
          <cell r="I15">
            <v>5193.9399999999996</v>
          </cell>
          <cell r="J15">
            <v>0</v>
          </cell>
        </row>
        <row r="16">
          <cell r="A16" t="str">
            <v>6211572740</v>
          </cell>
          <cell r="B16">
            <v>62115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6211572770</v>
          </cell>
          <cell r="B17">
            <v>62115</v>
          </cell>
          <cell r="C17">
            <v>72770</v>
          </cell>
          <cell r="D17" t="str">
            <v>Utilities - Water</v>
          </cell>
          <cell r="E17">
            <v>161.78</v>
          </cell>
          <cell r="F17">
            <v>130</v>
          </cell>
          <cell r="G17">
            <v>31.78</v>
          </cell>
          <cell r="H17">
            <v>5249.98</v>
          </cell>
          <cell r="I17">
            <v>5249.98</v>
          </cell>
          <cell r="J17">
            <v>0</v>
          </cell>
        </row>
        <row r="18">
          <cell r="A18" t="str">
            <v>6211576000</v>
          </cell>
          <cell r="B18">
            <v>62115</v>
          </cell>
          <cell r="C18">
            <v>76000</v>
          </cell>
          <cell r="D18" t="str">
            <v>Bldg Maintenance &amp; Repair</v>
          </cell>
          <cell r="E18">
            <v>50</v>
          </cell>
          <cell r="F18">
            <v>82.4</v>
          </cell>
          <cell r="G18">
            <v>-32.4</v>
          </cell>
          <cell r="H18">
            <v>18606.27</v>
          </cell>
          <cell r="I18">
            <v>18606.27</v>
          </cell>
          <cell r="J18">
            <v>0</v>
          </cell>
        </row>
        <row r="19">
          <cell r="A19" t="str">
            <v>6211576020</v>
          </cell>
          <cell r="B19">
            <v>62115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6211576034</v>
          </cell>
          <cell r="B20">
            <v>62115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6211576050</v>
          </cell>
          <cell r="B21">
            <v>62115</v>
          </cell>
          <cell r="C21">
            <v>76050</v>
          </cell>
          <cell r="D21" t="str">
            <v>Cleaning Expense</v>
          </cell>
          <cell r="E21">
            <v>1196.71</v>
          </cell>
          <cell r="F21">
            <v>1186.21</v>
          </cell>
          <cell r="G21">
            <v>10.5</v>
          </cell>
          <cell r="H21">
            <v>16997.22</v>
          </cell>
          <cell r="I21">
            <v>16997.22</v>
          </cell>
          <cell r="J21">
            <v>0</v>
          </cell>
        </row>
        <row r="22">
          <cell r="A22" t="str">
            <v>6211576056</v>
          </cell>
          <cell r="B22">
            <v>62115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6211576070</v>
          </cell>
          <cell r="B23">
            <v>62115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6211576091</v>
          </cell>
          <cell r="B24">
            <v>62115</v>
          </cell>
          <cell r="C24">
            <v>76091</v>
          </cell>
          <cell r="D24" t="str">
            <v>Parking Maintenance</v>
          </cell>
          <cell r="E24">
            <v>1575</v>
          </cell>
          <cell r="F24">
            <v>1121.3699999999999</v>
          </cell>
          <cell r="G24">
            <v>453.63</v>
          </cell>
          <cell r="H24">
            <v>17721.939999999999</v>
          </cell>
          <cell r="I24">
            <v>17721.939999999999</v>
          </cell>
          <cell r="J24">
            <v>0</v>
          </cell>
        </row>
        <row r="25">
          <cell r="A25" t="str">
            <v>6211577000</v>
          </cell>
          <cell r="B25">
            <v>62115</v>
          </cell>
          <cell r="C25">
            <v>77000</v>
          </cell>
          <cell r="D25" t="str">
            <v>Grounds Maintenance</v>
          </cell>
          <cell r="E25">
            <v>232.09</v>
          </cell>
          <cell r="F25">
            <v>140.55000000000001</v>
          </cell>
          <cell r="G25">
            <v>91.54</v>
          </cell>
          <cell r="H25">
            <v>19704.419999999998</v>
          </cell>
          <cell r="I25">
            <v>19704.419999999998</v>
          </cell>
          <cell r="J25">
            <v>0</v>
          </cell>
        </row>
        <row r="26">
          <cell r="A26" t="str">
            <v>6211577053</v>
          </cell>
          <cell r="B26">
            <v>62115</v>
          </cell>
          <cell r="C26">
            <v>77053</v>
          </cell>
          <cell r="D26" t="str">
            <v>Landscaping</v>
          </cell>
          <cell r="E26">
            <v>1074</v>
          </cell>
          <cell r="F26">
            <v>1194.8599999999999</v>
          </cell>
          <cell r="G26">
            <v>-120.86</v>
          </cell>
          <cell r="H26">
            <v>25844.98</v>
          </cell>
          <cell r="I26">
            <v>25844.98</v>
          </cell>
          <cell r="J26">
            <v>0</v>
          </cell>
        </row>
        <row r="27">
          <cell r="A27" t="str">
            <v>6211578020</v>
          </cell>
          <cell r="B27">
            <v>62115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6211584264</v>
          </cell>
          <cell r="B28">
            <v>62115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6211585555</v>
          </cell>
          <cell r="B29">
            <v>62115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6211585584</v>
          </cell>
          <cell r="B30">
            <v>62115</v>
          </cell>
          <cell r="C30">
            <v>85584</v>
          </cell>
          <cell r="D30" t="str">
            <v>Bldg Admin-Office Costs</v>
          </cell>
          <cell r="E30">
            <v>169.04</v>
          </cell>
          <cell r="F30">
            <v>262.83</v>
          </cell>
          <cell r="G30">
            <v>-93.79</v>
          </cell>
          <cell r="H30">
            <v>3363.28</v>
          </cell>
          <cell r="I30">
            <v>3363.28</v>
          </cell>
          <cell r="J30">
            <v>0</v>
          </cell>
        </row>
        <row r="31">
          <cell r="A31" t="str">
            <v>6211585582</v>
          </cell>
          <cell r="B31">
            <v>62115</v>
          </cell>
          <cell r="C31">
            <v>85582</v>
          </cell>
          <cell r="D31" t="str">
            <v>Bldg Admin-Salaries</v>
          </cell>
          <cell r="E31">
            <v>1231.8599999999999</v>
          </cell>
          <cell r="F31">
            <v>1232.08</v>
          </cell>
          <cell r="G31">
            <v>-0.22000000000002701</v>
          </cell>
          <cell r="H31">
            <v>15723.8</v>
          </cell>
          <cell r="I31">
            <v>15723.8</v>
          </cell>
          <cell r="J31">
            <v>0</v>
          </cell>
        </row>
        <row r="32">
          <cell r="A32" t="str">
            <v>6211586564</v>
          </cell>
          <cell r="B32">
            <v>62115</v>
          </cell>
          <cell r="C32">
            <v>86564</v>
          </cell>
          <cell r="D32" t="str">
            <v>Insurance</v>
          </cell>
          <cell r="E32">
            <v>742</v>
          </cell>
          <cell r="F32">
            <v>741.25</v>
          </cell>
          <cell r="G32">
            <v>0.75</v>
          </cell>
          <cell r="H32">
            <v>8895</v>
          </cell>
          <cell r="I32">
            <v>8895</v>
          </cell>
          <cell r="J32">
            <v>0</v>
          </cell>
        </row>
        <row r="33">
          <cell r="A33" t="str">
            <v>6211588846</v>
          </cell>
          <cell r="B33">
            <v>62115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6211588890</v>
          </cell>
          <cell r="B34">
            <v>62115</v>
          </cell>
          <cell r="C34">
            <v>88890</v>
          </cell>
          <cell r="D34" t="str">
            <v>Security/Safety</v>
          </cell>
          <cell r="E34">
            <v>200.02</v>
          </cell>
          <cell r="F34">
            <v>210.02</v>
          </cell>
          <cell r="G34">
            <v>-10</v>
          </cell>
          <cell r="H34">
            <v>2828.29</v>
          </cell>
          <cell r="I34">
            <v>2828.29</v>
          </cell>
          <cell r="J34">
            <v>0</v>
          </cell>
        </row>
        <row r="35">
          <cell r="A35" t="str">
            <v>6211589775</v>
          </cell>
          <cell r="B35">
            <v>62115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6211589729</v>
          </cell>
          <cell r="B36">
            <v>62115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6211589786</v>
          </cell>
          <cell r="B37">
            <v>62115</v>
          </cell>
          <cell r="C37">
            <v>89786</v>
          </cell>
          <cell r="D37" t="str">
            <v>Property Tax Exp</v>
          </cell>
          <cell r="E37">
            <v>4020.66</v>
          </cell>
          <cell r="F37">
            <v>4020.66</v>
          </cell>
          <cell r="G37">
            <v>0</v>
          </cell>
          <cell r="H37">
            <v>48248</v>
          </cell>
          <cell r="I37">
            <v>48248</v>
          </cell>
          <cell r="J37">
            <v>0</v>
          </cell>
        </row>
        <row r="38">
          <cell r="A38" t="str">
            <v>6211571040</v>
          </cell>
          <cell r="B38">
            <v>62115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6211572701</v>
          </cell>
          <cell r="B39">
            <v>62115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283.62</v>
          </cell>
          <cell r="I39">
            <v>283.62</v>
          </cell>
          <cell r="J39">
            <v>0</v>
          </cell>
        </row>
        <row r="40">
          <cell r="A40" t="str">
            <v>6211572855</v>
          </cell>
          <cell r="B40">
            <v>62115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6211572870</v>
          </cell>
          <cell r="B41">
            <v>62115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6211576010</v>
          </cell>
          <cell r="B42">
            <v>62115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103</v>
          </cell>
          <cell r="I42">
            <v>103</v>
          </cell>
          <cell r="J42">
            <v>0</v>
          </cell>
        </row>
        <row r="43">
          <cell r="A43" t="str">
            <v>6211576040</v>
          </cell>
          <cell r="B43">
            <v>62115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6211576051</v>
          </cell>
          <cell r="B44">
            <v>62115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6211576054</v>
          </cell>
          <cell r="B45">
            <v>62115</v>
          </cell>
          <cell r="C45">
            <v>76054</v>
          </cell>
          <cell r="D45" t="str">
            <v>Bldg Maintenance &amp; Repair</v>
          </cell>
          <cell r="E45">
            <v>-200</v>
          </cell>
          <cell r="F45">
            <v>0</v>
          </cell>
          <cell r="G45">
            <v>-200</v>
          </cell>
          <cell r="H45">
            <v>5718.85</v>
          </cell>
          <cell r="I45">
            <v>5718.85</v>
          </cell>
          <cell r="J45">
            <v>0</v>
          </cell>
        </row>
        <row r="46">
          <cell r="A46" t="str">
            <v>6211576060</v>
          </cell>
          <cell r="B46">
            <v>62115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6211576071</v>
          </cell>
          <cell r="B47">
            <v>62115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392549</v>
          </cell>
          <cell r="I47">
            <v>392549</v>
          </cell>
          <cell r="J47">
            <v>0</v>
          </cell>
        </row>
        <row r="48">
          <cell r="A48" t="str">
            <v>6211576090</v>
          </cell>
          <cell r="B48">
            <v>62115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6211577001</v>
          </cell>
          <cell r="B49">
            <v>62115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6211577022</v>
          </cell>
          <cell r="B50">
            <v>62115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6211584200</v>
          </cell>
          <cell r="B51">
            <v>62115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6211584240</v>
          </cell>
          <cell r="B52">
            <v>62115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 t="str">
            <v>6211584242</v>
          </cell>
          <cell r="B53">
            <v>62115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6211584243</v>
          </cell>
          <cell r="B54">
            <v>62115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6211584244</v>
          </cell>
          <cell r="B55">
            <v>62115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6211584265</v>
          </cell>
          <cell r="B56">
            <v>62115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6211588037</v>
          </cell>
          <cell r="B57">
            <v>62115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6211585016</v>
          </cell>
          <cell r="B58">
            <v>62115</v>
          </cell>
          <cell r="C58">
            <v>85016</v>
          </cell>
          <cell r="D58" t="str">
            <v>Prof Svc-Attorney Outside</v>
          </cell>
          <cell r="E58">
            <v>1762.8</v>
          </cell>
          <cell r="F58">
            <v>0</v>
          </cell>
          <cell r="G58">
            <v>1762.8</v>
          </cell>
          <cell r="H58">
            <v>14548.75</v>
          </cell>
          <cell r="I58">
            <v>14548.75</v>
          </cell>
          <cell r="J58">
            <v>0</v>
          </cell>
        </row>
        <row r="59">
          <cell r="A59" t="str">
            <v>6211585022</v>
          </cell>
          <cell r="B59">
            <v>62115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1100.4000000000001</v>
          </cell>
          <cell r="I59">
            <v>1100.4000000000001</v>
          </cell>
          <cell r="J59">
            <v>0</v>
          </cell>
        </row>
        <row r="60">
          <cell r="A60" t="str">
            <v>6211585065</v>
          </cell>
          <cell r="B60">
            <v>62115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6211585500</v>
          </cell>
          <cell r="B61">
            <v>62115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6211585566</v>
          </cell>
          <cell r="B62">
            <v>62115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6211585581</v>
          </cell>
          <cell r="B63">
            <v>62115</v>
          </cell>
          <cell r="C63">
            <v>85581</v>
          </cell>
          <cell r="D63" t="str">
            <v>Bldg Admin- Salaries</v>
          </cell>
          <cell r="E63">
            <v>1078.95</v>
          </cell>
          <cell r="F63">
            <v>1079.17</v>
          </cell>
          <cell r="G63">
            <v>-0.22000000000002701</v>
          </cell>
          <cell r="H63">
            <v>13561.7</v>
          </cell>
          <cell r="I63">
            <v>13561.7</v>
          </cell>
          <cell r="J63">
            <v>0</v>
          </cell>
        </row>
        <row r="64">
          <cell r="A64" t="str">
            <v>6211585583</v>
          </cell>
          <cell r="B64">
            <v>62115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6211585530</v>
          </cell>
          <cell r="B65">
            <v>62115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6211586012</v>
          </cell>
          <cell r="B66">
            <v>62115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6211586037</v>
          </cell>
          <cell r="B67">
            <v>62115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6211583050</v>
          </cell>
          <cell r="B68">
            <v>62115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6211586510</v>
          </cell>
          <cell r="B69">
            <v>62115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6211586537</v>
          </cell>
          <cell r="B70">
            <v>62115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6211586566</v>
          </cell>
          <cell r="B71">
            <v>62115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6211586955</v>
          </cell>
          <cell r="B72">
            <v>62115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6211586985</v>
          </cell>
          <cell r="B73">
            <v>62115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6211586880</v>
          </cell>
          <cell r="B74">
            <v>62115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6211588710</v>
          </cell>
          <cell r="B75">
            <v>62115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1144.67</v>
          </cell>
          <cell r="G75">
            <v>-1144.67</v>
          </cell>
          <cell r="H75">
            <v>13736</v>
          </cell>
          <cell r="I75">
            <v>13736</v>
          </cell>
          <cell r="J75">
            <v>0</v>
          </cell>
        </row>
        <row r="76">
          <cell r="A76" t="str">
            <v>6211588711</v>
          </cell>
          <cell r="B76">
            <v>62115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6211588785</v>
          </cell>
          <cell r="B77">
            <v>62115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6211588847</v>
          </cell>
          <cell r="B78">
            <v>62115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6211588866</v>
          </cell>
          <cell r="B79">
            <v>62115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6211588870</v>
          </cell>
          <cell r="B80">
            <v>62115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6211588889</v>
          </cell>
          <cell r="B81">
            <v>62115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6211589776</v>
          </cell>
          <cell r="B82">
            <v>62115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6211589787</v>
          </cell>
          <cell r="B83">
            <v>62115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6211589510</v>
          </cell>
          <cell r="B84">
            <v>62115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6211589511</v>
          </cell>
          <cell r="B85">
            <v>62115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6211589512</v>
          </cell>
          <cell r="B86">
            <v>62115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6211589528</v>
          </cell>
          <cell r="B87">
            <v>62115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6211589529</v>
          </cell>
          <cell r="B88">
            <v>62115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6211589567</v>
          </cell>
          <cell r="B89">
            <v>62115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6211585058</v>
          </cell>
          <cell r="B90">
            <v>62115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6211586513</v>
          </cell>
          <cell r="B91">
            <v>62115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4777.2</v>
          </cell>
          <cell r="I91">
            <v>4777.2</v>
          </cell>
          <cell r="J91">
            <v>0</v>
          </cell>
        </row>
        <row r="92">
          <cell r="A92" t="str">
            <v>6211586519</v>
          </cell>
          <cell r="B92">
            <v>62115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6211588770</v>
          </cell>
          <cell r="B93">
            <v>62115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6211588862</v>
          </cell>
          <cell r="B94">
            <v>62115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6211588874</v>
          </cell>
          <cell r="B95">
            <v>62115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6211589910</v>
          </cell>
          <cell r="B96">
            <v>62115</v>
          </cell>
          <cell r="C96">
            <v>89910</v>
          </cell>
          <cell r="D96" t="str">
            <v>Depreciation</v>
          </cell>
          <cell r="E96">
            <v>0</v>
          </cell>
          <cell r="F96">
            <v>3595.74</v>
          </cell>
          <cell r="G96">
            <v>-3595.74</v>
          </cell>
          <cell r="H96">
            <v>42637.23</v>
          </cell>
          <cell r="I96">
            <v>42637.23</v>
          </cell>
          <cell r="J96">
            <v>0</v>
          </cell>
        </row>
        <row r="97">
          <cell r="A97" t="str">
            <v>6211589548</v>
          </cell>
          <cell r="B97">
            <v>62115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6211641010</v>
          </cell>
          <cell r="B98">
            <v>62116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6211641040</v>
          </cell>
          <cell r="B99">
            <v>62116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6211641050</v>
          </cell>
          <cell r="B100">
            <v>62116</v>
          </cell>
          <cell r="C100">
            <v>41050</v>
          </cell>
          <cell r="D100" t="str">
            <v>Rental Income - Fixed</v>
          </cell>
          <cell r="E100">
            <v>-14039.2</v>
          </cell>
          <cell r="F100">
            <v>0</v>
          </cell>
          <cell r="G100">
            <v>-14039.2</v>
          </cell>
          <cell r="H100">
            <v>-430670.04</v>
          </cell>
          <cell r="I100">
            <v>-430670.04</v>
          </cell>
          <cell r="J100">
            <v>0</v>
          </cell>
        </row>
        <row r="101">
          <cell r="A101" t="str">
            <v>6211641074</v>
          </cell>
          <cell r="B101">
            <v>62116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 t="str">
            <v>6211641082</v>
          </cell>
          <cell r="B102">
            <v>62116</v>
          </cell>
          <cell r="C102">
            <v>41082</v>
          </cell>
          <cell r="D102" t="str">
            <v>Rental Income - Operating Exp</v>
          </cell>
          <cell r="E102">
            <v>-8184.25</v>
          </cell>
          <cell r="F102">
            <v>-9841.89</v>
          </cell>
          <cell r="G102">
            <v>1657.64</v>
          </cell>
          <cell r="H102">
            <v>-118102.68</v>
          </cell>
          <cell r="I102">
            <v>-118102.68</v>
          </cell>
          <cell r="J102">
            <v>0</v>
          </cell>
        </row>
        <row r="103">
          <cell r="A103" t="str">
            <v>6211644610</v>
          </cell>
          <cell r="B103">
            <v>62116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6211645071</v>
          </cell>
          <cell r="B104">
            <v>62116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6211645010</v>
          </cell>
          <cell r="B105">
            <v>62116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6211645046</v>
          </cell>
          <cell r="B106">
            <v>62116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6211645070</v>
          </cell>
          <cell r="B107">
            <v>62116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A108" t="str">
            <v>6211641060</v>
          </cell>
          <cell r="B108">
            <v>62116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914.58</v>
          </cell>
          <cell r="G108">
            <v>-914.58</v>
          </cell>
          <cell r="H108">
            <v>10975</v>
          </cell>
          <cell r="I108">
            <v>10975</v>
          </cell>
          <cell r="J108">
            <v>0</v>
          </cell>
        </row>
        <row r="109">
          <cell r="A109" t="str">
            <v>6211644870</v>
          </cell>
          <cell r="B109">
            <v>62116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6211652542</v>
          </cell>
          <cell r="B110">
            <v>62116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6211672710</v>
          </cell>
          <cell r="B111">
            <v>62116</v>
          </cell>
          <cell r="C111">
            <v>72710</v>
          </cell>
          <cell r="D111" t="str">
            <v>Utilities - Electricity</v>
          </cell>
          <cell r="E111">
            <v>419.98</v>
          </cell>
          <cell r="F111">
            <v>255</v>
          </cell>
          <cell r="G111">
            <v>164.98</v>
          </cell>
          <cell r="H111">
            <v>5600.01</v>
          </cell>
          <cell r="I111">
            <v>5600.01</v>
          </cell>
          <cell r="J111">
            <v>0</v>
          </cell>
        </row>
        <row r="112">
          <cell r="A112" t="str">
            <v>6211672740</v>
          </cell>
          <cell r="B112">
            <v>62116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6211672770</v>
          </cell>
          <cell r="B113">
            <v>62116</v>
          </cell>
          <cell r="C113">
            <v>72770</v>
          </cell>
          <cell r="D113" t="str">
            <v>Utilities - Water</v>
          </cell>
          <cell r="E113">
            <v>162.13999999999999</v>
          </cell>
          <cell r="F113">
            <v>93.6</v>
          </cell>
          <cell r="G113">
            <v>68.540000000000006</v>
          </cell>
          <cell r="H113">
            <v>2090.94</v>
          </cell>
          <cell r="I113">
            <v>2090.94</v>
          </cell>
          <cell r="J113">
            <v>0</v>
          </cell>
        </row>
        <row r="114">
          <cell r="A114" t="str">
            <v>6211676000</v>
          </cell>
          <cell r="B114">
            <v>62116</v>
          </cell>
          <cell r="C114">
            <v>76000</v>
          </cell>
          <cell r="D114" t="str">
            <v>Bldg Maintenance &amp; Repair</v>
          </cell>
          <cell r="E114">
            <v>10.82</v>
          </cell>
          <cell r="F114">
            <v>0</v>
          </cell>
          <cell r="G114">
            <v>10.82</v>
          </cell>
          <cell r="H114">
            <v>7136.41</v>
          </cell>
          <cell r="I114">
            <v>7136.41</v>
          </cell>
          <cell r="J114">
            <v>0</v>
          </cell>
        </row>
        <row r="115">
          <cell r="A115" t="str">
            <v>6211676020</v>
          </cell>
          <cell r="B115">
            <v>62116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6211676034</v>
          </cell>
          <cell r="B116">
            <v>62116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6211676050</v>
          </cell>
          <cell r="B117">
            <v>62116</v>
          </cell>
          <cell r="C117">
            <v>76050</v>
          </cell>
          <cell r="D117" t="str">
            <v>Cleaning Expense</v>
          </cell>
          <cell r="E117">
            <v>-1.52</v>
          </cell>
          <cell r="F117">
            <v>0</v>
          </cell>
          <cell r="G117">
            <v>-1.52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6211676056</v>
          </cell>
          <cell r="B118">
            <v>62116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6211676070</v>
          </cell>
          <cell r="B119">
            <v>62116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6211676091</v>
          </cell>
          <cell r="B120">
            <v>62116</v>
          </cell>
          <cell r="C120">
            <v>76091</v>
          </cell>
          <cell r="D120" t="str">
            <v>Parking Maintenance</v>
          </cell>
          <cell r="E120">
            <v>591.5</v>
          </cell>
          <cell r="F120">
            <v>609.25</v>
          </cell>
          <cell r="G120">
            <v>-17.75</v>
          </cell>
          <cell r="H120">
            <v>10511.06</v>
          </cell>
          <cell r="I120">
            <v>10511.06</v>
          </cell>
          <cell r="J120">
            <v>0</v>
          </cell>
        </row>
        <row r="121">
          <cell r="A121" t="str">
            <v>6211677000</v>
          </cell>
          <cell r="B121">
            <v>62116</v>
          </cell>
          <cell r="C121">
            <v>77000</v>
          </cell>
          <cell r="D121" t="str">
            <v>Grounds Maintenance</v>
          </cell>
          <cell r="E121">
            <v>365.36</v>
          </cell>
          <cell r="F121">
            <v>1968.86</v>
          </cell>
          <cell r="G121">
            <v>-1603.5</v>
          </cell>
          <cell r="H121">
            <v>15554.8</v>
          </cell>
          <cell r="I121">
            <v>15554.8</v>
          </cell>
          <cell r="J121">
            <v>0</v>
          </cell>
        </row>
        <row r="122">
          <cell r="A122" t="str">
            <v>6211677053</v>
          </cell>
          <cell r="B122">
            <v>62116</v>
          </cell>
          <cell r="C122">
            <v>77053</v>
          </cell>
          <cell r="D122" t="str">
            <v>Landscaping</v>
          </cell>
          <cell r="E122">
            <v>773.85</v>
          </cell>
          <cell r="F122">
            <v>823.86</v>
          </cell>
          <cell r="G122">
            <v>-50.01</v>
          </cell>
          <cell r="H122">
            <v>21854.77</v>
          </cell>
          <cell r="I122">
            <v>21854.77</v>
          </cell>
          <cell r="J122">
            <v>0</v>
          </cell>
        </row>
        <row r="123">
          <cell r="A123" t="str">
            <v>6211678020</v>
          </cell>
          <cell r="B123">
            <v>62116</v>
          </cell>
          <cell r="C123">
            <v>78020</v>
          </cell>
          <cell r="D123" t="str">
            <v>Amortized CAM Exp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</row>
        <row r="124">
          <cell r="A124" t="str">
            <v>6211684264</v>
          </cell>
          <cell r="B124">
            <v>62116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6211685555</v>
          </cell>
          <cell r="B125">
            <v>62116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6211685584</v>
          </cell>
          <cell r="B126">
            <v>62116</v>
          </cell>
          <cell r="C126">
            <v>85584</v>
          </cell>
          <cell r="D126" t="str">
            <v>Bldg Admin-Office Costs</v>
          </cell>
          <cell r="E126">
            <v>125.44</v>
          </cell>
          <cell r="F126">
            <v>195</v>
          </cell>
          <cell r="G126">
            <v>-69.56</v>
          </cell>
          <cell r="H126">
            <v>2340</v>
          </cell>
          <cell r="I126">
            <v>2340</v>
          </cell>
          <cell r="J126">
            <v>0</v>
          </cell>
        </row>
        <row r="127">
          <cell r="A127" t="str">
            <v>6211685582</v>
          </cell>
          <cell r="B127">
            <v>62116</v>
          </cell>
          <cell r="C127">
            <v>85582</v>
          </cell>
          <cell r="D127" t="str">
            <v>Bldg Admin-Salaries</v>
          </cell>
          <cell r="E127">
            <v>913.85</v>
          </cell>
          <cell r="F127">
            <v>914.17</v>
          </cell>
          <cell r="G127">
            <v>-0.319999999999936</v>
          </cell>
          <cell r="H127">
            <v>11666.7</v>
          </cell>
          <cell r="I127">
            <v>11666.7</v>
          </cell>
          <cell r="J127">
            <v>0</v>
          </cell>
        </row>
        <row r="128">
          <cell r="A128" t="str">
            <v>6211686564</v>
          </cell>
          <cell r="B128">
            <v>62116</v>
          </cell>
          <cell r="C128">
            <v>86564</v>
          </cell>
          <cell r="D128" t="str">
            <v>Insurance</v>
          </cell>
          <cell r="E128">
            <v>462</v>
          </cell>
          <cell r="F128">
            <v>462.34</v>
          </cell>
          <cell r="G128">
            <v>-0.33999999999997499</v>
          </cell>
          <cell r="H128">
            <v>5548</v>
          </cell>
          <cell r="I128">
            <v>5548</v>
          </cell>
          <cell r="J128">
            <v>0</v>
          </cell>
        </row>
        <row r="129">
          <cell r="A129" t="str">
            <v>6211688846</v>
          </cell>
          <cell r="B129">
            <v>62116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6211688890</v>
          </cell>
          <cell r="B130">
            <v>62116</v>
          </cell>
          <cell r="C130">
            <v>88890</v>
          </cell>
          <cell r="D130" t="str">
            <v>Security/Safety</v>
          </cell>
          <cell r="E130">
            <v>573.82000000000005</v>
          </cell>
          <cell r="F130">
            <v>210.02</v>
          </cell>
          <cell r="G130">
            <v>363.8</v>
          </cell>
          <cell r="H130">
            <v>2855.78</v>
          </cell>
          <cell r="I130">
            <v>2855.78</v>
          </cell>
          <cell r="J130">
            <v>0</v>
          </cell>
        </row>
        <row r="131">
          <cell r="A131" t="str">
            <v>6211689775</v>
          </cell>
          <cell r="B131">
            <v>62116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6211689729</v>
          </cell>
          <cell r="B132">
            <v>62116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6211689786</v>
          </cell>
          <cell r="B133">
            <v>62116</v>
          </cell>
          <cell r="C133">
            <v>89786</v>
          </cell>
          <cell r="D133" t="str">
            <v>Property Tax Exp</v>
          </cell>
          <cell r="E133">
            <v>5732.4</v>
          </cell>
          <cell r="F133">
            <v>5732.4</v>
          </cell>
          <cell r="G133">
            <v>0</v>
          </cell>
          <cell r="H133">
            <v>61008.24</v>
          </cell>
          <cell r="I133">
            <v>61008.24</v>
          </cell>
          <cell r="J133">
            <v>0</v>
          </cell>
        </row>
        <row r="134">
          <cell r="A134" t="str">
            <v>6211671040</v>
          </cell>
          <cell r="B134">
            <v>62116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6211672701</v>
          </cell>
          <cell r="B135">
            <v>62116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844</v>
          </cell>
          <cell r="I135">
            <v>844</v>
          </cell>
          <cell r="J135">
            <v>0</v>
          </cell>
        </row>
        <row r="136">
          <cell r="A136" t="str">
            <v>6211672855</v>
          </cell>
          <cell r="B136">
            <v>62116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6211672870</v>
          </cell>
          <cell r="B137">
            <v>62116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6211676010</v>
          </cell>
          <cell r="B138">
            <v>62116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6211676040</v>
          </cell>
          <cell r="B139">
            <v>62116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6211676051</v>
          </cell>
          <cell r="B140">
            <v>62116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6211676054</v>
          </cell>
          <cell r="B141">
            <v>62116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32087.97</v>
          </cell>
          <cell r="I141">
            <v>32087.97</v>
          </cell>
          <cell r="J141">
            <v>0</v>
          </cell>
        </row>
        <row r="142">
          <cell r="A142" t="str">
            <v>6211676060</v>
          </cell>
          <cell r="B142">
            <v>62116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6211676071</v>
          </cell>
          <cell r="B143">
            <v>62116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6211676090</v>
          </cell>
          <cell r="B144">
            <v>62116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6211677001</v>
          </cell>
          <cell r="B145">
            <v>62116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6211677022</v>
          </cell>
          <cell r="B146">
            <v>62116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6211684200</v>
          </cell>
          <cell r="B147">
            <v>62116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6211684240</v>
          </cell>
          <cell r="B148">
            <v>62116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6211684242</v>
          </cell>
          <cell r="B149">
            <v>62116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6211684243</v>
          </cell>
          <cell r="B150">
            <v>62116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6211684244</v>
          </cell>
          <cell r="B151">
            <v>62116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6211684265</v>
          </cell>
          <cell r="B152">
            <v>62116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6211688037</v>
          </cell>
          <cell r="B153">
            <v>62116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6211685016</v>
          </cell>
          <cell r="B154">
            <v>62116</v>
          </cell>
          <cell r="C154">
            <v>85016</v>
          </cell>
          <cell r="D154" t="str">
            <v>Prof Svc-Attorney Outside</v>
          </cell>
          <cell r="E154">
            <v>2541.5</v>
          </cell>
          <cell r="F154">
            <v>0</v>
          </cell>
          <cell r="G154">
            <v>2541.5</v>
          </cell>
          <cell r="H154">
            <v>6316</v>
          </cell>
          <cell r="I154">
            <v>6316</v>
          </cell>
          <cell r="J154">
            <v>0</v>
          </cell>
        </row>
        <row r="155">
          <cell r="A155" t="str">
            <v>6211685022</v>
          </cell>
          <cell r="B155">
            <v>62116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347</v>
          </cell>
          <cell r="I155">
            <v>347</v>
          </cell>
          <cell r="J155">
            <v>0</v>
          </cell>
        </row>
        <row r="156">
          <cell r="A156" t="str">
            <v>6211685065</v>
          </cell>
          <cell r="B156">
            <v>62116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6211685500</v>
          </cell>
          <cell r="B157">
            <v>62116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2575</v>
          </cell>
          <cell r="I157">
            <v>2575</v>
          </cell>
          <cell r="J157">
            <v>0</v>
          </cell>
        </row>
        <row r="158">
          <cell r="A158" t="str">
            <v>6211685566</v>
          </cell>
          <cell r="B158">
            <v>62116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6211685581</v>
          </cell>
          <cell r="B159">
            <v>62116</v>
          </cell>
          <cell r="C159">
            <v>85581</v>
          </cell>
          <cell r="D159" t="str">
            <v>Bldg Admin- Salaries</v>
          </cell>
          <cell r="E159">
            <v>826.69</v>
          </cell>
          <cell r="F159">
            <v>826.92</v>
          </cell>
          <cell r="G159">
            <v>-0.229999999999905</v>
          </cell>
          <cell r="H159">
            <v>10354.200000000001</v>
          </cell>
          <cell r="I159">
            <v>10354.200000000001</v>
          </cell>
          <cell r="J159">
            <v>0</v>
          </cell>
        </row>
        <row r="160">
          <cell r="A160" t="str">
            <v>6211685583</v>
          </cell>
          <cell r="B160">
            <v>62116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6211685530</v>
          </cell>
          <cell r="B161">
            <v>62116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6211686012</v>
          </cell>
          <cell r="B162">
            <v>62116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6211686037</v>
          </cell>
          <cell r="B163">
            <v>62116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6211683050</v>
          </cell>
          <cell r="B164">
            <v>62116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6211686510</v>
          </cell>
          <cell r="B165">
            <v>62116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6211686537</v>
          </cell>
          <cell r="B166">
            <v>62116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6211686566</v>
          </cell>
          <cell r="B167">
            <v>62116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6211686955</v>
          </cell>
          <cell r="B168">
            <v>62116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6211686985</v>
          </cell>
          <cell r="B169">
            <v>62116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6211686880</v>
          </cell>
          <cell r="B170">
            <v>62116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6211688710</v>
          </cell>
          <cell r="B171">
            <v>62116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0.08</v>
          </cell>
          <cell r="G171">
            <v>-0.08</v>
          </cell>
          <cell r="H171">
            <v>5488.64</v>
          </cell>
          <cell r="I171">
            <v>5488.64</v>
          </cell>
          <cell r="J171">
            <v>0</v>
          </cell>
        </row>
        <row r="172">
          <cell r="A172" t="str">
            <v>6211688711</v>
          </cell>
          <cell r="B172">
            <v>62116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6211688785</v>
          </cell>
          <cell r="B173">
            <v>62116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6211688847</v>
          </cell>
          <cell r="B174">
            <v>62116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6211688866</v>
          </cell>
          <cell r="B175">
            <v>62116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6211688870</v>
          </cell>
          <cell r="B176">
            <v>62116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6211688889</v>
          </cell>
          <cell r="B177">
            <v>62116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6211689776</v>
          </cell>
          <cell r="B178">
            <v>62116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6211689787</v>
          </cell>
          <cell r="B179">
            <v>62116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6211689510</v>
          </cell>
          <cell r="B180">
            <v>62116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6211689511</v>
          </cell>
          <cell r="B181">
            <v>62116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6211689512</v>
          </cell>
          <cell r="B182">
            <v>62116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6211689528</v>
          </cell>
          <cell r="B183">
            <v>62116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6211689529</v>
          </cell>
          <cell r="B184">
            <v>62116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6211689567</v>
          </cell>
          <cell r="B185">
            <v>62116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6211685058</v>
          </cell>
          <cell r="B186">
            <v>62116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6211686513</v>
          </cell>
          <cell r="B187">
            <v>62116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6211686519</v>
          </cell>
          <cell r="B188">
            <v>62116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6211688770</v>
          </cell>
          <cell r="B189">
            <v>62116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6211688862</v>
          </cell>
          <cell r="B190">
            <v>62116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6211688874</v>
          </cell>
          <cell r="B191">
            <v>62116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6211689910</v>
          </cell>
          <cell r="B192">
            <v>62116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4851.8999999999996</v>
          </cell>
          <cell r="G192">
            <v>-4851.8999999999996</v>
          </cell>
          <cell r="H192">
            <v>58222.84</v>
          </cell>
          <cell r="I192">
            <v>58222.84</v>
          </cell>
          <cell r="J192">
            <v>0</v>
          </cell>
        </row>
        <row r="193">
          <cell r="A193" t="str">
            <v>6211689548</v>
          </cell>
          <cell r="B193">
            <v>62116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6213141010</v>
          </cell>
          <cell r="B194">
            <v>62131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6213141040</v>
          </cell>
          <cell r="B195">
            <v>62131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6213141050</v>
          </cell>
          <cell r="B196">
            <v>62131</v>
          </cell>
          <cell r="C196">
            <v>41050</v>
          </cell>
          <cell r="D196" t="str">
            <v>Rental Income - Fixed</v>
          </cell>
          <cell r="E196">
            <v>-193311.28</v>
          </cell>
          <cell r="F196">
            <v>-184999.69</v>
          </cell>
          <cell r="G196">
            <v>-8311.59</v>
          </cell>
          <cell r="H196">
            <v>-2257036.69</v>
          </cell>
          <cell r="I196">
            <v>-2257036.69</v>
          </cell>
          <cell r="J196">
            <v>0</v>
          </cell>
        </row>
        <row r="197">
          <cell r="A197" t="str">
            <v>6213141074</v>
          </cell>
          <cell r="B197">
            <v>62131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0</v>
          </cell>
          <cell r="G197">
            <v>0</v>
          </cell>
          <cell r="H197">
            <v>-22163</v>
          </cell>
          <cell r="I197">
            <v>-22163</v>
          </cell>
          <cell r="J197">
            <v>0</v>
          </cell>
        </row>
        <row r="198">
          <cell r="A198" t="str">
            <v>6213141082</v>
          </cell>
          <cell r="B198">
            <v>62131</v>
          </cell>
          <cell r="C198">
            <v>41082</v>
          </cell>
          <cell r="D198" t="str">
            <v>Rental Income - Operating Exp</v>
          </cell>
          <cell r="E198">
            <v>-47964.05</v>
          </cell>
          <cell r="F198">
            <v>-56768.32</v>
          </cell>
          <cell r="G198">
            <v>8804.27</v>
          </cell>
          <cell r="H198">
            <v>-681219.84</v>
          </cell>
          <cell r="I198">
            <v>-681219.84</v>
          </cell>
          <cell r="J198">
            <v>0</v>
          </cell>
        </row>
        <row r="199">
          <cell r="A199" t="str">
            <v>6213144610</v>
          </cell>
          <cell r="B199">
            <v>62131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6213145071</v>
          </cell>
          <cell r="B200">
            <v>62131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6213145010</v>
          </cell>
          <cell r="B201">
            <v>62131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6213145046</v>
          </cell>
          <cell r="B202">
            <v>62131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6213145070</v>
          </cell>
          <cell r="B203">
            <v>62131</v>
          </cell>
          <cell r="C203">
            <v>45070</v>
          </cell>
          <cell r="D203" t="str">
            <v>Other Income</v>
          </cell>
          <cell r="E203">
            <v>-1205.9100000000001</v>
          </cell>
          <cell r="F203">
            <v>-1556.32</v>
          </cell>
          <cell r="G203">
            <v>350.41</v>
          </cell>
          <cell r="H203">
            <v>-5002.83</v>
          </cell>
          <cell r="I203">
            <v>-5002.83</v>
          </cell>
          <cell r="J203">
            <v>0</v>
          </cell>
        </row>
        <row r="204">
          <cell r="A204" t="str">
            <v>6213141060</v>
          </cell>
          <cell r="B204">
            <v>62131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4934</v>
          </cell>
          <cell r="G204">
            <v>-4934</v>
          </cell>
          <cell r="H204">
            <v>59208</v>
          </cell>
          <cell r="I204">
            <v>59208</v>
          </cell>
          <cell r="J204">
            <v>0</v>
          </cell>
        </row>
        <row r="205">
          <cell r="A205" t="str">
            <v>6213144870</v>
          </cell>
          <cell r="B205">
            <v>62131</v>
          </cell>
          <cell r="C205">
            <v>44870</v>
          </cell>
          <cell r="D205" t="str">
            <v>Late Fees</v>
          </cell>
          <cell r="E205">
            <v>-23.51</v>
          </cell>
          <cell r="F205">
            <v>-46.58</v>
          </cell>
          <cell r="G205">
            <v>23.07</v>
          </cell>
          <cell r="H205">
            <v>-527.63</v>
          </cell>
          <cell r="I205">
            <v>-527.63</v>
          </cell>
          <cell r="J205">
            <v>0</v>
          </cell>
        </row>
        <row r="206">
          <cell r="A206" t="str">
            <v>6213152542</v>
          </cell>
          <cell r="B206">
            <v>62131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6213172710</v>
          </cell>
          <cell r="B207">
            <v>62131</v>
          </cell>
          <cell r="C207">
            <v>72710</v>
          </cell>
          <cell r="D207" t="str">
            <v>Utilities - Electricity</v>
          </cell>
          <cell r="E207">
            <v>4496.58</v>
          </cell>
          <cell r="F207">
            <v>2550</v>
          </cell>
          <cell r="G207">
            <v>1946.58</v>
          </cell>
          <cell r="H207">
            <v>81026.44</v>
          </cell>
          <cell r="I207">
            <v>81026.44</v>
          </cell>
          <cell r="J207">
            <v>0</v>
          </cell>
        </row>
        <row r="208">
          <cell r="A208" t="str">
            <v>6213172740</v>
          </cell>
          <cell r="B208">
            <v>62131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6213172770</v>
          </cell>
          <cell r="B209">
            <v>62131</v>
          </cell>
          <cell r="C209">
            <v>72770</v>
          </cell>
          <cell r="D209" t="str">
            <v>Utilities - Water</v>
          </cell>
          <cell r="E209">
            <v>653.15</v>
          </cell>
          <cell r="F209">
            <v>728</v>
          </cell>
          <cell r="G209">
            <v>-74.849999999999994</v>
          </cell>
          <cell r="H209">
            <v>14199.93</v>
          </cell>
          <cell r="I209">
            <v>14199.93</v>
          </cell>
          <cell r="J209">
            <v>0</v>
          </cell>
        </row>
        <row r="210">
          <cell r="A210" t="str">
            <v>6213176000</v>
          </cell>
          <cell r="B210">
            <v>62131</v>
          </cell>
          <cell r="C210">
            <v>76000</v>
          </cell>
          <cell r="D210" t="str">
            <v>Bldg Maintenance &amp; Repair</v>
          </cell>
          <cell r="E210">
            <v>2651.83</v>
          </cell>
          <cell r="F210">
            <v>6570.76</v>
          </cell>
          <cell r="G210">
            <v>-3918.93</v>
          </cell>
          <cell r="H210">
            <v>84487.86</v>
          </cell>
          <cell r="I210">
            <v>84487.86</v>
          </cell>
          <cell r="J210">
            <v>0</v>
          </cell>
        </row>
        <row r="211">
          <cell r="A211" t="str">
            <v>6213176020</v>
          </cell>
          <cell r="B211">
            <v>62131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6213176034</v>
          </cell>
          <cell r="B212">
            <v>62131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6213176050</v>
          </cell>
          <cell r="B213">
            <v>62131</v>
          </cell>
          <cell r="C213">
            <v>76050</v>
          </cell>
          <cell r="D213" t="str">
            <v>Cleaning Expense</v>
          </cell>
          <cell r="E213">
            <v>6505.7</v>
          </cell>
          <cell r="F213">
            <v>6354.4</v>
          </cell>
          <cell r="G213">
            <v>151.30000000000001</v>
          </cell>
          <cell r="H213">
            <v>81361.86</v>
          </cell>
          <cell r="I213">
            <v>81361.86</v>
          </cell>
          <cell r="J213">
            <v>0</v>
          </cell>
        </row>
        <row r="214">
          <cell r="A214" t="str">
            <v>6213176056</v>
          </cell>
          <cell r="B214">
            <v>62131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6213176070</v>
          </cell>
          <cell r="B215">
            <v>62131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6213176091</v>
          </cell>
          <cell r="B216">
            <v>62131</v>
          </cell>
          <cell r="C216">
            <v>76091</v>
          </cell>
          <cell r="D216" t="str">
            <v>Parking Maintenance</v>
          </cell>
          <cell r="E216">
            <v>3160</v>
          </cell>
          <cell r="F216">
            <v>2724.35</v>
          </cell>
          <cell r="G216">
            <v>435.65</v>
          </cell>
          <cell r="H216">
            <v>44237.17</v>
          </cell>
          <cell r="I216">
            <v>44237.17</v>
          </cell>
          <cell r="J216">
            <v>0</v>
          </cell>
        </row>
        <row r="217">
          <cell r="A217" t="str">
            <v>6213177000</v>
          </cell>
          <cell r="B217">
            <v>62131</v>
          </cell>
          <cell r="C217">
            <v>77000</v>
          </cell>
          <cell r="D217" t="str">
            <v>Grounds Maintenance</v>
          </cell>
          <cell r="E217">
            <v>1682.44</v>
          </cell>
          <cell r="F217">
            <v>683.67</v>
          </cell>
          <cell r="G217">
            <v>998.77</v>
          </cell>
          <cell r="H217">
            <v>47823.83</v>
          </cell>
          <cell r="I217">
            <v>47823.83</v>
          </cell>
          <cell r="J217">
            <v>0</v>
          </cell>
        </row>
        <row r="218">
          <cell r="A218" t="str">
            <v>6213177053</v>
          </cell>
          <cell r="B218">
            <v>62131</v>
          </cell>
          <cell r="C218">
            <v>77053</v>
          </cell>
          <cell r="D218" t="str">
            <v>Landscaping</v>
          </cell>
          <cell r="E218">
            <v>3035</v>
          </cell>
          <cell r="F218">
            <v>2820.01</v>
          </cell>
          <cell r="G218">
            <v>214.99</v>
          </cell>
          <cell r="H218">
            <v>67995.839999999997</v>
          </cell>
          <cell r="I218">
            <v>67995.839999999997</v>
          </cell>
          <cell r="J218">
            <v>0</v>
          </cell>
        </row>
        <row r="219">
          <cell r="A219" t="str">
            <v>6213178020</v>
          </cell>
          <cell r="B219">
            <v>62131</v>
          </cell>
          <cell r="C219">
            <v>78020</v>
          </cell>
          <cell r="D219" t="str">
            <v>Amortized CAM Exp</v>
          </cell>
          <cell r="E219">
            <v>4999.67</v>
          </cell>
          <cell r="F219">
            <v>5000</v>
          </cell>
          <cell r="G219">
            <v>-0.32999999999992702</v>
          </cell>
          <cell r="H219">
            <v>60000</v>
          </cell>
          <cell r="I219">
            <v>60000</v>
          </cell>
          <cell r="J219">
            <v>0</v>
          </cell>
        </row>
        <row r="220">
          <cell r="A220" t="str">
            <v>6213184264</v>
          </cell>
          <cell r="B220">
            <v>62131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6213185555</v>
          </cell>
          <cell r="B221">
            <v>62131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6213185584</v>
          </cell>
          <cell r="B222">
            <v>62131</v>
          </cell>
          <cell r="C222">
            <v>85584</v>
          </cell>
          <cell r="D222" t="str">
            <v>Bldg Admin-Office Costs</v>
          </cell>
          <cell r="E222">
            <v>978.07</v>
          </cell>
          <cell r="F222">
            <v>1549.83</v>
          </cell>
          <cell r="G222">
            <v>-571.76</v>
          </cell>
          <cell r="H222">
            <v>18598</v>
          </cell>
          <cell r="I222">
            <v>18598</v>
          </cell>
          <cell r="J222">
            <v>0</v>
          </cell>
        </row>
        <row r="223">
          <cell r="A223" t="str">
            <v>6213185582</v>
          </cell>
          <cell r="B223">
            <v>62131</v>
          </cell>
          <cell r="C223">
            <v>85582</v>
          </cell>
          <cell r="D223" t="str">
            <v>Bldg Admin-Salaries</v>
          </cell>
          <cell r="E223">
            <v>7804.19</v>
          </cell>
          <cell r="F223">
            <v>7804.42</v>
          </cell>
          <cell r="G223">
            <v>-0.23000000000047299</v>
          </cell>
          <cell r="H223">
            <v>99713.2</v>
          </cell>
          <cell r="I223">
            <v>99713.2</v>
          </cell>
          <cell r="J223">
            <v>0</v>
          </cell>
        </row>
        <row r="224">
          <cell r="A224" t="str">
            <v>6213186564</v>
          </cell>
          <cell r="B224">
            <v>62131</v>
          </cell>
          <cell r="C224">
            <v>86564</v>
          </cell>
          <cell r="D224" t="str">
            <v>Insurance</v>
          </cell>
          <cell r="E224">
            <v>4158</v>
          </cell>
          <cell r="F224">
            <v>4157.84</v>
          </cell>
          <cell r="G224">
            <v>0.15999999999985401</v>
          </cell>
          <cell r="H224">
            <v>49894</v>
          </cell>
          <cell r="I224">
            <v>49894</v>
          </cell>
          <cell r="J224">
            <v>0</v>
          </cell>
        </row>
        <row r="225">
          <cell r="A225" t="str">
            <v>6213188846</v>
          </cell>
          <cell r="B225">
            <v>62131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6213188890</v>
          </cell>
          <cell r="B226">
            <v>62131</v>
          </cell>
          <cell r="C226">
            <v>88890</v>
          </cell>
          <cell r="D226" t="str">
            <v>Security/Safety</v>
          </cell>
          <cell r="E226">
            <v>4671.24</v>
          </cell>
          <cell r="F226">
            <v>4371.42</v>
          </cell>
          <cell r="G226">
            <v>299.82</v>
          </cell>
          <cell r="H226">
            <v>53412.26</v>
          </cell>
          <cell r="I226">
            <v>53412.26</v>
          </cell>
          <cell r="J226">
            <v>0</v>
          </cell>
        </row>
        <row r="227">
          <cell r="A227" t="str">
            <v>6213189775</v>
          </cell>
          <cell r="B227">
            <v>62131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6213189729</v>
          </cell>
          <cell r="B228">
            <v>62131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6213189786</v>
          </cell>
          <cell r="B229">
            <v>62131</v>
          </cell>
          <cell r="C229">
            <v>89786</v>
          </cell>
          <cell r="D229" t="str">
            <v>Property Tax Exp</v>
          </cell>
          <cell r="E229">
            <v>18894.580000000002</v>
          </cell>
          <cell r="F229">
            <v>18894.580000000002</v>
          </cell>
          <cell r="G229">
            <v>0</v>
          </cell>
          <cell r="H229">
            <v>226735</v>
          </cell>
          <cell r="I229">
            <v>226735</v>
          </cell>
          <cell r="J229">
            <v>0</v>
          </cell>
        </row>
        <row r="230">
          <cell r="A230" t="str">
            <v>6213171040</v>
          </cell>
          <cell r="B230">
            <v>62131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6213172701</v>
          </cell>
          <cell r="B231">
            <v>62131</v>
          </cell>
          <cell r="C231">
            <v>72701</v>
          </cell>
          <cell r="D231" t="str">
            <v>Utilities</v>
          </cell>
          <cell r="E231">
            <v>1268.8499999999999</v>
          </cell>
          <cell r="F231">
            <v>0</v>
          </cell>
          <cell r="G231">
            <v>1268.8499999999999</v>
          </cell>
          <cell r="H231">
            <v>25988.86</v>
          </cell>
          <cell r="I231">
            <v>25988.86</v>
          </cell>
          <cell r="J231">
            <v>0</v>
          </cell>
        </row>
        <row r="232">
          <cell r="A232" t="str">
            <v>6213172855</v>
          </cell>
          <cell r="B232">
            <v>62131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6213172870</v>
          </cell>
          <cell r="B233">
            <v>62131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6213176010</v>
          </cell>
          <cell r="B234">
            <v>62131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2709.99</v>
          </cell>
          <cell r="I234">
            <v>2709.99</v>
          </cell>
          <cell r="J234">
            <v>0</v>
          </cell>
        </row>
        <row r="235">
          <cell r="A235" t="str">
            <v>6213176040</v>
          </cell>
          <cell r="B235">
            <v>62131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6213176051</v>
          </cell>
          <cell r="B236">
            <v>62131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6213176054</v>
          </cell>
          <cell r="B237">
            <v>62131</v>
          </cell>
          <cell r="C237">
            <v>76054</v>
          </cell>
          <cell r="D237" t="str">
            <v>Bldg Maintenance &amp; Repair</v>
          </cell>
          <cell r="E237">
            <v>1557.5</v>
          </cell>
          <cell r="F237">
            <v>5140.6000000000004</v>
          </cell>
          <cell r="G237">
            <v>-3583.1</v>
          </cell>
          <cell r="H237">
            <v>70324</v>
          </cell>
          <cell r="I237">
            <v>70324</v>
          </cell>
          <cell r="J237">
            <v>0</v>
          </cell>
        </row>
        <row r="238">
          <cell r="A238" t="str">
            <v>6213176060</v>
          </cell>
          <cell r="B238">
            <v>62131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6213176071</v>
          </cell>
          <cell r="B239">
            <v>62131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400000</v>
          </cell>
          <cell r="I239">
            <v>400000</v>
          </cell>
          <cell r="J239">
            <v>0</v>
          </cell>
        </row>
        <row r="240">
          <cell r="A240" t="str">
            <v>6213176090</v>
          </cell>
          <cell r="B240">
            <v>62131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6213177001</v>
          </cell>
          <cell r="B241">
            <v>62131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6213177022</v>
          </cell>
          <cell r="B242">
            <v>62131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6213184200</v>
          </cell>
          <cell r="B243">
            <v>62131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6213184240</v>
          </cell>
          <cell r="B244">
            <v>62131</v>
          </cell>
          <cell r="C244">
            <v>84240</v>
          </cell>
          <cell r="D244" t="str">
            <v>Marketing Leasing</v>
          </cell>
          <cell r="E244">
            <v>1206.1400000000001</v>
          </cell>
          <cell r="F244">
            <v>1544.5</v>
          </cell>
          <cell r="G244">
            <v>-338.36</v>
          </cell>
          <cell r="H244">
            <v>19380.3</v>
          </cell>
          <cell r="I244">
            <v>19380.3</v>
          </cell>
          <cell r="J244">
            <v>0</v>
          </cell>
        </row>
        <row r="245">
          <cell r="A245" t="str">
            <v>6213184242</v>
          </cell>
          <cell r="B245">
            <v>62131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6213184243</v>
          </cell>
          <cell r="B246">
            <v>62131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-18903</v>
          </cell>
          <cell r="I246">
            <v>-18903</v>
          </cell>
          <cell r="J246">
            <v>0</v>
          </cell>
        </row>
        <row r="247">
          <cell r="A247" t="str">
            <v>6213184244</v>
          </cell>
          <cell r="B247">
            <v>62131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6213184265</v>
          </cell>
          <cell r="B248">
            <v>62131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6213188037</v>
          </cell>
          <cell r="B249">
            <v>62131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6213185016</v>
          </cell>
          <cell r="B250">
            <v>62131</v>
          </cell>
          <cell r="C250">
            <v>85016</v>
          </cell>
          <cell r="D250" t="str">
            <v>Prof Svc-Attorney Outside</v>
          </cell>
          <cell r="E250">
            <v>48</v>
          </cell>
          <cell r="F250">
            <v>0</v>
          </cell>
          <cell r="G250">
            <v>48</v>
          </cell>
          <cell r="H250">
            <v>7718.1</v>
          </cell>
          <cell r="I250">
            <v>7718.1</v>
          </cell>
          <cell r="J250">
            <v>0</v>
          </cell>
        </row>
        <row r="251">
          <cell r="A251" t="str">
            <v>6213185022</v>
          </cell>
          <cell r="B251">
            <v>62131</v>
          </cell>
          <cell r="C251">
            <v>85022</v>
          </cell>
          <cell r="D251" t="str">
            <v>Prof Svc-Audit/Acctng</v>
          </cell>
          <cell r="E251">
            <v>0.02</v>
          </cell>
          <cell r="F251">
            <v>0</v>
          </cell>
          <cell r="G251">
            <v>0.02</v>
          </cell>
          <cell r="H251">
            <v>5499.69</v>
          </cell>
          <cell r="I251">
            <v>5499.69</v>
          </cell>
          <cell r="J251">
            <v>0</v>
          </cell>
        </row>
        <row r="252">
          <cell r="A252" t="str">
            <v>6213185065</v>
          </cell>
          <cell r="B252">
            <v>62131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6213185500</v>
          </cell>
          <cell r="B253">
            <v>62131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8621.2099999999991</v>
          </cell>
          <cell r="I253">
            <v>8621.2099999999991</v>
          </cell>
          <cell r="J253">
            <v>0</v>
          </cell>
        </row>
        <row r="254">
          <cell r="A254" t="str">
            <v>6213185566</v>
          </cell>
          <cell r="B254">
            <v>62131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6213185581</v>
          </cell>
          <cell r="B255">
            <v>62131</v>
          </cell>
          <cell r="C255">
            <v>85581</v>
          </cell>
          <cell r="D255" t="str">
            <v>Bldg Admin- Salaries</v>
          </cell>
          <cell r="E255">
            <v>5577.55</v>
          </cell>
          <cell r="F255">
            <v>5577.92</v>
          </cell>
          <cell r="G255">
            <v>-0.36999999999989103</v>
          </cell>
          <cell r="H255">
            <v>70865.2</v>
          </cell>
          <cell r="I255">
            <v>70865.2</v>
          </cell>
          <cell r="J255">
            <v>0</v>
          </cell>
        </row>
        <row r="256">
          <cell r="A256" t="str">
            <v>6213185583</v>
          </cell>
          <cell r="B256">
            <v>62131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6213185530</v>
          </cell>
          <cell r="B257">
            <v>62131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6213186012</v>
          </cell>
          <cell r="B258">
            <v>62131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6213186037</v>
          </cell>
          <cell r="B259">
            <v>62131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6213183050</v>
          </cell>
          <cell r="B260">
            <v>62131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6213186510</v>
          </cell>
          <cell r="B261">
            <v>62131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6213186537</v>
          </cell>
          <cell r="B262">
            <v>62131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6213186566</v>
          </cell>
          <cell r="B263">
            <v>62131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6213186955</v>
          </cell>
          <cell r="B264">
            <v>62131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6213186985</v>
          </cell>
          <cell r="B265">
            <v>62131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6213186880</v>
          </cell>
          <cell r="B266">
            <v>62131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6213188710</v>
          </cell>
          <cell r="B267">
            <v>62131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0.08</v>
          </cell>
          <cell r="G267">
            <v>-0.08</v>
          </cell>
          <cell r="H267">
            <v>59320.639999999999</v>
          </cell>
          <cell r="I267">
            <v>59320.639999999999</v>
          </cell>
          <cell r="J267">
            <v>0</v>
          </cell>
        </row>
        <row r="268">
          <cell r="A268" t="str">
            <v>6213188711</v>
          </cell>
          <cell r="B268">
            <v>62131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6213188785</v>
          </cell>
          <cell r="B269">
            <v>62131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6213188847</v>
          </cell>
          <cell r="B270">
            <v>62131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6213188866</v>
          </cell>
          <cell r="B271">
            <v>62131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6213188870</v>
          </cell>
          <cell r="B272">
            <v>62131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6213188889</v>
          </cell>
          <cell r="B273">
            <v>62131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6213189776</v>
          </cell>
          <cell r="B274">
            <v>62131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6213189787</v>
          </cell>
          <cell r="B275">
            <v>62131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6213189510</v>
          </cell>
          <cell r="B276">
            <v>62131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46166</v>
          </cell>
          <cell r="G276">
            <v>-46166</v>
          </cell>
          <cell r="H276">
            <v>533367</v>
          </cell>
          <cell r="I276">
            <v>533367</v>
          </cell>
          <cell r="J276">
            <v>0</v>
          </cell>
        </row>
        <row r="277">
          <cell r="A277" t="str">
            <v>6213189511</v>
          </cell>
          <cell r="B277">
            <v>62131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6213189512</v>
          </cell>
          <cell r="B278">
            <v>62131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6213189528</v>
          </cell>
          <cell r="B279">
            <v>62131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6213189529</v>
          </cell>
          <cell r="B280">
            <v>62131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1037</v>
          </cell>
          <cell r="G280">
            <v>-1037</v>
          </cell>
          <cell r="H280">
            <v>12444</v>
          </cell>
          <cell r="I280">
            <v>12444</v>
          </cell>
          <cell r="J280">
            <v>0</v>
          </cell>
        </row>
        <row r="281">
          <cell r="A281" t="str">
            <v>6213189567</v>
          </cell>
          <cell r="B281">
            <v>62131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6213185058</v>
          </cell>
          <cell r="B282">
            <v>62131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6213186513</v>
          </cell>
          <cell r="B283">
            <v>62131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64.33</v>
          </cell>
          <cell r="G283">
            <v>-64.33</v>
          </cell>
          <cell r="H283">
            <v>1364.96</v>
          </cell>
          <cell r="I283">
            <v>1364.96</v>
          </cell>
          <cell r="J283">
            <v>0</v>
          </cell>
        </row>
        <row r="284">
          <cell r="A284" t="str">
            <v>6213186519</v>
          </cell>
          <cell r="B284">
            <v>62131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6213188770</v>
          </cell>
          <cell r="B285">
            <v>62131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6213188862</v>
          </cell>
          <cell r="B286">
            <v>62131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6213188874</v>
          </cell>
          <cell r="B287">
            <v>62131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6213189910</v>
          </cell>
          <cell r="B288">
            <v>62131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29974.16</v>
          </cell>
          <cell r="G288">
            <v>-29974.16</v>
          </cell>
          <cell r="H288">
            <v>360842</v>
          </cell>
          <cell r="I288">
            <v>360842</v>
          </cell>
          <cell r="J288">
            <v>0</v>
          </cell>
        </row>
        <row r="289">
          <cell r="A289" t="str">
            <v>6213189548</v>
          </cell>
          <cell r="B289">
            <v>62131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6214541010</v>
          </cell>
          <cell r="B290">
            <v>62145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6214541040</v>
          </cell>
          <cell r="B291">
            <v>62145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6214541050</v>
          </cell>
          <cell r="B292">
            <v>62145</v>
          </cell>
          <cell r="C292">
            <v>41050</v>
          </cell>
          <cell r="D292" t="str">
            <v>Rental Income - Fixed</v>
          </cell>
          <cell r="E292">
            <v>-159090.45000000001</v>
          </cell>
          <cell r="F292">
            <v>-159090.45000000001</v>
          </cell>
          <cell r="G292">
            <v>0</v>
          </cell>
          <cell r="H292">
            <v>-1931406.42</v>
          </cell>
          <cell r="I292">
            <v>-1931406.42</v>
          </cell>
          <cell r="J292">
            <v>0</v>
          </cell>
        </row>
        <row r="293">
          <cell r="A293" t="str">
            <v>6214541074</v>
          </cell>
          <cell r="B293">
            <v>62145</v>
          </cell>
          <cell r="C293">
            <v>41074</v>
          </cell>
          <cell r="D293" t="str">
            <v>Rental Income - Percentage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A294" t="str">
            <v>6214541082</v>
          </cell>
          <cell r="B294">
            <v>62145</v>
          </cell>
          <cell r="C294">
            <v>41082</v>
          </cell>
          <cell r="D294" t="str">
            <v>Rental Income - Operating Exp</v>
          </cell>
          <cell r="E294">
            <v>-50449.53</v>
          </cell>
          <cell r="F294">
            <v>-54289.04</v>
          </cell>
          <cell r="G294">
            <v>3839.51</v>
          </cell>
          <cell r="H294">
            <v>-651468.48</v>
          </cell>
          <cell r="I294">
            <v>-651468.48</v>
          </cell>
          <cell r="J294">
            <v>0</v>
          </cell>
        </row>
        <row r="295">
          <cell r="A295" t="str">
            <v>6214544610</v>
          </cell>
          <cell r="B295">
            <v>62145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6214545071</v>
          </cell>
          <cell r="B296">
            <v>62145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6214545010</v>
          </cell>
          <cell r="B297">
            <v>62145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6214545046</v>
          </cell>
          <cell r="B298">
            <v>62145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6214545070</v>
          </cell>
          <cell r="B299">
            <v>62145</v>
          </cell>
          <cell r="C299">
            <v>45070</v>
          </cell>
          <cell r="D299" t="str">
            <v>Other Income</v>
          </cell>
          <cell r="E299">
            <v>0</v>
          </cell>
          <cell r="F299">
            <v>0</v>
          </cell>
          <cell r="G299">
            <v>0</v>
          </cell>
          <cell r="H299">
            <v>-106.09</v>
          </cell>
          <cell r="I299">
            <v>-106.09</v>
          </cell>
          <cell r="J299">
            <v>0</v>
          </cell>
        </row>
        <row r="300">
          <cell r="A300" t="str">
            <v>6214541060</v>
          </cell>
          <cell r="B300">
            <v>62145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2152.42</v>
          </cell>
          <cell r="G300">
            <v>-2152.42</v>
          </cell>
          <cell r="H300">
            <v>25829</v>
          </cell>
          <cell r="I300">
            <v>25829</v>
          </cell>
          <cell r="J300">
            <v>0</v>
          </cell>
        </row>
        <row r="301">
          <cell r="A301" t="str">
            <v>6214544870</v>
          </cell>
          <cell r="B301">
            <v>62145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6214552542</v>
          </cell>
          <cell r="B302">
            <v>62145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6214572710</v>
          </cell>
          <cell r="B303">
            <v>62145</v>
          </cell>
          <cell r="C303">
            <v>72710</v>
          </cell>
          <cell r="D303" t="str">
            <v>Utilities - Electricity</v>
          </cell>
          <cell r="E303">
            <v>2798.39</v>
          </cell>
          <cell r="F303">
            <v>2208</v>
          </cell>
          <cell r="G303">
            <v>590.39</v>
          </cell>
          <cell r="H303">
            <v>40804</v>
          </cell>
          <cell r="I303">
            <v>40804</v>
          </cell>
          <cell r="J303">
            <v>0</v>
          </cell>
        </row>
        <row r="304">
          <cell r="A304" t="str">
            <v>6214572740</v>
          </cell>
          <cell r="B304">
            <v>62145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6214572770</v>
          </cell>
          <cell r="B305">
            <v>62145</v>
          </cell>
          <cell r="C305">
            <v>72770</v>
          </cell>
          <cell r="D305" t="str">
            <v>Utilities - Water</v>
          </cell>
          <cell r="E305">
            <v>740.12</v>
          </cell>
          <cell r="F305">
            <v>76.61</v>
          </cell>
          <cell r="G305">
            <v>663.51</v>
          </cell>
          <cell r="H305">
            <v>6078.12</v>
          </cell>
          <cell r="I305">
            <v>6078.12</v>
          </cell>
          <cell r="J305">
            <v>0</v>
          </cell>
        </row>
        <row r="306">
          <cell r="A306" t="str">
            <v>6214576000</v>
          </cell>
          <cell r="B306">
            <v>62145</v>
          </cell>
          <cell r="C306">
            <v>76000</v>
          </cell>
          <cell r="D306" t="str">
            <v>Bldg Maintenance &amp; Repair</v>
          </cell>
          <cell r="E306">
            <v>7492.29</v>
          </cell>
          <cell r="F306">
            <v>2258.7399999999998</v>
          </cell>
          <cell r="G306">
            <v>5233.55</v>
          </cell>
          <cell r="H306">
            <v>44478.65</v>
          </cell>
          <cell r="I306">
            <v>44478.65</v>
          </cell>
          <cell r="J306">
            <v>0</v>
          </cell>
        </row>
        <row r="307">
          <cell r="A307" t="str">
            <v>6214576020</v>
          </cell>
          <cell r="B307">
            <v>62145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6214576034</v>
          </cell>
          <cell r="B308">
            <v>62145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6214576050</v>
          </cell>
          <cell r="B309">
            <v>62145</v>
          </cell>
          <cell r="C309">
            <v>76050</v>
          </cell>
          <cell r="D309" t="str">
            <v>Cleaning Expense</v>
          </cell>
          <cell r="E309">
            <v>6795.4</v>
          </cell>
          <cell r="F309">
            <v>6028.86</v>
          </cell>
          <cell r="G309">
            <v>766.54</v>
          </cell>
          <cell r="H309">
            <v>94059.72</v>
          </cell>
          <cell r="I309">
            <v>94059.72</v>
          </cell>
          <cell r="J309">
            <v>0</v>
          </cell>
        </row>
        <row r="310">
          <cell r="A310" t="str">
            <v>6214576056</v>
          </cell>
          <cell r="B310">
            <v>62145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6214576070</v>
          </cell>
          <cell r="B311">
            <v>62145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6214576091</v>
          </cell>
          <cell r="B312">
            <v>62145</v>
          </cell>
          <cell r="C312">
            <v>76091</v>
          </cell>
          <cell r="D312" t="str">
            <v>Parking Maintenance</v>
          </cell>
          <cell r="E312">
            <v>3090</v>
          </cell>
          <cell r="F312">
            <v>3166.22</v>
          </cell>
          <cell r="G312">
            <v>-76.2199999999998</v>
          </cell>
          <cell r="H312">
            <v>40012.32</v>
          </cell>
          <cell r="I312">
            <v>40012.32</v>
          </cell>
          <cell r="J312">
            <v>0</v>
          </cell>
        </row>
        <row r="313">
          <cell r="A313" t="str">
            <v>6214577000</v>
          </cell>
          <cell r="B313">
            <v>62145</v>
          </cell>
          <cell r="C313">
            <v>77000</v>
          </cell>
          <cell r="D313" t="str">
            <v>Grounds Maintenance</v>
          </cell>
          <cell r="E313">
            <v>1216.25</v>
          </cell>
          <cell r="F313">
            <v>14975.92</v>
          </cell>
          <cell r="G313">
            <v>-13759.67</v>
          </cell>
          <cell r="H313">
            <v>39821.07</v>
          </cell>
          <cell r="I313">
            <v>39821.07</v>
          </cell>
          <cell r="J313">
            <v>0</v>
          </cell>
        </row>
        <row r="314">
          <cell r="A314" t="str">
            <v>6214577053</v>
          </cell>
          <cell r="B314">
            <v>62145</v>
          </cell>
          <cell r="C314">
            <v>77053</v>
          </cell>
          <cell r="D314" t="str">
            <v>Landscaping</v>
          </cell>
          <cell r="E314">
            <v>3764</v>
          </cell>
          <cell r="F314">
            <v>3568.25</v>
          </cell>
          <cell r="G314">
            <v>195.75</v>
          </cell>
          <cell r="H314">
            <v>50163.77</v>
          </cell>
          <cell r="I314">
            <v>50163.77</v>
          </cell>
          <cell r="J314">
            <v>0</v>
          </cell>
        </row>
        <row r="315">
          <cell r="A315" t="str">
            <v>6214578020</v>
          </cell>
          <cell r="B315">
            <v>62145</v>
          </cell>
          <cell r="C315">
            <v>78020</v>
          </cell>
          <cell r="D315" t="str">
            <v>Amortized CAM Exp</v>
          </cell>
          <cell r="E315">
            <v>0</v>
          </cell>
          <cell r="F315">
            <v>0.08</v>
          </cell>
          <cell r="G315">
            <v>-0.08</v>
          </cell>
          <cell r="H315">
            <v>1</v>
          </cell>
          <cell r="I315">
            <v>1</v>
          </cell>
          <cell r="J315">
            <v>0</v>
          </cell>
        </row>
        <row r="316">
          <cell r="A316" t="str">
            <v>6214584264</v>
          </cell>
          <cell r="B316">
            <v>62145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6214585555</v>
          </cell>
          <cell r="B317">
            <v>62145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6214585584</v>
          </cell>
          <cell r="B318">
            <v>62145</v>
          </cell>
          <cell r="C318">
            <v>85584</v>
          </cell>
          <cell r="D318" t="str">
            <v>Bldg Admin-Office Costs</v>
          </cell>
          <cell r="E318">
            <v>327.20999999999998</v>
          </cell>
          <cell r="F318">
            <v>508.83</v>
          </cell>
          <cell r="G318">
            <v>-181.62</v>
          </cell>
          <cell r="H318">
            <v>6106</v>
          </cell>
          <cell r="I318">
            <v>6106</v>
          </cell>
          <cell r="J318">
            <v>0</v>
          </cell>
        </row>
        <row r="319">
          <cell r="A319" t="str">
            <v>6214585582</v>
          </cell>
          <cell r="B319">
            <v>62145</v>
          </cell>
          <cell r="C319">
            <v>85582</v>
          </cell>
          <cell r="D319" t="str">
            <v>Bldg Admin-Salaries</v>
          </cell>
          <cell r="E319">
            <v>2863.42</v>
          </cell>
          <cell r="F319">
            <v>2863.83</v>
          </cell>
          <cell r="G319">
            <v>-0.40999999999985398</v>
          </cell>
          <cell r="H319">
            <v>36631.300000000003</v>
          </cell>
          <cell r="I319">
            <v>36631.300000000003</v>
          </cell>
          <cell r="J319">
            <v>0</v>
          </cell>
        </row>
        <row r="320">
          <cell r="A320" t="str">
            <v>6214586564</v>
          </cell>
          <cell r="B320">
            <v>62145</v>
          </cell>
          <cell r="C320">
            <v>86564</v>
          </cell>
          <cell r="D320" t="str">
            <v>Insurance</v>
          </cell>
          <cell r="E320">
            <v>1918</v>
          </cell>
          <cell r="F320">
            <v>1917.08</v>
          </cell>
          <cell r="G320">
            <v>0.92000000000007298</v>
          </cell>
          <cell r="H320">
            <v>23005</v>
          </cell>
          <cell r="I320">
            <v>23005</v>
          </cell>
          <cell r="J320">
            <v>0</v>
          </cell>
        </row>
        <row r="321">
          <cell r="A321" t="str">
            <v>6214588846</v>
          </cell>
          <cell r="B321">
            <v>62145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6214588890</v>
          </cell>
          <cell r="B322">
            <v>62145</v>
          </cell>
          <cell r="C322">
            <v>88890</v>
          </cell>
          <cell r="D322" t="str">
            <v>Security/Safety</v>
          </cell>
          <cell r="E322">
            <v>3638.34</v>
          </cell>
          <cell r="F322">
            <v>5159.76</v>
          </cell>
          <cell r="G322">
            <v>-1521.42</v>
          </cell>
          <cell r="H322">
            <v>57415.98</v>
          </cell>
          <cell r="I322">
            <v>57415.98</v>
          </cell>
          <cell r="J322">
            <v>0</v>
          </cell>
        </row>
        <row r="323">
          <cell r="A323" t="str">
            <v>6214589775</v>
          </cell>
          <cell r="B323">
            <v>62145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6214589729</v>
          </cell>
          <cell r="B324">
            <v>62145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6214589786</v>
          </cell>
          <cell r="B325">
            <v>62145</v>
          </cell>
          <cell r="C325">
            <v>89786</v>
          </cell>
          <cell r="D325" t="str">
            <v>Property Tax Exp</v>
          </cell>
          <cell r="E325">
            <v>18679.830000000002</v>
          </cell>
          <cell r="F325">
            <v>18679.830000000002</v>
          </cell>
          <cell r="G325">
            <v>0</v>
          </cell>
          <cell r="H325">
            <v>224158</v>
          </cell>
          <cell r="I325">
            <v>224158</v>
          </cell>
          <cell r="J325">
            <v>0</v>
          </cell>
        </row>
        <row r="326">
          <cell r="A326" t="str">
            <v>6214571040</v>
          </cell>
          <cell r="B326">
            <v>62145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6214572701</v>
          </cell>
          <cell r="B327">
            <v>62145</v>
          </cell>
          <cell r="C327">
            <v>72701</v>
          </cell>
          <cell r="D327" t="str">
            <v>Utilities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6214572855</v>
          </cell>
          <cell r="B328">
            <v>62145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6214572870</v>
          </cell>
          <cell r="B329">
            <v>62145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6214576010</v>
          </cell>
          <cell r="B330">
            <v>62145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6214576040</v>
          </cell>
          <cell r="B331">
            <v>62145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6214576051</v>
          </cell>
          <cell r="B332">
            <v>62145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6214576054</v>
          </cell>
          <cell r="B333">
            <v>62145</v>
          </cell>
          <cell r="C333">
            <v>76054</v>
          </cell>
          <cell r="D333" t="str">
            <v>Bldg Maintenance &amp; Repair</v>
          </cell>
          <cell r="E333">
            <v>0</v>
          </cell>
          <cell r="F333">
            <v>0</v>
          </cell>
          <cell r="G333">
            <v>0</v>
          </cell>
          <cell r="H333">
            <v>776.64</v>
          </cell>
          <cell r="I333">
            <v>776.64</v>
          </cell>
          <cell r="J333">
            <v>0</v>
          </cell>
        </row>
        <row r="334">
          <cell r="A334" t="str">
            <v>6214576060</v>
          </cell>
          <cell r="B334">
            <v>62145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6214576071</v>
          </cell>
          <cell r="B335">
            <v>62145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6214576090</v>
          </cell>
          <cell r="B336">
            <v>62145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6214577001</v>
          </cell>
          <cell r="B337">
            <v>62145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6214577022</v>
          </cell>
          <cell r="B338">
            <v>62145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6214584200</v>
          </cell>
          <cell r="B339">
            <v>62145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6214584240</v>
          </cell>
          <cell r="B340">
            <v>62145</v>
          </cell>
          <cell r="C340">
            <v>84240</v>
          </cell>
          <cell r="D340" t="str">
            <v>Marketing Leasing</v>
          </cell>
          <cell r="E340">
            <v>9.8699999999999992</v>
          </cell>
          <cell r="F340">
            <v>121.33</v>
          </cell>
          <cell r="G340">
            <v>-111.46</v>
          </cell>
          <cell r="H340">
            <v>1456</v>
          </cell>
          <cell r="I340">
            <v>1456</v>
          </cell>
          <cell r="J340">
            <v>0</v>
          </cell>
        </row>
        <row r="341">
          <cell r="A341" t="str">
            <v>6214584242</v>
          </cell>
          <cell r="B341">
            <v>62145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6214584243</v>
          </cell>
          <cell r="B342">
            <v>62145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6214584244</v>
          </cell>
          <cell r="B343">
            <v>62145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6214584265</v>
          </cell>
          <cell r="B344">
            <v>62145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6214588037</v>
          </cell>
          <cell r="B345">
            <v>62145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6214585016</v>
          </cell>
          <cell r="B346">
            <v>62145</v>
          </cell>
          <cell r="C346">
            <v>85016</v>
          </cell>
          <cell r="D346" t="str">
            <v>Prof Svc-Attorney Outside</v>
          </cell>
          <cell r="E346">
            <v>0</v>
          </cell>
          <cell r="F346">
            <v>0</v>
          </cell>
          <cell r="G346">
            <v>0</v>
          </cell>
          <cell r="H346">
            <v>717.91</v>
          </cell>
          <cell r="I346">
            <v>717.91</v>
          </cell>
          <cell r="J346">
            <v>0</v>
          </cell>
        </row>
        <row r="347">
          <cell r="A347" t="str">
            <v>6214585022</v>
          </cell>
          <cell r="B347">
            <v>62145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642.04999999999995</v>
          </cell>
          <cell r="I347">
            <v>642.04999999999995</v>
          </cell>
          <cell r="J347">
            <v>0</v>
          </cell>
        </row>
        <row r="348">
          <cell r="A348" t="str">
            <v>6214585065</v>
          </cell>
          <cell r="B348">
            <v>62145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6214585500</v>
          </cell>
          <cell r="B349">
            <v>62145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1565</v>
          </cell>
          <cell r="I349">
            <v>1565</v>
          </cell>
          <cell r="J349">
            <v>0</v>
          </cell>
        </row>
        <row r="350">
          <cell r="A350" t="str">
            <v>6214585566</v>
          </cell>
          <cell r="B350">
            <v>62145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6214585581</v>
          </cell>
          <cell r="B351">
            <v>62145</v>
          </cell>
          <cell r="C351">
            <v>85581</v>
          </cell>
          <cell r="D351" t="str">
            <v>Bldg Admin- Salaries</v>
          </cell>
          <cell r="E351">
            <v>3013.84</v>
          </cell>
          <cell r="F351">
            <v>3013.58</v>
          </cell>
          <cell r="G351">
            <v>0.260000000000218</v>
          </cell>
          <cell r="H351">
            <v>37456.800000000003</v>
          </cell>
          <cell r="I351">
            <v>37456.800000000003</v>
          </cell>
          <cell r="J351">
            <v>0</v>
          </cell>
        </row>
        <row r="352">
          <cell r="A352" t="str">
            <v>6214585583</v>
          </cell>
          <cell r="B352">
            <v>62145</v>
          </cell>
          <cell r="C352">
            <v>85583</v>
          </cell>
          <cell r="D352" t="str">
            <v>Bldg Admin-Office Exp.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6214585530</v>
          </cell>
          <cell r="B353">
            <v>62145</v>
          </cell>
          <cell r="C353">
            <v>85530</v>
          </cell>
          <cell r="D353" t="str">
            <v>Bldg Admin - Office Exp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6214586012</v>
          </cell>
          <cell r="B354">
            <v>62145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6214586037</v>
          </cell>
          <cell r="B355">
            <v>62145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6214583050</v>
          </cell>
          <cell r="B356">
            <v>62145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6214586510</v>
          </cell>
          <cell r="B357">
            <v>62145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6214586537</v>
          </cell>
          <cell r="B358">
            <v>62145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6214586566</v>
          </cell>
          <cell r="B359">
            <v>62145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6214586955</v>
          </cell>
          <cell r="B360">
            <v>62145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6214586985</v>
          </cell>
          <cell r="B361">
            <v>62145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6214586880</v>
          </cell>
          <cell r="B362">
            <v>62145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6214588710</v>
          </cell>
          <cell r="B363">
            <v>62145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</v>
          </cell>
          <cell r="G363">
            <v>0</v>
          </cell>
          <cell r="H363">
            <v>25828</v>
          </cell>
          <cell r="I363">
            <v>25828</v>
          </cell>
          <cell r="J363">
            <v>0</v>
          </cell>
        </row>
        <row r="364">
          <cell r="A364" t="str">
            <v>6214588711</v>
          </cell>
          <cell r="B364">
            <v>62145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6214588785</v>
          </cell>
          <cell r="B365">
            <v>62145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6214588847</v>
          </cell>
          <cell r="B366">
            <v>62145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6214588866</v>
          </cell>
          <cell r="B367">
            <v>62145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6214588870</v>
          </cell>
          <cell r="B368">
            <v>62145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6214588889</v>
          </cell>
          <cell r="B369">
            <v>62145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6214589776</v>
          </cell>
          <cell r="B370">
            <v>62145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6214589787</v>
          </cell>
          <cell r="B371">
            <v>62145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6214589510</v>
          </cell>
          <cell r="B372">
            <v>62145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6214589511</v>
          </cell>
          <cell r="B373">
            <v>62145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6214589512</v>
          </cell>
          <cell r="B374">
            <v>62145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6214589528</v>
          </cell>
          <cell r="B375">
            <v>62145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6214589529</v>
          </cell>
          <cell r="B376">
            <v>62145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6214589567</v>
          </cell>
          <cell r="B377">
            <v>62145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6214585058</v>
          </cell>
          <cell r="B378">
            <v>62145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6214586513</v>
          </cell>
          <cell r="B379">
            <v>62145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91.32</v>
          </cell>
          <cell r="G379">
            <v>-91.32</v>
          </cell>
          <cell r="H379">
            <v>1624.29</v>
          </cell>
          <cell r="I379">
            <v>1624.29</v>
          </cell>
          <cell r="J379">
            <v>0</v>
          </cell>
        </row>
        <row r="380">
          <cell r="A380" t="str">
            <v>6214586519</v>
          </cell>
          <cell r="B380">
            <v>62145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6214588770</v>
          </cell>
          <cell r="B381">
            <v>62145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6214588862</v>
          </cell>
          <cell r="B382">
            <v>62145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6214588874</v>
          </cell>
          <cell r="B383">
            <v>62145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6214589910</v>
          </cell>
          <cell r="B384">
            <v>62145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37623.870000000003</v>
          </cell>
          <cell r="G384">
            <v>-37623.870000000003</v>
          </cell>
          <cell r="H384">
            <v>451881.63</v>
          </cell>
          <cell r="I384">
            <v>451881.63</v>
          </cell>
          <cell r="J384">
            <v>0</v>
          </cell>
        </row>
        <row r="385">
          <cell r="A385" t="str">
            <v>6214589548</v>
          </cell>
          <cell r="B385">
            <v>62145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6217041010</v>
          </cell>
          <cell r="B386">
            <v>62170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6217041040</v>
          </cell>
          <cell r="B387">
            <v>62170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6217041050</v>
          </cell>
          <cell r="B388">
            <v>62170</v>
          </cell>
          <cell r="C388">
            <v>41050</v>
          </cell>
          <cell r="D388" t="str">
            <v>Rental Income - Fixed</v>
          </cell>
          <cell r="E388">
            <v>-151442.62</v>
          </cell>
          <cell r="F388">
            <v>-151442.62</v>
          </cell>
          <cell r="G388">
            <v>0</v>
          </cell>
          <cell r="H388">
            <v>-1832336.32</v>
          </cell>
          <cell r="I388">
            <v>-1832336.32</v>
          </cell>
          <cell r="J388">
            <v>0</v>
          </cell>
        </row>
        <row r="389">
          <cell r="A389" t="str">
            <v>6217041074</v>
          </cell>
          <cell r="B389">
            <v>62170</v>
          </cell>
          <cell r="C389">
            <v>41074</v>
          </cell>
          <cell r="D389" t="str">
            <v>Rental Income - Percentage</v>
          </cell>
          <cell r="E389">
            <v>-40265</v>
          </cell>
          <cell r="F389">
            <v>-34004</v>
          </cell>
          <cell r="G389">
            <v>-6261</v>
          </cell>
          <cell r="H389">
            <v>-188491</v>
          </cell>
          <cell r="I389">
            <v>-188491</v>
          </cell>
          <cell r="J389">
            <v>0</v>
          </cell>
        </row>
        <row r="390">
          <cell r="A390" t="str">
            <v>6217041082</v>
          </cell>
          <cell r="B390">
            <v>62170</v>
          </cell>
          <cell r="C390">
            <v>41082</v>
          </cell>
          <cell r="D390" t="str">
            <v>Rental Income - Operating Exp</v>
          </cell>
          <cell r="E390">
            <v>-35415.370000000003</v>
          </cell>
          <cell r="F390">
            <v>-43922.34</v>
          </cell>
          <cell r="G390">
            <v>8506.9699999999903</v>
          </cell>
          <cell r="H390">
            <v>-527068.07999999996</v>
          </cell>
          <cell r="I390">
            <v>-527068.07999999996</v>
          </cell>
          <cell r="J390">
            <v>0</v>
          </cell>
        </row>
        <row r="391">
          <cell r="A391" t="str">
            <v>6217044610</v>
          </cell>
          <cell r="B391">
            <v>62170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6217045071</v>
          </cell>
          <cell r="B392">
            <v>62170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6217045010</v>
          </cell>
          <cell r="B393">
            <v>62170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6217045046</v>
          </cell>
          <cell r="B394">
            <v>62170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6217045070</v>
          </cell>
          <cell r="B395">
            <v>62170</v>
          </cell>
          <cell r="C395">
            <v>45070</v>
          </cell>
          <cell r="D395" t="str">
            <v>Other Income</v>
          </cell>
          <cell r="E395">
            <v>0</v>
          </cell>
          <cell r="F395">
            <v>-47.83</v>
          </cell>
          <cell r="G395">
            <v>47.83</v>
          </cell>
          <cell r="H395">
            <v>-812.33</v>
          </cell>
          <cell r="I395">
            <v>-812.33</v>
          </cell>
          <cell r="J395">
            <v>0</v>
          </cell>
        </row>
        <row r="396">
          <cell r="A396" t="str">
            <v>6217041060</v>
          </cell>
          <cell r="B396">
            <v>62170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3184.92</v>
          </cell>
          <cell r="G396">
            <v>-3184.92</v>
          </cell>
          <cell r="H396">
            <v>38219</v>
          </cell>
          <cell r="I396">
            <v>38219</v>
          </cell>
          <cell r="J396">
            <v>0</v>
          </cell>
        </row>
        <row r="397">
          <cell r="A397" t="str">
            <v>6217044870</v>
          </cell>
          <cell r="B397">
            <v>62170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-515</v>
          </cell>
          <cell r="I397">
            <v>-515</v>
          </cell>
          <cell r="J397">
            <v>0</v>
          </cell>
        </row>
        <row r="398">
          <cell r="A398" t="str">
            <v>6217052542</v>
          </cell>
          <cell r="B398">
            <v>62170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6217072710</v>
          </cell>
          <cell r="B399">
            <v>62170</v>
          </cell>
          <cell r="C399">
            <v>72710</v>
          </cell>
          <cell r="D399" t="str">
            <v>Utilities - Electricity</v>
          </cell>
          <cell r="E399">
            <v>1000</v>
          </cell>
          <cell r="F399">
            <v>816</v>
          </cell>
          <cell r="G399">
            <v>184</v>
          </cell>
          <cell r="H399">
            <v>11008.14</v>
          </cell>
          <cell r="I399">
            <v>11008.14</v>
          </cell>
          <cell r="J399">
            <v>0</v>
          </cell>
        </row>
        <row r="400">
          <cell r="A400" t="str">
            <v>6217072740</v>
          </cell>
          <cell r="B400">
            <v>62170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6217072770</v>
          </cell>
          <cell r="B401">
            <v>62170</v>
          </cell>
          <cell r="C401">
            <v>72770</v>
          </cell>
          <cell r="D401" t="str">
            <v>Utilities - Water</v>
          </cell>
          <cell r="E401">
            <v>100</v>
          </cell>
          <cell r="F401">
            <v>52</v>
          </cell>
          <cell r="G401">
            <v>48</v>
          </cell>
          <cell r="H401">
            <v>1292.06</v>
          </cell>
          <cell r="I401">
            <v>1292.06</v>
          </cell>
          <cell r="J401">
            <v>0</v>
          </cell>
        </row>
        <row r="402">
          <cell r="A402" t="str">
            <v>6217076000</v>
          </cell>
          <cell r="B402">
            <v>62170</v>
          </cell>
          <cell r="C402">
            <v>76000</v>
          </cell>
          <cell r="D402" t="str">
            <v>Bldg Maintenance &amp; Repair</v>
          </cell>
          <cell r="E402">
            <v>411.2</v>
          </cell>
          <cell r="F402">
            <v>1475.48</v>
          </cell>
          <cell r="G402">
            <v>-1064.28</v>
          </cell>
          <cell r="H402">
            <v>42662.37</v>
          </cell>
          <cell r="I402">
            <v>42662.37</v>
          </cell>
          <cell r="J402">
            <v>0</v>
          </cell>
        </row>
        <row r="403">
          <cell r="A403" t="str">
            <v>6217076020</v>
          </cell>
          <cell r="B403">
            <v>62170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-30.9</v>
          </cell>
          <cell r="G403">
            <v>30.9</v>
          </cell>
          <cell r="H403">
            <v>123.6</v>
          </cell>
          <cell r="I403">
            <v>123.6</v>
          </cell>
          <cell r="J403">
            <v>0</v>
          </cell>
        </row>
        <row r="404">
          <cell r="A404" t="str">
            <v>6217076034</v>
          </cell>
          <cell r="B404">
            <v>62170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6217076050</v>
          </cell>
          <cell r="B405">
            <v>62170</v>
          </cell>
          <cell r="C405">
            <v>76050</v>
          </cell>
          <cell r="D405" t="str">
            <v>Cleaning Expense</v>
          </cell>
          <cell r="E405">
            <v>5029.7</v>
          </cell>
          <cell r="F405">
            <v>5298.02</v>
          </cell>
          <cell r="G405">
            <v>-268.32000000000102</v>
          </cell>
          <cell r="H405">
            <v>62068.12</v>
          </cell>
          <cell r="I405">
            <v>62068.12</v>
          </cell>
          <cell r="J405">
            <v>0</v>
          </cell>
        </row>
        <row r="406">
          <cell r="A406" t="str">
            <v>6217076056</v>
          </cell>
          <cell r="B406">
            <v>62170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6217076070</v>
          </cell>
          <cell r="B407">
            <v>62170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6217076091</v>
          </cell>
          <cell r="B408">
            <v>62170</v>
          </cell>
          <cell r="C408">
            <v>76091</v>
          </cell>
          <cell r="D408" t="str">
            <v>Parking Maintenance</v>
          </cell>
          <cell r="E408">
            <v>2350</v>
          </cell>
          <cell r="F408">
            <v>2214.5</v>
          </cell>
          <cell r="G408">
            <v>135.5</v>
          </cell>
          <cell r="H408">
            <v>31680.09</v>
          </cell>
          <cell r="I408">
            <v>31680.09</v>
          </cell>
          <cell r="J408">
            <v>0</v>
          </cell>
        </row>
        <row r="409">
          <cell r="A409" t="str">
            <v>6217077000</v>
          </cell>
          <cell r="B409">
            <v>62170</v>
          </cell>
          <cell r="C409">
            <v>77000</v>
          </cell>
          <cell r="D409" t="str">
            <v>Grounds Maintenance</v>
          </cell>
          <cell r="E409">
            <v>776.95</v>
          </cell>
          <cell r="F409">
            <v>666.88</v>
          </cell>
          <cell r="G409">
            <v>110.07</v>
          </cell>
          <cell r="H409">
            <v>40478.29</v>
          </cell>
          <cell r="I409">
            <v>40478.29</v>
          </cell>
          <cell r="J409">
            <v>0</v>
          </cell>
        </row>
        <row r="410">
          <cell r="A410" t="str">
            <v>6217077053</v>
          </cell>
          <cell r="B410">
            <v>62170</v>
          </cell>
          <cell r="C410">
            <v>77053</v>
          </cell>
          <cell r="D410" t="str">
            <v>Landscaping</v>
          </cell>
          <cell r="E410">
            <v>1194</v>
          </cell>
          <cell r="F410">
            <v>1256.31</v>
          </cell>
          <cell r="G410">
            <v>-62.309999999999903</v>
          </cell>
          <cell r="H410">
            <v>37916.15</v>
          </cell>
          <cell r="I410">
            <v>37916.15</v>
          </cell>
          <cell r="J410">
            <v>0</v>
          </cell>
        </row>
        <row r="411">
          <cell r="A411" t="str">
            <v>6217078020</v>
          </cell>
          <cell r="B411">
            <v>62170</v>
          </cell>
          <cell r="C411">
            <v>78020</v>
          </cell>
          <cell r="D411" t="str">
            <v>Amortized CAM Exp</v>
          </cell>
          <cell r="E411">
            <v>4769</v>
          </cell>
          <cell r="F411">
            <v>4166.67</v>
          </cell>
          <cell r="G411">
            <v>602.33000000000004</v>
          </cell>
          <cell r="H411">
            <v>50000</v>
          </cell>
          <cell r="I411">
            <v>50000</v>
          </cell>
          <cell r="J411">
            <v>0</v>
          </cell>
        </row>
        <row r="412">
          <cell r="A412" t="str">
            <v>6217084264</v>
          </cell>
          <cell r="B412">
            <v>62170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6217085555</v>
          </cell>
          <cell r="B413">
            <v>62170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6217085584</v>
          </cell>
          <cell r="B414">
            <v>62170</v>
          </cell>
          <cell r="C414">
            <v>85584</v>
          </cell>
          <cell r="D414" t="str">
            <v>Bldg Admin-Office Costs</v>
          </cell>
          <cell r="E414">
            <v>456.7</v>
          </cell>
          <cell r="F414">
            <v>710.25</v>
          </cell>
          <cell r="G414">
            <v>-253.55</v>
          </cell>
          <cell r="H414">
            <v>8523</v>
          </cell>
          <cell r="I414">
            <v>8523</v>
          </cell>
          <cell r="J414">
            <v>0</v>
          </cell>
        </row>
        <row r="415">
          <cell r="A415" t="str">
            <v>6217085582</v>
          </cell>
          <cell r="B415">
            <v>62170</v>
          </cell>
          <cell r="C415">
            <v>85582</v>
          </cell>
          <cell r="D415" t="str">
            <v>Bldg Admin-Salaries</v>
          </cell>
          <cell r="E415">
            <v>3401.38</v>
          </cell>
          <cell r="F415">
            <v>3401.67</v>
          </cell>
          <cell r="G415">
            <v>-0.28999999999996401</v>
          </cell>
          <cell r="H415">
            <v>43357.03</v>
          </cell>
          <cell r="I415">
            <v>43357.03</v>
          </cell>
          <cell r="J415">
            <v>0</v>
          </cell>
        </row>
        <row r="416">
          <cell r="A416" t="str">
            <v>6217086564</v>
          </cell>
          <cell r="B416">
            <v>62170</v>
          </cell>
          <cell r="C416">
            <v>86564</v>
          </cell>
          <cell r="D416" t="str">
            <v>Insurance</v>
          </cell>
          <cell r="E416">
            <v>2437</v>
          </cell>
          <cell r="F416">
            <v>2436.91</v>
          </cell>
          <cell r="G416">
            <v>9.0000000000145505E-2</v>
          </cell>
          <cell r="H416">
            <v>29243</v>
          </cell>
          <cell r="I416">
            <v>29243</v>
          </cell>
          <cell r="J416">
            <v>0</v>
          </cell>
        </row>
        <row r="417">
          <cell r="A417" t="str">
            <v>6217088846</v>
          </cell>
          <cell r="B417">
            <v>62170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6217088890</v>
          </cell>
          <cell r="B418">
            <v>62170</v>
          </cell>
          <cell r="C418">
            <v>88890</v>
          </cell>
          <cell r="D418" t="str">
            <v>Security/Safety</v>
          </cell>
          <cell r="E418">
            <v>2969.49</v>
          </cell>
          <cell r="F418">
            <v>3272.08</v>
          </cell>
          <cell r="G418">
            <v>-302.58999999999997</v>
          </cell>
          <cell r="H418">
            <v>34554.35</v>
          </cell>
          <cell r="I418">
            <v>34554.35</v>
          </cell>
          <cell r="J418">
            <v>0</v>
          </cell>
        </row>
        <row r="419">
          <cell r="A419" t="str">
            <v>6217089775</v>
          </cell>
          <cell r="B419">
            <v>62170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6217089729</v>
          </cell>
          <cell r="B420">
            <v>62170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6217089786</v>
          </cell>
          <cell r="B421">
            <v>62170</v>
          </cell>
          <cell r="C421">
            <v>89786</v>
          </cell>
          <cell r="D421" t="str">
            <v>Property Tax Exp</v>
          </cell>
          <cell r="E421">
            <v>7776.58</v>
          </cell>
          <cell r="F421">
            <v>7776.58</v>
          </cell>
          <cell r="G421">
            <v>0</v>
          </cell>
          <cell r="H421">
            <v>93319</v>
          </cell>
          <cell r="I421">
            <v>93319</v>
          </cell>
          <cell r="J421">
            <v>0</v>
          </cell>
        </row>
        <row r="422">
          <cell r="A422" t="str">
            <v>6217071040</v>
          </cell>
          <cell r="B422">
            <v>62170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6217072701</v>
          </cell>
          <cell r="B423">
            <v>62170</v>
          </cell>
          <cell r="C423">
            <v>72701</v>
          </cell>
          <cell r="D423" t="str">
            <v>Utilities</v>
          </cell>
          <cell r="E423">
            <v>36.44</v>
          </cell>
          <cell r="F423">
            <v>0</v>
          </cell>
          <cell r="G423">
            <v>36.44</v>
          </cell>
          <cell r="H423">
            <v>257.5</v>
          </cell>
          <cell r="I423">
            <v>257.5</v>
          </cell>
          <cell r="J423">
            <v>0</v>
          </cell>
        </row>
        <row r="424">
          <cell r="A424" t="str">
            <v>6217072855</v>
          </cell>
          <cell r="B424">
            <v>62170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6217072870</v>
          </cell>
          <cell r="B425">
            <v>62170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6217076010</v>
          </cell>
          <cell r="B426">
            <v>62170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0</v>
          </cell>
          <cell r="G426">
            <v>0</v>
          </cell>
          <cell r="H426">
            <v>103</v>
          </cell>
          <cell r="I426">
            <v>103</v>
          </cell>
          <cell r="J426">
            <v>0</v>
          </cell>
        </row>
        <row r="427">
          <cell r="A427" t="str">
            <v>6217076040</v>
          </cell>
          <cell r="B427">
            <v>62170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6217076051</v>
          </cell>
          <cell r="B428">
            <v>62170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6217076054</v>
          </cell>
          <cell r="B429">
            <v>62170</v>
          </cell>
          <cell r="C429">
            <v>76054</v>
          </cell>
          <cell r="D429" t="str">
            <v>Bldg Maintenance &amp; Repair</v>
          </cell>
          <cell r="E429">
            <v>19.5</v>
          </cell>
          <cell r="F429">
            <v>6130.55</v>
          </cell>
          <cell r="G429">
            <v>-6111.05</v>
          </cell>
          <cell r="H429">
            <v>25344.65</v>
          </cell>
          <cell r="I429">
            <v>25344.65</v>
          </cell>
          <cell r="J429">
            <v>0</v>
          </cell>
        </row>
        <row r="430">
          <cell r="A430" t="str">
            <v>6217076060</v>
          </cell>
          <cell r="B430">
            <v>62170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6217076071</v>
          </cell>
          <cell r="B431">
            <v>62170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68618</v>
          </cell>
          <cell r="I431">
            <v>68618</v>
          </cell>
          <cell r="J431">
            <v>0</v>
          </cell>
        </row>
        <row r="432">
          <cell r="A432" t="str">
            <v>6217076090</v>
          </cell>
          <cell r="B432">
            <v>62170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6217077001</v>
          </cell>
          <cell r="B433">
            <v>62170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6217077022</v>
          </cell>
          <cell r="B434">
            <v>62170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6217084200</v>
          </cell>
          <cell r="B435">
            <v>62170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6217084240</v>
          </cell>
          <cell r="B436">
            <v>62170</v>
          </cell>
          <cell r="C436">
            <v>84240</v>
          </cell>
          <cell r="D436" t="str">
            <v>Marketing Leasing</v>
          </cell>
          <cell r="E436">
            <v>13.77</v>
          </cell>
          <cell r="F436">
            <v>169.42</v>
          </cell>
          <cell r="G436">
            <v>-155.65</v>
          </cell>
          <cell r="H436">
            <v>2033</v>
          </cell>
          <cell r="I436">
            <v>2033</v>
          </cell>
          <cell r="J436">
            <v>0</v>
          </cell>
        </row>
        <row r="437">
          <cell r="A437" t="str">
            <v>6217084242</v>
          </cell>
          <cell r="B437">
            <v>62170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6217084243</v>
          </cell>
          <cell r="B438">
            <v>62170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6217084244</v>
          </cell>
          <cell r="B439">
            <v>62170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6217084265</v>
          </cell>
          <cell r="B440">
            <v>62170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6217088037</v>
          </cell>
          <cell r="B441">
            <v>62170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6217085016</v>
          </cell>
          <cell r="B442">
            <v>62170</v>
          </cell>
          <cell r="C442">
            <v>85016</v>
          </cell>
          <cell r="D442" t="str">
            <v>Prof Svc-Attorney Outside</v>
          </cell>
          <cell r="E442">
            <v>48</v>
          </cell>
          <cell r="F442">
            <v>0</v>
          </cell>
          <cell r="G442">
            <v>48</v>
          </cell>
          <cell r="H442">
            <v>3284.31</v>
          </cell>
          <cell r="I442">
            <v>3284.31</v>
          </cell>
          <cell r="J442">
            <v>0</v>
          </cell>
        </row>
        <row r="443">
          <cell r="A443" t="str">
            <v>6217085022</v>
          </cell>
          <cell r="B443">
            <v>62170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2153.06</v>
          </cell>
          <cell r="I443">
            <v>2153.06</v>
          </cell>
          <cell r="J443">
            <v>0</v>
          </cell>
        </row>
        <row r="444">
          <cell r="A444" t="str">
            <v>6217085065</v>
          </cell>
          <cell r="B444">
            <v>62170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6217085500</v>
          </cell>
          <cell r="B445">
            <v>62170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0</v>
          </cell>
          <cell r="G445">
            <v>0</v>
          </cell>
          <cell r="H445">
            <v>13711.98</v>
          </cell>
          <cell r="I445">
            <v>13711.98</v>
          </cell>
          <cell r="J445">
            <v>0</v>
          </cell>
        </row>
        <row r="446">
          <cell r="A446" t="str">
            <v>6217085566</v>
          </cell>
          <cell r="B446">
            <v>62170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6217085581</v>
          </cell>
          <cell r="B447">
            <v>62170</v>
          </cell>
          <cell r="C447">
            <v>85581</v>
          </cell>
          <cell r="D447" t="str">
            <v>Bldg Admin- Salaries</v>
          </cell>
          <cell r="E447">
            <v>3241.6</v>
          </cell>
          <cell r="F447">
            <v>3242</v>
          </cell>
          <cell r="G447">
            <v>-0.400000000000091</v>
          </cell>
          <cell r="H447">
            <v>40675</v>
          </cell>
          <cell r="I447">
            <v>40675</v>
          </cell>
          <cell r="J447">
            <v>0</v>
          </cell>
        </row>
        <row r="448">
          <cell r="A448" t="str">
            <v>6217085583</v>
          </cell>
          <cell r="B448">
            <v>62170</v>
          </cell>
          <cell r="C448">
            <v>85583</v>
          </cell>
          <cell r="D448" t="str">
            <v>Bldg Admin-Office Exp.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6217085530</v>
          </cell>
          <cell r="B449">
            <v>62170</v>
          </cell>
          <cell r="C449">
            <v>85530</v>
          </cell>
          <cell r="D449" t="str">
            <v>Bldg Admin - Office Exp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6217086012</v>
          </cell>
          <cell r="B450">
            <v>62170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6217086037</v>
          </cell>
          <cell r="B451">
            <v>62170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6217083050</v>
          </cell>
          <cell r="B452">
            <v>62170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6217086510</v>
          </cell>
          <cell r="B453">
            <v>62170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6217086537</v>
          </cell>
          <cell r="B454">
            <v>62170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6217086566</v>
          </cell>
          <cell r="B455">
            <v>62170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6217086955</v>
          </cell>
          <cell r="B456">
            <v>62170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6217086985</v>
          </cell>
          <cell r="B457">
            <v>62170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6217086880</v>
          </cell>
          <cell r="B458">
            <v>62170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6217088710</v>
          </cell>
          <cell r="B459">
            <v>62170</v>
          </cell>
          <cell r="C459">
            <v>88710</v>
          </cell>
          <cell r="D459" t="str">
            <v>Losses-Bad Debts</v>
          </cell>
          <cell r="E459">
            <v>0</v>
          </cell>
          <cell r="F459">
            <v>0.08</v>
          </cell>
          <cell r="G459">
            <v>-0.08</v>
          </cell>
          <cell r="H459">
            <v>38240.639999999999</v>
          </cell>
          <cell r="I459">
            <v>38240.639999999999</v>
          </cell>
          <cell r="J459">
            <v>0</v>
          </cell>
        </row>
        <row r="460">
          <cell r="A460" t="str">
            <v>6217088711</v>
          </cell>
          <cell r="B460">
            <v>62170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6217088785</v>
          </cell>
          <cell r="B461">
            <v>62170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6217088847</v>
          </cell>
          <cell r="B462">
            <v>62170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6217088866</v>
          </cell>
          <cell r="B463">
            <v>62170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6217088870</v>
          </cell>
          <cell r="B464">
            <v>62170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6217088889</v>
          </cell>
          <cell r="B465">
            <v>62170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6217089776</v>
          </cell>
          <cell r="B466">
            <v>62170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6217089787</v>
          </cell>
          <cell r="B467">
            <v>62170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6217089510</v>
          </cell>
          <cell r="B468">
            <v>62170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34624</v>
          </cell>
          <cell r="G468">
            <v>-34624</v>
          </cell>
          <cell r="H468">
            <v>400024</v>
          </cell>
          <cell r="I468">
            <v>400024</v>
          </cell>
          <cell r="J468">
            <v>0</v>
          </cell>
        </row>
        <row r="469">
          <cell r="A469" t="str">
            <v>6217089511</v>
          </cell>
          <cell r="B469">
            <v>62170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6217089512</v>
          </cell>
          <cell r="B470">
            <v>62170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6217089528</v>
          </cell>
          <cell r="B471">
            <v>62170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6217089529</v>
          </cell>
          <cell r="B472">
            <v>62170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778</v>
          </cell>
          <cell r="G472">
            <v>-778</v>
          </cell>
          <cell r="H472">
            <v>9336</v>
          </cell>
          <cell r="I472">
            <v>9336</v>
          </cell>
          <cell r="J472">
            <v>0</v>
          </cell>
        </row>
        <row r="473">
          <cell r="A473" t="str">
            <v>6217089567</v>
          </cell>
          <cell r="B473">
            <v>62170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6217085058</v>
          </cell>
          <cell r="B474">
            <v>62170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6217086513</v>
          </cell>
          <cell r="B475">
            <v>62170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0</v>
          </cell>
          <cell r="G475">
            <v>0</v>
          </cell>
          <cell r="H475">
            <v>568.20000000000005</v>
          </cell>
          <cell r="I475">
            <v>568.20000000000005</v>
          </cell>
          <cell r="J475">
            <v>0</v>
          </cell>
        </row>
        <row r="476">
          <cell r="A476" t="str">
            <v>6217086519</v>
          </cell>
          <cell r="B476">
            <v>62170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6217088770</v>
          </cell>
          <cell r="B477">
            <v>62170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6217088862</v>
          </cell>
          <cell r="B478">
            <v>62170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6217088874</v>
          </cell>
          <cell r="B479">
            <v>62170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6217089910</v>
          </cell>
          <cell r="B480">
            <v>62170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13057.14</v>
          </cell>
          <cell r="G480">
            <v>-13057.14</v>
          </cell>
          <cell r="H480">
            <v>157224.95000000001</v>
          </cell>
          <cell r="I480">
            <v>157224.95000000001</v>
          </cell>
          <cell r="J480">
            <v>0</v>
          </cell>
        </row>
        <row r="481">
          <cell r="A481" t="str">
            <v>6217089548</v>
          </cell>
          <cell r="B481">
            <v>62170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6219541010</v>
          </cell>
          <cell r="B482">
            <v>62195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6219541040</v>
          </cell>
          <cell r="B483">
            <v>62195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6219541050</v>
          </cell>
          <cell r="B484">
            <v>62195</v>
          </cell>
          <cell r="C484">
            <v>41050</v>
          </cell>
          <cell r="D484" t="str">
            <v>Rental Income - Fixed</v>
          </cell>
          <cell r="E484">
            <v>-890517.86</v>
          </cell>
          <cell r="F484">
            <v>-944574.63</v>
          </cell>
          <cell r="G484">
            <v>54056.77</v>
          </cell>
          <cell r="H484">
            <v>-6034463.0899999999</v>
          </cell>
          <cell r="I484">
            <v>-6034463.0899999999</v>
          </cell>
          <cell r="J484">
            <v>0</v>
          </cell>
        </row>
        <row r="485">
          <cell r="A485" t="str">
            <v>6219541074</v>
          </cell>
          <cell r="B485">
            <v>62195</v>
          </cell>
          <cell r="C485">
            <v>41074</v>
          </cell>
          <cell r="D485" t="str">
            <v>Rental Income - Percentage</v>
          </cell>
          <cell r="E485">
            <v>0</v>
          </cell>
          <cell r="F485">
            <v>0</v>
          </cell>
          <cell r="G485">
            <v>0</v>
          </cell>
          <cell r="H485">
            <v>-5110</v>
          </cell>
          <cell r="I485">
            <v>-5110</v>
          </cell>
          <cell r="J485">
            <v>0</v>
          </cell>
        </row>
        <row r="486">
          <cell r="A486" t="str">
            <v>6219541082</v>
          </cell>
          <cell r="B486">
            <v>62195</v>
          </cell>
          <cell r="C486">
            <v>41082</v>
          </cell>
          <cell r="D486" t="str">
            <v>Rental Income - Operating Exp</v>
          </cell>
          <cell r="E486">
            <v>-195009.49</v>
          </cell>
          <cell r="F486">
            <v>-221312.26</v>
          </cell>
          <cell r="G486">
            <v>26302.77</v>
          </cell>
          <cell r="H486">
            <v>-1327873.56</v>
          </cell>
          <cell r="I486">
            <v>-1327873.56</v>
          </cell>
          <cell r="J486">
            <v>0</v>
          </cell>
        </row>
        <row r="487">
          <cell r="A487" t="str">
            <v>6219544610</v>
          </cell>
          <cell r="B487">
            <v>62195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6219545071</v>
          </cell>
          <cell r="B488">
            <v>62195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6219545010</v>
          </cell>
          <cell r="B489">
            <v>62195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6219545046</v>
          </cell>
          <cell r="B490">
            <v>62195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6219545070</v>
          </cell>
          <cell r="B491">
            <v>62195</v>
          </cell>
          <cell r="C491">
            <v>45070</v>
          </cell>
          <cell r="D491" t="str">
            <v>Other Income</v>
          </cell>
          <cell r="E491">
            <v>-0.42</v>
          </cell>
          <cell r="F491">
            <v>0</v>
          </cell>
          <cell r="G491">
            <v>-0.42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6219541060</v>
          </cell>
          <cell r="B492">
            <v>62195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24557.5</v>
          </cell>
          <cell r="G492">
            <v>-24557.5</v>
          </cell>
          <cell r="H492">
            <v>147345</v>
          </cell>
          <cell r="I492">
            <v>147345</v>
          </cell>
          <cell r="J492">
            <v>0</v>
          </cell>
        </row>
        <row r="493">
          <cell r="A493" t="str">
            <v>6219544870</v>
          </cell>
          <cell r="B493">
            <v>62195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6219552542</v>
          </cell>
          <cell r="B494">
            <v>62195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6219572710</v>
          </cell>
          <cell r="B495">
            <v>62195</v>
          </cell>
          <cell r="C495">
            <v>72710</v>
          </cell>
          <cell r="D495" t="str">
            <v>Utilities - Electricity</v>
          </cell>
          <cell r="E495">
            <v>10037.83</v>
          </cell>
          <cell r="F495">
            <v>3432.64</v>
          </cell>
          <cell r="G495">
            <v>6605.19</v>
          </cell>
          <cell r="H495">
            <v>56579.4</v>
          </cell>
          <cell r="I495">
            <v>56579.4</v>
          </cell>
          <cell r="J495">
            <v>0</v>
          </cell>
        </row>
        <row r="496">
          <cell r="A496" t="str">
            <v>6219572740</v>
          </cell>
          <cell r="B496">
            <v>62195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6219572770</v>
          </cell>
          <cell r="B497">
            <v>62195</v>
          </cell>
          <cell r="C497">
            <v>72770</v>
          </cell>
          <cell r="D497" t="str">
            <v>Utilities - Water</v>
          </cell>
          <cell r="E497">
            <v>2181.17</v>
          </cell>
          <cell r="F497">
            <v>3455.37</v>
          </cell>
          <cell r="G497">
            <v>-1274.2</v>
          </cell>
          <cell r="H497">
            <v>30590.59</v>
          </cell>
          <cell r="I497">
            <v>30590.59</v>
          </cell>
          <cell r="J497">
            <v>0</v>
          </cell>
        </row>
        <row r="498">
          <cell r="A498" t="str">
            <v>6219576000</v>
          </cell>
          <cell r="B498">
            <v>62195</v>
          </cell>
          <cell r="C498">
            <v>76000</v>
          </cell>
          <cell r="D498" t="str">
            <v>Bldg Maintenance &amp; Repair</v>
          </cell>
          <cell r="E498">
            <v>7823.56</v>
          </cell>
          <cell r="F498">
            <v>10403.049999999999</v>
          </cell>
          <cell r="G498">
            <v>-2579.4899999999998</v>
          </cell>
          <cell r="H498">
            <v>89863.53</v>
          </cell>
          <cell r="I498">
            <v>89863.53</v>
          </cell>
          <cell r="J498">
            <v>0</v>
          </cell>
        </row>
        <row r="499">
          <cell r="A499" t="str">
            <v>6219576020</v>
          </cell>
          <cell r="B499">
            <v>62195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6219576034</v>
          </cell>
          <cell r="B500">
            <v>62195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6219576050</v>
          </cell>
          <cell r="B501">
            <v>62195</v>
          </cell>
          <cell r="C501">
            <v>76050</v>
          </cell>
          <cell r="D501" t="str">
            <v>Cleaning Expense</v>
          </cell>
          <cell r="E501">
            <v>23703.62</v>
          </cell>
          <cell r="F501">
            <v>21376.82</v>
          </cell>
          <cell r="G501">
            <v>2326.8000000000002</v>
          </cell>
          <cell r="H501">
            <v>132954.41</v>
          </cell>
          <cell r="I501">
            <v>132954.41</v>
          </cell>
          <cell r="J501">
            <v>0</v>
          </cell>
        </row>
        <row r="502">
          <cell r="A502" t="str">
            <v>6219576056</v>
          </cell>
          <cell r="B502">
            <v>62195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6219576070</v>
          </cell>
          <cell r="B503">
            <v>62195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6219576091</v>
          </cell>
          <cell r="B504">
            <v>62195</v>
          </cell>
          <cell r="C504">
            <v>76091</v>
          </cell>
          <cell r="D504" t="str">
            <v>Parking Maintenance</v>
          </cell>
          <cell r="E504">
            <v>8781.44</v>
          </cell>
          <cell r="F504">
            <v>8260.6</v>
          </cell>
          <cell r="G504">
            <v>520.84</v>
          </cell>
          <cell r="H504">
            <v>75732.22</v>
          </cell>
          <cell r="I504">
            <v>75732.22</v>
          </cell>
          <cell r="J504">
            <v>0</v>
          </cell>
        </row>
        <row r="505">
          <cell r="A505" t="str">
            <v>6219577000</v>
          </cell>
          <cell r="B505">
            <v>62195</v>
          </cell>
          <cell r="C505">
            <v>77000</v>
          </cell>
          <cell r="D505" t="str">
            <v>Grounds Maintenance</v>
          </cell>
          <cell r="E505">
            <v>11209.04</v>
          </cell>
          <cell r="F505">
            <v>16206.09</v>
          </cell>
          <cell r="G505">
            <v>-4997.05</v>
          </cell>
          <cell r="H505">
            <v>63181.35</v>
          </cell>
          <cell r="I505">
            <v>63181.35</v>
          </cell>
          <cell r="J505">
            <v>0</v>
          </cell>
        </row>
        <row r="506">
          <cell r="A506" t="str">
            <v>6219577053</v>
          </cell>
          <cell r="B506">
            <v>62195</v>
          </cell>
          <cell r="C506">
            <v>77053</v>
          </cell>
          <cell r="D506" t="str">
            <v>Landscaping</v>
          </cell>
          <cell r="E506">
            <v>12700</v>
          </cell>
          <cell r="F506">
            <v>16588</v>
          </cell>
          <cell r="G506">
            <v>-3888</v>
          </cell>
          <cell r="H506">
            <v>162491</v>
          </cell>
          <cell r="I506">
            <v>162491</v>
          </cell>
          <cell r="J506">
            <v>0</v>
          </cell>
        </row>
        <row r="507">
          <cell r="A507" t="str">
            <v>6219578020</v>
          </cell>
          <cell r="B507">
            <v>62195</v>
          </cell>
          <cell r="C507">
            <v>78020</v>
          </cell>
          <cell r="D507" t="str">
            <v>Amortized CAM Exp</v>
          </cell>
          <cell r="E507">
            <v>2778</v>
          </cell>
          <cell r="F507">
            <v>2777.84</v>
          </cell>
          <cell r="G507">
            <v>0.15999999999985401</v>
          </cell>
          <cell r="H507">
            <v>16667</v>
          </cell>
          <cell r="I507">
            <v>16667</v>
          </cell>
          <cell r="J507">
            <v>0</v>
          </cell>
        </row>
        <row r="508">
          <cell r="A508" t="str">
            <v>6219584264</v>
          </cell>
          <cell r="B508">
            <v>62195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6219585555</v>
          </cell>
          <cell r="B509">
            <v>62195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6219585584</v>
          </cell>
          <cell r="B510">
            <v>62195</v>
          </cell>
          <cell r="C510">
            <v>85584</v>
          </cell>
          <cell r="D510" t="str">
            <v>Bldg Admin-Office Costs</v>
          </cell>
          <cell r="E510">
            <v>5301.49</v>
          </cell>
          <cell r="F510">
            <v>5301.16</v>
          </cell>
          <cell r="G510">
            <v>0.32999999999992702</v>
          </cell>
          <cell r="H510">
            <v>31807</v>
          </cell>
          <cell r="I510">
            <v>31807</v>
          </cell>
          <cell r="J510">
            <v>0</v>
          </cell>
        </row>
        <row r="511">
          <cell r="A511" t="str">
            <v>6219585582</v>
          </cell>
          <cell r="B511">
            <v>62195</v>
          </cell>
          <cell r="C511">
            <v>85582</v>
          </cell>
          <cell r="D511" t="str">
            <v>Bldg Admin-Salaries</v>
          </cell>
          <cell r="E511">
            <v>25352.13</v>
          </cell>
          <cell r="F511">
            <v>25389.5</v>
          </cell>
          <cell r="G511">
            <v>-37.369999999999003</v>
          </cell>
          <cell r="H511">
            <v>161802.5</v>
          </cell>
          <cell r="I511">
            <v>161802.5</v>
          </cell>
          <cell r="J511">
            <v>0</v>
          </cell>
        </row>
        <row r="512">
          <cell r="A512" t="str">
            <v>6219586564</v>
          </cell>
          <cell r="B512">
            <v>62195</v>
          </cell>
          <cell r="C512">
            <v>86564</v>
          </cell>
          <cell r="D512" t="str">
            <v>Insurance</v>
          </cell>
          <cell r="E512">
            <v>14244</v>
          </cell>
          <cell r="F512">
            <v>14244.32</v>
          </cell>
          <cell r="G512">
            <v>-0.31999999999970902</v>
          </cell>
          <cell r="H512">
            <v>85466</v>
          </cell>
          <cell r="I512">
            <v>85466</v>
          </cell>
          <cell r="J512">
            <v>0</v>
          </cell>
        </row>
        <row r="513">
          <cell r="A513" t="str">
            <v>6219588846</v>
          </cell>
          <cell r="B513">
            <v>62195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6219588890</v>
          </cell>
          <cell r="B514">
            <v>62195</v>
          </cell>
          <cell r="C514">
            <v>88890</v>
          </cell>
          <cell r="D514" t="str">
            <v>Security/Safety</v>
          </cell>
          <cell r="E514">
            <v>10578.34</v>
          </cell>
          <cell r="F514">
            <v>7765.92</v>
          </cell>
          <cell r="G514">
            <v>2812.42</v>
          </cell>
          <cell r="H514">
            <v>46998.15</v>
          </cell>
          <cell r="I514">
            <v>46998.15</v>
          </cell>
          <cell r="J514">
            <v>0</v>
          </cell>
        </row>
        <row r="515">
          <cell r="A515" t="str">
            <v>6219589775</v>
          </cell>
          <cell r="B515">
            <v>62195</v>
          </cell>
          <cell r="C515">
            <v>89775</v>
          </cell>
          <cell r="D515" t="str">
            <v>Assmt Dist Taxes- Reimb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6219589729</v>
          </cell>
          <cell r="B516">
            <v>62195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6219589786</v>
          </cell>
          <cell r="B517">
            <v>62195</v>
          </cell>
          <cell r="C517">
            <v>89786</v>
          </cell>
          <cell r="D517" t="str">
            <v>Property Tax Exp</v>
          </cell>
          <cell r="E517">
            <v>45707</v>
          </cell>
          <cell r="F517">
            <v>45707</v>
          </cell>
          <cell r="G517">
            <v>0</v>
          </cell>
          <cell r="H517">
            <v>274242</v>
          </cell>
          <cell r="I517">
            <v>274242</v>
          </cell>
          <cell r="J517">
            <v>0</v>
          </cell>
        </row>
        <row r="518">
          <cell r="A518" t="str">
            <v>6219571040</v>
          </cell>
          <cell r="B518">
            <v>62195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6219572701</v>
          </cell>
          <cell r="B519">
            <v>62195</v>
          </cell>
          <cell r="C519">
            <v>72701</v>
          </cell>
          <cell r="D519" t="str">
            <v>Utilities</v>
          </cell>
          <cell r="E519">
            <v>-33.9</v>
          </cell>
          <cell r="F519">
            <v>202</v>
          </cell>
          <cell r="G519">
            <v>-235.9</v>
          </cell>
          <cell r="H519">
            <v>1212</v>
          </cell>
          <cell r="I519">
            <v>1212</v>
          </cell>
          <cell r="J519">
            <v>0</v>
          </cell>
        </row>
        <row r="520">
          <cell r="A520" t="str">
            <v>6219572855</v>
          </cell>
          <cell r="B520">
            <v>62195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6219572870</v>
          </cell>
          <cell r="B521">
            <v>62195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6219576010</v>
          </cell>
          <cell r="B522">
            <v>62195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824</v>
          </cell>
          <cell r="I522">
            <v>824</v>
          </cell>
          <cell r="J522">
            <v>0</v>
          </cell>
        </row>
        <row r="523">
          <cell r="A523" t="str">
            <v>6219576040</v>
          </cell>
          <cell r="B523">
            <v>62195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6219576051</v>
          </cell>
          <cell r="B524">
            <v>62195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6219576054</v>
          </cell>
          <cell r="B525">
            <v>62195</v>
          </cell>
          <cell r="C525">
            <v>76054</v>
          </cell>
          <cell r="D525" t="str">
            <v>Bldg Maintenance &amp; Repair</v>
          </cell>
          <cell r="E525">
            <v>117</v>
          </cell>
          <cell r="F525">
            <v>171.31</v>
          </cell>
          <cell r="G525">
            <v>-54.31</v>
          </cell>
          <cell r="H525">
            <v>31902.05</v>
          </cell>
          <cell r="I525">
            <v>31902.05</v>
          </cell>
          <cell r="J525">
            <v>0</v>
          </cell>
        </row>
        <row r="526">
          <cell r="A526" t="str">
            <v>6219576060</v>
          </cell>
          <cell r="B526">
            <v>62195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6219576071</v>
          </cell>
          <cell r="B527">
            <v>62195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150190</v>
          </cell>
          <cell r="I527">
            <v>150190</v>
          </cell>
          <cell r="J527">
            <v>0</v>
          </cell>
        </row>
        <row r="528">
          <cell r="A528" t="str">
            <v>6219576090</v>
          </cell>
          <cell r="B528">
            <v>62195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6219577001</v>
          </cell>
          <cell r="B529">
            <v>62195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6219577022</v>
          </cell>
          <cell r="B530">
            <v>62195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6219584200</v>
          </cell>
          <cell r="B531">
            <v>62195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6219584240</v>
          </cell>
          <cell r="B532">
            <v>62195</v>
          </cell>
          <cell r="C532">
            <v>84240</v>
          </cell>
          <cell r="D532" t="str">
            <v>Marketing Leasing</v>
          </cell>
          <cell r="E532">
            <v>7882.65</v>
          </cell>
          <cell r="F532">
            <v>9096.84</v>
          </cell>
          <cell r="G532">
            <v>-1214.19</v>
          </cell>
          <cell r="H532">
            <v>57401.7</v>
          </cell>
          <cell r="I532">
            <v>57401.7</v>
          </cell>
          <cell r="J532">
            <v>0</v>
          </cell>
        </row>
        <row r="533">
          <cell r="A533" t="str">
            <v>6219584242</v>
          </cell>
          <cell r="B533">
            <v>62195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6219584243</v>
          </cell>
          <cell r="B534">
            <v>62195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-47820</v>
          </cell>
          <cell r="I534">
            <v>-47820</v>
          </cell>
          <cell r="J534">
            <v>0</v>
          </cell>
        </row>
        <row r="535">
          <cell r="A535" t="str">
            <v>6219584244</v>
          </cell>
          <cell r="B535">
            <v>62195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6219584265</v>
          </cell>
          <cell r="B536">
            <v>62195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6219588037</v>
          </cell>
          <cell r="B537">
            <v>62195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6219585016</v>
          </cell>
          <cell r="B538">
            <v>62195</v>
          </cell>
          <cell r="C538">
            <v>85016</v>
          </cell>
          <cell r="D538" t="str">
            <v>Prof Svc-Attorney Outside</v>
          </cell>
          <cell r="E538">
            <v>1914.5</v>
          </cell>
          <cell r="F538">
            <v>1000</v>
          </cell>
          <cell r="G538">
            <v>914.5</v>
          </cell>
          <cell r="H538">
            <v>6229</v>
          </cell>
          <cell r="I538">
            <v>6229</v>
          </cell>
          <cell r="J538">
            <v>0</v>
          </cell>
        </row>
        <row r="539">
          <cell r="A539" t="str">
            <v>6219585022</v>
          </cell>
          <cell r="B539">
            <v>62195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3148.04</v>
          </cell>
          <cell r="I539">
            <v>3148.04</v>
          </cell>
          <cell r="J539">
            <v>0</v>
          </cell>
        </row>
        <row r="540">
          <cell r="A540" t="str">
            <v>6219585065</v>
          </cell>
          <cell r="B540">
            <v>62195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6219585500</v>
          </cell>
          <cell r="B541">
            <v>62195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139.05000000000001</v>
          </cell>
          <cell r="G541">
            <v>-139.05000000000001</v>
          </cell>
          <cell r="H541">
            <v>139.05000000000001</v>
          </cell>
          <cell r="I541">
            <v>139.05000000000001</v>
          </cell>
          <cell r="J541">
            <v>0</v>
          </cell>
        </row>
        <row r="542">
          <cell r="A542" t="str">
            <v>6219585566</v>
          </cell>
          <cell r="B542">
            <v>62195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6219585581</v>
          </cell>
          <cell r="B543">
            <v>62195</v>
          </cell>
          <cell r="C543">
            <v>85581</v>
          </cell>
          <cell r="D543" t="str">
            <v>Bldg Admin- Salaries</v>
          </cell>
          <cell r="E543">
            <v>22795.54</v>
          </cell>
          <cell r="F543">
            <v>22794.66</v>
          </cell>
          <cell r="G543">
            <v>0.88000000000101897</v>
          </cell>
          <cell r="H543">
            <v>143325.29999999999</v>
          </cell>
          <cell r="I543">
            <v>143325.29999999999</v>
          </cell>
          <cell r="J543">
            <v>0</v>
          </cell>
        </row>
        <row r="544">
          <cell r="A544" t="str">
            <v>6219585583</v>
          </cell>
          <cell r="B544">
            <v>62195</v>
          </cell>
          <cell r="C544">
            <v>85583</v>
          </cell>
          <cell r="D544" t="str">
            <v>Bldg Admin-Office Exp.</v>
          </cell>
          <cell r="E544">
            <v>64.650000000000006</v>
          </cell>
          <cell r="F544">
            <v>0</v>
          </cell>
          <cell r="G544">
            <v>64.650000000000006</v>
          </cell>
          <cell r="H544">
            <v>304</v>
          </cell>
          <cell r="I544">
            <v>304</v>
          </cell>
          <cell r="J544">
            <v>0</v>
          </cell>
        </row>
        <row r="545">
          <cell r="A545" t="str">
            <v>6219585530</v>
          </cell>
          <cell r="B545">
            <v>62195</v>
          </cell>
          <cell r="C545">
            <v>85530</v>
          </cell>
          <cell r="D545" t="str">
            <v>Bldg Admin - Office Exp</v>
          </cell>
          <cell r="E545">
            <v>64.650000000000006</v>
          </cell>
          <cell r="F545">
            <v>0</v>
          </cell>
          <cell r="G545">
            <v>64.650000000000006</v>
          </cell>
          <cell r="H545">
            <v>304</v>
          </cell>
          <cell r="I545">
            <v>304</v>
          </cell>
          <cell r="J545">
            <v>0</v>
          </cell>
        </row>
        <row r="546">
          <cell r="A546" t="str">
            <v>6219586012</v>
          </cell>
          <cell r="B546">
            <v>62195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6219586037</v>
          </cell>
          <cell r="B547">
            <v>62195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6219583050</v>
          </cell>
          <cell r="B548">
            <v>62195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6219586510</v>
          </cell>
          <cell r="B549">
            <v>62195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37595</v>
          </cell>
          <cell r="I549">
            <v>37595</v>
          </cell>
          <cell r="J549">
            <v>0</v>
          </cell>
        </row>
        <row r="550">
          <cell r="A550" t="str">
            <v>6219586537</v>
          </cell>
          <cell r="B550">
            <v>62195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6219586566</v>
          </cell>
          <cell r="B551">
            <v>62195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6219586955</v>
          </cell>
          <cell r="B552">
            <v>62195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6219586985</v>
          </cell>
          <cell r="B553">
            <v>62195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6219586880</v>
          </cell>
          <cell r="B554">
            <v>62195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6219588710</v>
          </cell>
          <cell r="B555">
            <v>62195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</v>
          </cell>
          <cell r="G555">
            <v>0</v>
          </cell>
          <cell r="H555">
            <v>110508</v>
          </cell>
          <cell r="I555">
            <v>110508</v>
          </cell>
          <cell r="J555">
            <v>0</v>
          </cell>
        </row>
        <row r="556">
          <cell r="A556" t="str">
            <v>6219588711</v>
          </cell>
          <cell r="B556">
            <v>62195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6219588785</v>
          </cell>
          <cell r="B557">
            <v>62195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6219588847</v>
          </cell>
          <cell r="B558">
            <v>62195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6219588866</v>
          </cell>
          <cell r="B559">
            <v>62195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6219588870</v>
          </cell>
          <cell r="B560">
            <v>62195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6219588889</v>
          </cell>
          <cell r="B561">
            <v>62195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6219589776</v>
          </cell>
          <cell r="B562">
            <v>62195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6219589787</v>
          </cell>
          <cell r="B563">
            <v>62195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6219589510</v>
          </cell>
          <cell r="B564">
            <v>62195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170514</v>
          </cell>
          <cell r="G564">
            <v>-170514</v>
          </cell>
          <cell r="H564">
            <v>986727</v>
          </cell>
          <cell r="I564">
            <v>986727</v>
          </cell>
          <cell r="J564">
            <v>0</v>
          </cell>
        </row>
        <row r="565">
          <cell r="A565" t="str">
            <v>6219589511</v>
          </cell>
          <cell r="B565">
            <v>62195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6219589512</v>
          </cell>
          <cell r="B566">
            <v>62195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6219589528</v>
          </cell>
          <cell r="B567">
            <v>62195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6219589529</v>
          </cell>
          <cell r="B568">
            <v>62195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3838</v>
          </cell>
          <cell r="G568">
            <v>-3838</v>
          </cell>
          <cell r="H568">
            <v>23028</v>
          </cell>
          <cell r="I568">
            <v>23028</v>
          </cell>
          <cell r="J568">
            <v>0</v>
          </cell>
        </row>
        <row r="569">
          <cell r="A569" t="str">
            <v>6219589567</v>
          </cell>
          <cell r="B569">
            <v>62195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6219585058</v>
          </cell>
          <cell r="B570">
            <v>62195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6219586513</v>
          </cell>
          <cell r="B571">
            <v>62195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601.42999999999995</v>
          </cell>
          <cell r="G571">
            <v>-601.42999999999995</v>
          </cell>
          <cell r="H571">
            <v>5520.91</v>
          </cell>
          <cell r="I571">
            <v>5520.91</v>
          </cell>
          <cell r="J571">
            <v>0</v>
          </cell>
        </row>
        <row r="572">
          <cell r="A572" t="str">
            <v>6219586519</v>
          </cell>
          <cell r="B572">
            <v>62195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6219588770</v>
          </cell>
          <cell r="B573">
            <v>62195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6219588862</v>
          </cell>
          <cell r="B574">
            <v>62195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6219588874</v>
          </cell>
          <cell r="B575">
            <v>62195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6219589910</v>
          </cell>
          <cell r="B576">
            <v>62195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190582.06</v>
          </cell>
          <cell r="G576">
            <v>-190582.06</v>
          </cell>
          <cell r="H576">
            <v>1166239.81</v>
          </cell>
          <cell r="I576">
            <v>1166239.81</v>
          </cell>
          <cell r="J576">
            <v>0</v>
          </cell>
        </row>
        <row r="577">
          <cell r="A577" t="str">
            <v>6219589548</v>
          </cell>
          <cell r="B577">
            <v>62195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6219641010</v>
          </cell>
          <cell r="B578">
            <v>62196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6219641040</v>
          </cell>
          <cell r="B579">
            <v>62196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6219641050</v>
          </cell>
          <cell r="B580">
            <v>62196</v>
          </cell>
          <cell r="C580">
            <v>41050</v>
          </cell>
          <cell r="D580" t="str">
            <v>Rental Income - Fixed</v>
          </cell>
          <cell r="E580">
            <v>-289936.28000000003</v>
          </cell>
          <cell r="F580">
            <v>-300717.62</v>
          </cell>
          <cell r="G580">
            <v>10781.34</v>
          </cell>
          <cell r="H580">
            <v>-3793919.68</v>
          </cell>
          <cell r="I580">
            <v>-3793919.68</v>
          </cell>
          <cell r="J580">
            <v>0</v>
          </cell>
        </row>
        <row r="581">
          <cell r="A581" t="str">
            <v>6219641074</v>
          </cell>
          <cell r="B581">
            <v>62196</v>
          </cell>
          <cell r="C581">
            <v>41074</v>
          </cell>
          <cell r="D581" t="str">
            <v>Rental Income - Percentage</v>
          </cell>
          <cell r="E581">
            <v>-16614</v>
          </cell>
          <cell r="F581">
            <v>0</v>
          </cell>
          <cell r="G581">
            <v>-16614</v>
          </cell>
          <cell r="H581">
            <v>-86920</v>
          </cell>
          <cell r="I581">
            <v>-86920</v>
          </cell>
          <cell r="J581">
            <v>0</v>
          </cell>
        </row>
        <row r="582">
          <cell r="A582" t="str">
            <v>6219641082</v>
          </cell>
          <cell r="B582">
            <v>62196</v>
          </cell>
          <cell r="C582">
            <v>41082</v>
          </cell>
          <cell r="D582" t="str">
            <v>Rental Income - Operating Exp</v>
          </cell>
          <cell r="E582">
            <v>-114050.48</v>
          </cell>
          <cell r="F582">
            <v>-130571.59</v>
          </cell>
          <cell r="G582">
            <v>16521.11</v>
          </cell>
          <cell r="H582">
            <v>-1566859.08</v>
          </cell>
          <cell r="I582">
            <v>-1566859.08</v>
          </cell>
          <cell r="J582">
            <v>0</v>
          </cell>
        </row>
        <row r="583">
          <cell r="A583" t="str">
            <v>6219644610</v>
          </cell>
          <cell r="B583">
            <v>62196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6219645071</v>
          </cell>
          <cell r="B584">
            <v>62196</v>
          </cell>
          <cell r="C584">
            <v>45071</v>
          </cell>
          <cell r="D584" t="str">
            <v>Termination Fee</v>
          </cell>
          <cell r="E584">
            <v>-1167.46</v>
          </cell>
          <cell r="F584">
            <v>0</v>
          </cell>
          <cell r="G584">
            <v>-1167.46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6219645010</v>
          </cell>
          <cell r="B585">
            <v>62196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6219645046</v>
          </cell>
          <cell r="B586">
            <v>62196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6219645070</v>
          </cell>
          <cell r="B587">
            <v>62196</v>
          </cell>
          <cell r="C587">
            <v>45070</v>
          </cell>
          <cell r="D587" t="str">
            <v>Other Income</v>
          </cell>
          <cell r="E587">
            <v>-0.01</v>
          </cell>
          <cell r="F587">
            <v>-71.209999999999994</v>
          </cell>
          <cell r="G587">
            <v>71.2</v>
          </cell>
          <cell r="H587">
            <v>-1428.61</v>
          </cell>
          <cell r="I587">
            <v>-1428.61</v>
          </cell>
          <cell r="J587">
            <v>0</v>
          </cell>
        </row>
        <row r="588">
          <cell r="A588" t="str">
            <v>6219641060</v>
          </cell>
          <cell r="B588">
            <v>62196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9079.33</v>
          </cell>
          <cell r="G588">
            <v>-9079.33</v>
          </cell>
          <cell r="H588">
            <v>108952</v>
          </cell>
          <cell r="I588">
            <v>108952</v>
          </cell>
          <cell r="J588">
            <v>0</v>
          </cell>
        </row>
        <row r="589">
          <cell r="A589" t="str">
            <v>6219644870</v>
          </cell>
          <cell r="B589">
            <v>62196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1.00000000002183E-2</v>
          </cell>
          <cell r="I589">
            <v>1.00000000002183E-2</v>
          </cell>
          <cell r="J589">
            <v>0</v>
          </cell>
        </row>
        <row r="590">
          <cell r="A590" t="str">
            <v>6219652542</v>
          </cell>
          <cell r="B590">
            <v>62196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6219672710</v>
          </cell>
          <cell r="B591">
            <v>62196</v>
          </cell>
          <cell r="C591">
            <v>72710</v>
          </cell>
          <cell r="D591" t="str">
            <v>Utilities - Electricity</v>
          </cell>
          <cell r="E591">
            <v>3802.97</v>
          </cell>
          <cell r="F591">
            <v>3890.93</v>
          </cell>
          <cell r="G591">
            <v>-87.96</v>
          </cell>
          <cell r="H591">
            <v>64699.68</v>
          </cell>
          <cell r="I591">
            <v>64699.68</v>
          </cell>
          <cell r="J591">
            <v>0</v>
          </cell>
        </row>
        <row r="592">
          <cell r="A592" t="str">
            <v>6219672740</v>
          </cell>
          <cell r="B592">
            <v>62196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6219672770</v>
          </cell>
          <cell r="B593">
            <v>62196</v>
          </cell>
          <cell r="C593">
            <v>72770</v>
          </cell>
          <cell r="D593" t="str">
            <v>Utilities - Water</v>
          </cell>
          <cell r="E593">
            <v>4929.49</v>
          </cell>
          <cell r="F593">
            <v>2288</v>
          </cell>
          <cell r="G593">
            <v>2641.49</v>
          </cell>
          <cell r="H593">
            <v>33688.53</v>
          </cell>
          <cell r="I593">
            <v>33688.53</v>
          </cell>
          <cell r="J593">
            <v>0</v>
          </cell>
        </row>
        <row r="594">
          <cell r="A594" t="str">
            <v>6219676000</v>
          </cell>
          <cell r="B594">
            <v>62196</v>
          </cell>
          <cell r="C594">
            <v>76000</v>
          </cell>
          <cell r="D594" t="str">
            <v>Bldg Maintenance &amp; Repair</v>
          </cell>
          <cell r="E594">
            <v>5164.17</v>
          </cell>
          <cell r="F594">
            <v>3950.05</v>
          </cell>
          <cell r="G594">
            <v>1214.1199999999999</v>
          </cell>
          <cell r="H594">
            <v>143947.12</v>
          </cell>
          <cell r="I594">
            <v>143947.12</v>
          </cell>
          <cell r="J594">
            <v>0</v>
          </cell>
        </row>
        <row r="595">
          <cell r="A595" t="str">
            <v>6219676020</v>
          </cell>
          <cell r="B595">
            <v>62196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6219676034</v>
          </cell>
          <cell r="B596">
            <v>62196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6219676050</v>
          </cell>
          <cell r="B597">
            <v>62196</v>
          </cell>
          <cell r="C597">
            <v>76050</v>
          </cell>
          <cell r="D597" t="str">
            <v>Cleaning Expense</v>
          </cell>
          <cell r="E597">
            <v>13370</v>
          </cell>
          <cell r="F597">
            <v>14346.28</v>
          </cell>
          <cell r="G597">
            <v>-976.280000000001</v>
          </cell>
          <cell r="H597">
            <v>165355.85</v>
          </cell>
          <cell r="I597">
            <v>165355.85</v>
          </cell>
          <cell r="J597">
            <v>0</v>
          </cell>
        </row>
        <row r="598">
          <cell r="A598" t="str">
            <v>6219676056</v>
          </cell>
          <cell r="B598">
            <v>62196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6219676070</v>
          </cell>
          <cell r="B599">
            <v>62196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6219676091</v>
          </cell>
          <cell r="B600">
            <v>62196</v>
          </cell>
          <cell r="C600">
            <v>76091</v>
          </cell>
          <cell r="D600" t="str">
            <v>Parking Maintenance</v>
          </cell>
          <cell r="E600">
            <v>5193</v>
          </cell>
          <cell r="F600">
            <v>6059.02</v>
          </cell>
          <cell r="G600">
            <v>-866.02</v>
          </cell>
          <cell r="H600">
            <v>90323.98</v>
          </cell>
          <cell r="I600">
            <v>90323.98</v>
          </cell>
          <cell r="J600">
            <v>0</v>
          </cell>
        </row>
        <row r="601">
          <cell r="A601" t="str">
            <v>6219677000</v>
          </cell>
          <cell r="B601">
            <v>62196</v>
          </cell>
          <cell r="C601">
            <v>77000</v>
          </cell>
          <cell r="D601" t="str">
            <v>Grounds Maintenance</v>
          </cell>
          <cell r="E601">
            <v>4190.8900000000003</v>
          </cell>
          <cell r="F601">
            <v>16421.21</v>
          </cell>
          <cell r="G601">
            <v>-12230.32</v>
          </cell>
          <cell r="H601">
            <v>87962.54</v>
          </cell>
          <cell r="I601">
            <v>87962.54</v>
          </cell>
          <cell r="J601">
            <v>0</v>
          </cell>
        </row>
        <row r="602">
          <cell r="A602" t="str">
            <v>6219677053</v>
          </cell>
          <cell r="B602">
            <v>62196</v>
          </cell>
          <cell r="C602">
            <v>77053</v>
          </cell>
          <cell r="D602" t="str">
            <v>Landscaping</v>
          </cell>
          <cell r="E602">
            <v>7395</v>
          </cell>
          <cell r="F602">
            <v>8220.34</v>
          </cell>
          <cell r="G602">
            <v>-825.34</v>
          </cell>
          <cell r="H602">
            <v>132925.09</v>
          </cell>
          <cell r="I602">
            <v>132925.09</v>
          </cell>
          <cell r="J602">
            <v>0</v>
          </cell>
        </row>
        <row r="603">
          <cell r="A603" t="str">
            <v>6219678020</v>
          </cell>
          <cell r="B603">
            <v>62196</v>
          </cell>
          <cell r="C603">
            <v>78020</v>
          </cell>
          <cell r="D603" t="str">
            <v>Amortized CAM Exp</v>
          </cell>
          <cell r="E603">
            <v>10455.06</v>
          </cell>
          <cell r="F603">
            <v>10455.08</v>
          </cell>
          <cell r="G603">
            <v>-2.0000000000436599E-2</v>
          </cell>
          <cell r="H603">
            <v>125461</v>
          </cell>
          <cell r="I603">
            <v>125461</v>
          </cell>
          <cell r="J603">
            <v>0</v>
          </cell>
        </row>
        <row r="604">
          <cell r="A604" t="str">
            <v>6219684264</v>
          </cell>
          <cell r="B604">
            <v>62196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6219685555</v>
          </cell>
          <cell r="B605">
            <v>62196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6219685584</v>
          </cell>
          <cell r="B606">
            <v>62196</v>
          </cell>
          <cell r="C606">
            <v>85584</v>
          </cell>
          <cell r="D606" t="str">
            <v>Bldg Admin-Office Costs</v>
          </cell>
          <cell r="E606">
            <v>1054.6199999999999</v>
          </cell>
          <cell r="F606">
            <v>1701.25</v>
          </cell>
          <cell r="G606">
            <v>-646.63</v>
          </cell>
          <cell r="H606">
            <v>20415</v>
          </cell>
          <cell r="I606">
            <v>20415</v>
          </cell>
          <cell r="J606">
            <v>0</v>
          </cell>
        </row>
        <row r="607">
          <cell r="A607" t="str">
            <v>6219685582</v>
          </cell>
          <cell r="B607">
            <v>62196</v>
          </cell>
          <cell r="C607">
            <v>85582</v>
          </cell>
          <cell r="D607" t="str">
            <v>Bldg Admin-Salaries</v>
          </cell>
          <cell r="E607">
            <v>10511.94</v>
          </cell>
          <cell r="F607">
            <v>10512</v>
          </cell>
          <cell r="G607">
            <v>-5.9999999999490697E-2</v>
          </cell>
          <cell r="H607">
            <v>135254</v>
          </cell>
          <cell r="I607">
            <v>135254</v>
          </cell>
          <cell r="J607">
            <v>0</v>
          </cell>
        </row>
        <row r="608">
          <cell r="A608" t="str">
            <v>6219686564</v>
          </cell>
          <cell r="B608">
            <v>62196</v>
          </cell>
          <cell r="C608">
            <v>86564</v>
          </cell>
          <cell r="D608" t="str">
            <v>Insurance</v>
          </cell>
          <cell r="E608">
            <v>4913</v>
          </cell>
          <cell r="F608">
            <v>4912</v>
          </cell>
          <cell r="G608">
            <v>1</v>
          </cell>
          <cell r="H608">
            <v>58944</v>
          </cell>
          <cell r="I608">
            <v>58944</v>
          </cell>
          <cell r="J608">
            <v>0</v>
          </cell>
        </row>
        <row r="609">
          <cell r="A609" t="str">
            <v>6219688846</v>
          </cell>
          <cell r="B609">
            <v>62196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6219688890</v>
          </cell>
          <cell r="B610">
            <v>62196</v>
          </cell>
          <cell r="C610">
            <v>88890</v>
          </cell>
          <cell r="D610" t="str">
            <v>Security/Safety</v>
          </cell>
          <cell r="E610">
            <v>19030.25</v>
          </cell>
          <cell r="F610">
            <v>19045.45</v>
          </cell>
          <cell r="G610">
            <v>-15.200000000000699</v>
          </cell>
          <cell r="H610">
            <v>226801.67</v>
          </cell>
          <cell r="I610">
            <v>226801.67</v>
          </cell>
          <cell r="J610">
            <v>0</v>
          </cell>
        </row>
        <row r="611">
          <cell r="A611" t="str">
            <v>6219689775</v>
          </cell>
          <cell r="B611">
            <v>62196</v>
          </cell>
          <cell r="C611">
            <v>89775</v>
          </cell>
          <cell r="D611" t="str">
            <v>Assmt Dist Taxes- Reimb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</row>
        <row r="612">
          <cell r="A612" t="str">
            <v>6219689729</v>
          </cell>
          <cell r="B612">
            <v>62196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6219689786</v>
          </cell>
          <cell r="B613">
            <v>62196</v>
          </cell>
          <cell r="C613">
            <v>89786</v>
          </cell>
          <cell r="D613" t="str">
            <v>Property Tax Exp</v>
          </cell>
          <cell r="E613">
            <v>28299.5</v>
          </cell>
          <cell r="F613">
            <v>28299.5</v>
          </cell>
          <cell r="G613">
            <v>0</v>
          </cell>
          <cell r="H613">
            <v>339594</v>
          </cell>
          <cell r="I613">
            <v>339594</v>
          </cell>
          <cell r="J613">
            <v>0</v>
          </cell>
        </row>
        <row r="614">
          <cell r="A614" t="str">
            <v>6219671040</v>
          </cell>
          <cell r="B614">
            <v>62196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6219672701</v>
          </cell>
          <cell r="B615">
            <v>62196</v>
          </cell>
          <cell r="C615">
            <v>72701</v>
          </cell>
          <cell r="D615" t="str">
            <v>Utilities</v>
          </cell>
          <cell r="E615">
            <v>601.04</v>
          </cell>
          <cell r="F615">
            <v>0</v>
          </cell>
          <cell r="G615">
            <v>601.04</v>
          </cell>
          <cell r="H615">
            <v>8731.5300000000007</v>
          </cell>
          <cell r="I615">
            <v>8731.5300000000007</v>
          </cell>
          <cell r="J615">
            <v>0</v>
          </cell>
        </row>
        <row r="616">
          <cell r="A616" t="str">
            <v>6219672855</v>
          </cell>
          <cell r="B616">
            <v>62196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6219672870</v>
          </cell>
          <cell r="B617">
            <v>62196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6219676010</v>
          </cell>
          <cell r="B618">
            <v>62196</v>
          </cell>
          <cell r="C618">
            <v>76010</v>
          </cell>
          <cell r="D618" t="str">
            <v>Tenant Alterations</v>
          </cell>
          <cell r="E618">
            <v>327</v>
          </cell>
          <cell r="F618">
            <v>403.33</v>
          </cell>
          <cell r="G618">
            <v>-76.33</v>
          </cell>
          <cell r="H618">
            <v>4840</v>
          </cell>
          <cell r="I618">
            <v>4840</v>
          </cell>
          <cell r="J618">
            <v>0</v>
          </cell>
        </row>
        <row r="619">
          <cell r="A619" t="str">
            <v>6219676040</v>
          </cell>
          <cell r="B619">
            <v>62196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6219676051</v>
          </cell>
          <cell r="B620">
            <v>62196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6219676054</v>
          </cell>
          <cell r="B621">
            <v>62196</v>
          </cell>
          <cell r="C621">
            <v>76054</v>
          </cell>
          <cell r="D621" t="str">
            <v>Bldg Maintenance &amp; Repair</v>
          </cell>
          <cell r="E621">
            <v>200204.75</v>
          </cell>
          <cell r="F621">
            <v>200842.25</v>
          </cell>
          <cell r="G621">
            <v>-637.5</v>
          </cell>
          <cell r="H621">
            <v>410107</v>
          </cell>
          <cell r="I621">
            <v>410107</v>
          </cell>
          <cell r="J621">
            <v>0</v>
          </cell>
        </row>
        <row r="622">
          <cell r="A622" t="str">
            <v>6219676060</v>
          </cell>
          <cell r="B622">
            <v>62196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6219676071</v>
          </cell>
          <cell r="B623">
            <v>62196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6219676090</v>
          </cell>
          <cell r="B624">
            <v>62196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6219677001</v>
          </cell>
          <cell r="B625">
            <v>62196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6219677022</v>
          </cell>
          <cell r="B626">
            <v>62196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6219684200</v>
          </cell>
          <cell r="B627">
            <v>62196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6219684240</v>
          </cell>
          <cell r="B628">
            <v>62196</v>
          </cell>
          <cell r="C628">
            <v>84240</v>
          </cell>
          <cell r="D628" t="str">
            <v>Marketing Leasing</v>
          </cell>
          <cell r="E628">
            <v>2381.81</v>
          </cell>
          <cell r="F628">
            <v>2755.5</v>
          </cell>
          <cell r="G628">
            <v>-373.69</v>
          </cell>
          <cell r="H628">
            <v>34759.699999999997</v>
          </cell>
          <cell r="I628">
            <v>34759.699999999997</v>
          </cell>
          <cell r="J628">
            <v>0</v>
          </cell>
        </row>
        <row r="629">
          <cell r="A629" t="str">
            <v>6219684242</v>
          </cell>
          <cell r="B629">
            <v>62196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6219684243</v>
          </cell>
          <cell r="B630">
            <v>62196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-30966</v>
          </cell>
          <cell r="I630">
            <v>-30966</v>
          </cell>
          <cell r="J630">
            <v>0</v>
          </cell>
        </row>
        <row r="631">
          <cell r="A631" t="str">
            <v>6219684244</v>
          </cell>
          <cell r="B631">
            <v>62196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6219684265</v>
          </cell>
          <cell r="B632">
            <v>62196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6219688037</v>
          </cell>
          <cell r="B633">
            <v>62196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6219685016</v>
          </cell>
          <cell r="B634">
            <v>62196</v>
          </cell>
          <cell r="C634">
            <v>85016</v>
          </cell>
          <cell r="D634" t="str">
            <v>Prof Svc-Attorney Outside</v>
          </cell>
          <cell r="E634">
            <v>0</v>
          </cell>
          <cell r="F634">
            <v>0</v>
          </cell>
          <cell r="G634">
            <v>0</v>
          </cell>
          <cell r="H634">
            <v>17905.990000000002</v>
          </cell>
          <cell r="I634">
            <v>17905.990000000002</v>
          </cell>
          <cell r="J634">
            <v>0</v>
          </cell>
        </row>
        <row r="635">
          <cell r="A635" t="str">
            <v>6219685022</v>
          </cell>
          <cell r="B635">
            <v>62196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695.25</v>
          </cell>
          <cell r="G635">
            <v>-695.25</v>
          </cell>
          <cell r="H635">
            <v>4342.84</v>
          </cell>
          <cell r="I635">
            <v>4342.84</v>
          </cell>
          <cell r="J635">
            <v>0</v>
          </cell>
        </row>
        <row r="636">
          <cell r="A636" t="str">
            <v>6219685065</v>
          </cell>
          <cell r="B636">
            <v>62196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6219685500</v>
          </cell>
          <cell r="B637">
            <v>62196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10415.02</v>
          </cell>
          <cell r="I637">
            <v>10415.02</v>
          </cell>
          <cell r="J637">
            <v>0</v>
          </cell>
        </row>
        <row r="638">
          <cell r="A638" t="str">
            <v>6219685566</v>
          </cell>
          <cell r="B638">
            <v>62196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6219685581</v>
          </cell>
          <cell r="B639">
            <v>62196</v>
          </cell>
          <cell r="C639">
            <v>85581</v>
          </cell>
          <cell r="D639" t="str">
            <v>Bldg Admin- Salaries</v>
          </cell>
          <cell r="E639">
            <v>7800.99</v>
          </cell>
          <cell r="F639">
            <v>7794.83</v>
          </cell>
          <cell r="G639">
            <v>6.15999999999985</v>
          </cell>
          <cell r="H639">
            <v>98439.3</v>
          </cell>
          <cell r="I639">
            <v>98439.3</v>
          </cell>
          <cell r="J639">
            <v>0</v>
          </cell>
        </row>
        <row r="640">
          <cell r="A640" t="str">
            <v>6219685583</v>
          </cell>
          <cell r="B640">
            <v>62196</v>
          </cell>
          <cell r="C640">
            <v>85583</v>
          </cell>
          <cell r="D640" t="str">
            <v>Bldg Admin-Office Exp.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6219685530</v>
          </cell>
          <cell r="B641">
            <v>62196</v>
          </cell>
          <cell r="C641">
            <v>85530</v>
          </cell>
          <cell r="D641" t="str">
            <v>Bldg Admin - Office Exp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6219686012</v>
          </cell>
          <cell r="B642">
            <v>62196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6219686037</v>
          </cell>
          <cell r="B643">
            <v>62196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6219683050</v>
          </cell>
          <cell r="B644">
            <v>62196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6219686510</v>
          </cell>
          <cell r="B645">
            <v>62196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6219686537</v>
          </cell>
          <cell r="B646">
            <v>62196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6219686566</v>
          </cell>
          <cell r="B647">
            <v>62196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6219686955</v>
          </cell>
          <cell r="B648">
            <v>62196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6219686985</v>
          </cell>
          <cell r="B649">
            <v>62196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6219686880</v>
          </cell>
          <cell r="B650">
            <v>62196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6219688710</v>
          </cell>
          <cell r="B651">
            <v>62196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0.08</v>
          </cell>
          <cell r="G651">
            <v>-0.08</v>
          </cell>
          <cell r="H651">
            <v>108980.64</v>
          </cell>
          <cell r="I651">
            <v>108980.64</v>
          </cell>
          <cell r="J651">
            <v>0</v>
          </cell>
        </row>
        <row r="652">
          <cell r="A652" t="str">
            <v>6219688711</v>
          </cell>
          <cell r="B652">
            <v>62196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6219688785</v>
          </cell>
          <cell r="B653">
            <v>62196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6219688847</v>
          </cell>
          <cell r="B654">
            <v>62196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6219688866</v>
          </cell>
          <cell r="B655">
            <v>62196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6219688870</v>
          </cell>
          <cell r="B656">
            <v>62196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6219688889</v>
          </cell>
          <cell r="B657">
            <v>62196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6219689776</v>
          </cell>
          <cell r="B658">
            <v>62196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6219689787</v>
          </cell>
          <cell r="B659">
            <v>62196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6219689510</v>
          </cell>
          <cell r="B660">
            <v>62196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</row>
        <row r="661">
          <cell r="A661" t="str">
            <v>6219689511</v>
          </cell>
          <cell r="B661">
            <v>62196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6219689512</v>
          </cell>
          <cell r="B662">
            <v>62196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6219689528</v>
          </cell>
          <cell r="B663">
            <v>62196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6219689529</v>
          </cell>
          <cell r="B664">
            <v>62196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6219689567</v>
          </cell>
          <cell r="B665">
            <v>62196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6219685058</v>
          </cell>
          <cell r="B666">
            <v>62196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6219686513</v>
          </cell>
          <cell r="B667">
            <v>62196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327.93</v>
          </cell>
          <cell r="G667">
            <v>-327.93</v>
          </cell>
          <cell r="H667">
            <v>6248.58</v>
          </cell>
          <cell r="I667">
            <v>6248.58</v>
          </cell>
          <cell r="J667">
            <v>0</v>
          </cell>
        </row>
        <row r="668">
          <cell r="A668" t="str">
            <v>6219686519</v>
          </cell>
          <cell r="B668">
            <v>62196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6219688770</v>
          </cell>
          <cell r="B669">
            <v>62196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6219688862</v>
          </cell>
          <cell r="B670">
            <v>62196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6219688874</v>
          </cell>
          <cell r="B671">
            <v>62196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6219689910</v>
          </cell>
          <cell r="B672">
            <v>62196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74895.77</v>
          </cell>
          <cell r="G672">
            <v>-74895.77</v>
          </cell>
          <cell r="H672">
            <v>863578.01</v>
          </cell>
          <cell r="I672">
            <v>863578.01</v>
          </cell>
          <cell r="J672">
            <v>0</v>
          </cell>
        </row>
        <row r="673">
          <cell r="A673" t="str">
            <v>6219689548</v>
          </cell>
          <cell r="B673">
            <v>62196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6219741010</v>
          </cell>
          <cell r="B674">
            <v>62197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6219741040</v>
          </cell>
          <cell r="B675">
            <v>62197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6219741050</v>
          </cell>
          <cell r="B676">
            <v>62197</v>
          </cell>
          <cell r="C676">
            <v>41050</v>
          </cell>
          <cell r="D676" t="str">
            <v>Rental Income - Fixed</v>
          </cell>
          <cell r="E676">
            <v>-1060601.54</v>
          </cell>
          <cell r="F676">
            <v>-1076982.8899999999</v>
          </cell>
          <cell r="G676">
            <v>16381.3499999999</v>
          </cell>
          <cell r="H676">
            <v>-4536471.82</v>
          </cell>
          <cell r="I676">
            <v>-4536471.82</v>
          </cell>
          <cell r="J676">
            <v>0</v>
          </cell>
        </row>
        <row r="677">
          <cell r="A677" t="str">
            <v>6219741074</v>
          </cell>
          <cell r="B677">
            <v>62197</v>
          </cell>
          <cell r="C677">
            <v>41074</v>
          </cell>
          <cell r="D677" t="str">
            <v>Rental Income - Percentage</v>
          </cell>
          <cell r="E677">
            <v>-4431.6899999999996</v>
          </cell>
          <cell r="F677">
            <v>-13293</v>
          </cell>
          <cell r="G677">
            <v>8861.31</v>
          </cell>
          <cell r="H677">
            <v>-53172</v>
          </cell>
          <cell r="I677">
            <v>-53172</v>
          </cell>
          <cell r="J677">
            <v>0</v>
          </cell>
        </row>
        <row r="678">
          <cell r="A678" t="str">
            <v>6219741082</v>
          </cell>
          <cell r="B678">
            <v>62197</v>
          </cell>
          <cell r="C678">
            <v>41082</v>
          </cell>
          <cell r="D678" t="str">
            <v>Rental Income - Operating Exp</v>
          </cell>
          <cell r="E678">
            <v>-299748.63</v>
          </cell>
          <cell r="F678">
            <v>-380573.22</v>
          </cell>
          <cell r="G678">
            <v>80824.59</v>
          </cell>
          <cell r="H678">
            <v>-1522292.88</v>
          </cell>
          <cell r="I678">
            <v>-1522292.88</v>
          </cell>
          <cell r="J678">
            <v>0</v>
          </cell>
        </row>
        <row r="679">
          <cell r="A679" t="str">
            <v>6219744610</v>
          </cell>
          <cell r="B679">
            <v>62197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6219745071</v>
          </cell>
          <cell r="B680">
            <v>62197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6219745010</v>
          </cell>
          <cell r="B681">
            <v>62197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6219745046</v>
          </cell>
          <cell r="B682">
            <v>62197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6219745070</v>
          </cell>
          <cell r="B683">
            <v>62197</v>
          </cell>
          <cell r="C683">
            <v>45070</v>
          </cell>
          <cell r="D683" t="str">
            <v>Other Income</v>
          </cell>
          <cell r="E683">
            <v>-37755.57</v>
          </cell>
          <cell r="F683">
            <v>-15795.93</v>
          </cell>
          <cell r="G683">
            <v>-21959.64</v>
          </cell>
          <cell r="H683">
            <v>-22072.07</v>
          </cell>
          <cell r="I683">
            <v>-22072.07</v>
          </cell>
          <cell r="J683">
            <v>0</v>
          </cell>
        </row>
        <row r="684">
          <cell r="A684" t="str">
            <v>6219741060</v>
          </cell>
          <cell r="B684">
            <v>62197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97920</v>
          </cell>
          <cell r="G684">
            <v>-97920</v>
          </cell>
          <cell r="H684">
            <v>391680</v>
          </cell>
          <cell r="I684">
            <v>391680</v>
          </cell>
          <cell r="J684">
            <v>0</v>
          </cell>
        </row>
        <row r="685">
          <cell r="A685" t="str">
            <v>6219744870</v>
          </cell>
          <cell r="B685">
            <v>62197</v>
          </cell>
          <cell r="C685">
            <v>44870</v>
          </cell>
          <cell r="D685" t="str">
            <v>Late Fees</v>
          </cell>
          <cell r="E685">
            <v>0</v>
          </cell>
          <cell r="F685">
            <v>0</v>
          </cell>
          <cell r="G685">
            <v>0</v>
          </cell>
          <cell r="H685">
            <v>-750</v>
          </cell>
          <cell r="I685">
            <v>-750</v>
          </cell>
          <cell r="J685">
            <v>0</v>
          </cell>
        </row>
        <row r="686">
          <cell r="A686" t="str">
            <v>6219752542</v>
          </cell>
          <cell r="B686">
            <v>62197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6219772710</v>
          </cell>
          <cell r="B687">
            <v>62197</v>
          </cell>
          <cell r="C687">
            <v>72710</v>
          </cell>
          <cell r="D687" t="str">
            <v>Utilities - Electricity</v>
          </cell>
          <cell r="E687">
            <v>6818.58</v>
          </cell>
          <cell r="F687">
            <v>14185.34</v>
          </cell>
          <cell r="G687">
            <v>-7366.76</v>
          </cell>
          <cell r="H687">
            <v>61652.97</v>
          </cell>
          <cell r="I687">
            <v>61652.97</v>
          </cell>
          <cell r="J687">
            <v>0</v>
          </cell>
        </row>
        <row r="688">
          <cell r="A688" t="str">
            <v>6219772740</v>
          </cell>
          <cell r="B688">
            <v>62197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6219772770</v>
          </cell>
          <cell r="B689">
            <v>62197</v>
          </cell>
          <cell r="C689">
            <v>72770</v>
          </cell>
          <cell r="D689" t="str">
            <v>Utilities - Water</v>
          </cell>
          <cell r="E689">
            <v>5709.46</v>
          </cell>
          <cell r="F689">
            <v>5960.97</v>
          </cell>
          <cell r="G689">
            <v>-251.51</v>
          </cell>
          <cell r="H689">
            <v>23078.89</v>
          </cell>
          <cell r="I689">
            <v>23078.89</v>
          </cell>
          <cell r="J689">
            <v>0</v>
          </cell>
        </row>
        <row r="690">
          <cell r="A690" t="str">
            <v>6219776000</v>
          </cell>
          <cell r="B690">
            <v>62197</v>
          </cell>
          <cell r="C690">
            <v>76000</v>
          </cell>
          <cell r="D690" t="str">
            <v>Bldg Maintenance &amp; Repair</v>
          </cell>
          <cell r="E690">
            <v>10584.81</v>
          </cell>
          <cell r="F690">
            <v>18805.78</v>
          </cell>
          <cell r="G690">
            <v>-8220.9699999999993</v>
          </cell>
          <cell r="H690">
            <v>93635.76</v>
          </cell>
          <cell r="I690">
            <v>93635.76</v>
          </cell>
          <cell r="J690">
            <v>0</v>
          </cell>
        </row>
        <row r="691">
          <cell r="A691" t="str">
            <v>6219776020</v>
          </cell>
          <cell r="B691">
            <v>62197</v>
          </cell>
          <cell r="C691">
            <v>76020</v>
          </cell>
          <cell r="D691" t="str">
            <v>Food Court Expense</v>
          </cell>
          <cell r="E691">
            <v>4782</v>
          </cell>
          <cell r="F691">
            <v>5553.76</v>
          </cell>
          <cell r="G691">
            <v>-771.76</v>
          </cell>
          <cell r="H691">
            <v>20340.439999999999</v>
          </cell>
          <cell r="I691">
            <v>20340.439999999999</v>
          </cell>
          <cell r="J691">
            <v>0</v>
          </cell>
        </row>
        <row r="692">
          <cell r="A692" t="str">
            <v>6219776034</v>
          </cell>
          <cell r="B692">
            <v>62197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6219776050</v>
          </cell>
          <cell r="B693">
            <v>62197</v>
          </cell>
          <cell r="C693">
            <v>76050</v>
          </cell>
          <cell r="D693" t="str">
            <v>Cleaning Expense</v>
          </cell>
          <cell r="E693">
            <v>27708.66</v>
          </cell>
          <cell r="F693">
            <v>28134.86</v>
          </cell>
          <cell r="G693">
            <v>-426.20000000000101</v>
          </cell>
          <cell r="H693">
            <v>109484.91</v>
          </cell>
          <cell r="I693">
            <v>109484.91</v>
          </cell>
          <cell r="J693">
            <v>0</v>
          </cell>
        </row>
        <row r="694">
          <cell r="A694" t="str">
            <v>6219776056</v>
          </cell>
          <cell r="B694">
            <v>62197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6219776070</v>
          </cell>
          <cell r="B695">
            <v>62197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6219776091</v>
          </cell>
          <cell r="B696">
            <v>62197</v>
          </cell>
          <cell r="C696">
            <v>76091</v>
          </cell>
          <cell r="D696" t="str">
            <v>Parking Maintenance</v>
          </cell>
          <cell r="E696">
            <v>15054.64</v>
          </cell>
          <cell r="F696">
            <v>14786.95</v>
          </cell>
          <cell r="G696">
            <v>267.68999999999897</v>
          </cell>
          <cell r="H696">
            <v>57426.7</v>
          </cell>
          <cell r="I696">
            <v>57426.7</v>
          </cell>
          <cell r="J696">
            <v>0</v>
          </cell>
        </row>
        <row r="697">
          <cell r="A697" t="str">
            <v>6219777000</v>
          </cell>
          <cell r="B697">
            <v>62197</v>
          </cell>
          <cell r="C697">
            <v>77000</v>
          </cell>
          <cell r="D697" t="str">
            <v>Grounds Maintenance</v>
          </cell>
          <cell r="E697">
            <v>15922.3</v>
          </cell>
          <cell r="F697">
            <v>6333.02</v>
          </cell>
          <cell r="G697">
            <v>9589.2800000000007</v>
          </cell>
          <cell r="H697">
            <v>60496.83</v>
          </cell>
          <cell r="I697">
            <v>60496.83</v>
          </cell>
          <cell r="J697">
            <v>0</v>
          </cell>
        </row>
        <row r="698">
          <cell r="A698" t="str">
            <v>6219777053</v>
          </cell>
          <cell r="B698">
            <v>62197</v>
          </cell>
          <cell r="C698">
            <v>77053</v>
          </cell>
          <cell r="D698" t="str">
            <v>Landscaping</v>
          </cell>
          <cell r="E698">
            <v>15404</v>
          </cell>
          <cell r="F698">
            <v>20515.169999999998</v>
          </cell>
          <cell r="G698">
            <v>-5111.17</v>
          </cell>
          <cell r="H698">
            <v>122670.74</v>
          </cell>
          <cell r="I698">
            <v>122670.74</v>
          </cell>
          <cell r="J698">
            <v>0</v>
          </cell>
        </row>
        <row r="699">
          <cell r="A699" t="str">
            <v>6219778020</v>
          </cell>
          <cell r="B699">
            <v>62197</v>
          </cell>
          <cell r="C699">
            <v>78020</v>
          </cell>
          <cell r="D699" t="str">
            <v>Amortized CAM Exp</v>
          </cell>
          <cell r="E699">
            <v>16250</v>
          </cell>
          <cell r="F699">
            <v>16250.01</v>
          </cell>
          <cell r="G699">
            <v>-1.00000000002183E-2</v>
          </cell>
          <cell r="H699">
            <v>65000</v>
          </cell>
          <cell r="I699">
            <v>65000</v>
          </cell>
          <cell r="J699">
            <v>0</v>
          </cell>
        </row>
        <row r="700">
          <cell r="A700" t="str">
            <v>6219784264</v>
          </cell>
          <cell r="B700">
            <v>62197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6219785555</v>
          </cell>
          <cell r="B701">
            <v>62197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6219785584</v>
          </cell>
          <cell r="B702">
            <v>62197</v>
          </cell>
          <cell r="C702">
            <v>85584</v>
          </cell>
          <cell r="D702" t="str">
            <v>Bldg Admin-Office Costs</v>
          </cell>
          <cell r="E702">
            <v>2128.6999999999998</v>
          </cell>
          <cell r="F702">
            <v>9222.75</v>
          </cell>
          <cell r="G702">
            <v>-7094.05</v>
          </cell>
          <cell r="H702">
            <v>36891</v>
          </cell>
          <cell r="I702">
            <v>36891</v>
          </cell>
          <cell r="J702">
            <v>0</v>
          </cell>
        </row>
        <row r="703">
          <cell r="A703" t="str">
            <v>6219785582</v>
          </cell>
          <cell r="B703">
            <v>62197</v>
          </cell>
          <cell r="C703">
            <v>85582</v>
          </cell>
          <cell r="D703" t="str">
            <v>Bldg Admin-Salaries</v>
          </cell>
          <cell r="E703">
            <v>44.650000000001498</v>
          </cell>
          <cell r="F703">
            <v>44171.76</v>
          </cell>
          <cell r="G703">
            <v>-44127.11</v>
          </cell>
          <cell r="H703">
            <v>187665.2</v>
          </cell>
          <cell r="I703">
            <v>187665.2</v>
          </cell>
          <cell r="J703">
            <v>0</v>
          </cell>
        </row>
        <row r="704">
          <cell r="A704" t="str">
            <v>6219786564</v>
          </cell>
          <cell r="B704">
            <v>62197</v>
          </cell>
          <cell r="C704">
            <v>86564</v>
          </cell>
          <cell r="D704" t="str">
            <v>Insurance</v>
          </cell>
          <cell r="E704">
            <v>18474</v>
          </cell>
          <cell r="F704">
            <v>18473.490000000002</v>
          </cell>
          <cell r="G704">
            <v>0.50999999999839896</v>
          </cell>
          <cell r="H704">
            <v>73894</v>
          </cell>
          <cell r="I704">
            <v>73894</v>
          </cell>
          <cell r="J704">
            <v>0</v>
          </cell>
        </row>
        <row r="705">
          <cell r="A705" t="str">
            <v>6219788846</v>
          </cell>
          <cell r="B705">
            <v>62197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6219788890</v>
          </cell>
          <cell r="B706">
            <v>62197</v>
          </cell>
          <cell r="C706">
            <v>88890</v>
          </cell>
          <cell r="D706" t="str">
            <v>Security/Safety</v>
          </cell>
          <cell r="E706">
            <v>12793.51</v>
          </cell>
          <cell r="F706">
            <v>12644.58</v>
          </cell>
          <cell r="G706">
            <v>148.93</v>
          </cell>
          <cell r="H706">
            <v>53626.86</v>
          </cell>
          <cell r="I706">
            <v>53626.86</v>
          </cell>
          <cell r="J706">
            <v>0</v>
          </cell>
        </row>
        <row r="707">
          <cell r="A707" t="str">
            <v>6219789775</v>
          </cell>
          <cell r="B707">
            <v>62197</v>
          </cell>
          <cell r="C707">
            <v>89775</v>
          </cell>
          <cell r="D707" t="str">
            <v>Assmt Dist Taxes- Reimb</v>
          </cell>
          <cell r="E707">
            <v>31034.76</v>
          </cell>
          <cell r="F707">
            <v>31034.76</v>
          </cell>
          <cell r="G707">
            <v>0</v>
          </cell>
          <cell r="H707">
            <v>124139</v>
          </cell>
          <cell r="I707">
            <v>124139</v>
          </cell>
          <cell r="J707">
            <v>0</v>
          </cell>
        </row>
        <row r="708">
          <cell r="A708" t="str">
            <v>6219789729</v>
          </cell>
          <cell r="B708">
            <v>62197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6219789786</v>
          </cell>
          <cell r="B709">
            <v>62197</v>
          </cell>
          <cell r="C709">
            <v>89786</v>
          </cell>
          <cell r="D709" t="str">
            <v>Property Tax Exp</v>
          </cell>
          <cell r="E709">
            <v>46772.01</v>
          </cell>
          <cell r="F709">
            <v>46772.01</v>
          </cell>
          <cell r="G709">
            <v>0</v>
          </cell>
          <cell r="H709">
            <v>187088</v>
          </cell>
          <cell r="I709">
            <v>187088</v>
          </cell>
          <cell r="J709">
            <v>0</v>
          </cell>
        </row>
        <row r="710">
          <cell r="A710" t="str">
            <v>6219771040</v>
          </cell>
          <cell r="B710">
            <v>62197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6219772701</v>
          </cell>
          <cell r="B711">
            <v>62197</v>
          </cell>
          <cell r="C711">
            <v>72701</v>
          </cell>
          <cell r="D711" t="str">
            <v>Utilities</v>
          </cell>
          <cell r="E711">
            <v>905.88</v>
          </cell>
          <cell r="F711">
            <v>919.11</v>
          </cell>
          <cell r="G711">
            <v>-13.23</v>
          </cell>
          <cell r="H711">
            <v>2224</v>
          </cell>
          <cell r="I711">
            <v>2224</v>
          </cell>
          <cell r="J711">
            <v>0</v>
          </cell>
        </row>
        <row r="712">
          <cell r="A712" t="str">
            <v>6219772855</v>
          </cell>
          <cell r="B712">
            <v>62197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6219772870</v>
          </cell>
          <cell r="B713">
            <v>62197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6219776010</v>
          </cell>
          <cell r="B714">
            <v>62197</v>
          </cell>
          <cell r="C714">
            <v>76010</v>
          </cell>
          <cell r="D714" t="str">
            <v>Tenant Alterations</v>
          </cell>
          <cell r="E714">
            <v>125.92</v>
          </cell>
          <cell r="F714">
            <v>0</v>
          </cell>
          <cell r="G714">
            <v>125.92</v>
          </cell>
          <cell r="H714">
            <v>2305.14</v>
          </cell>
          <cell r="I714">
            <v>2305.14</v>
          </cell>
          <cell r="J714">
            <v>0</v>
          </cell>
        </row>
        <row r="715">
          <cell r="A715" t="str">
            <v>6219776040</v>
          </cell>
          <cell r="B715">
            <v>62197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6219776051</v>
          </cell>
          <cell r="B716">
            <v>62197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6219776054</v>
          </cell>
          <cell r="B717">
            <v>62197</v>
          </cell>
          <cell r="C717">
            <v>76054</v>
          </cell>
          <cell r="D717" t="str">
            <v>Bldg Maintenance &amp; Repair</v>
          </cell>
          <cell r="E717">
            <v>160.9</v>
          </cell>
          <cell r="F717">
            <v>16985.84</v>
          </cell>
          <cell r="G717">
            <v>-16824.939999999999</v>
          </cell>
          <cell r="H717">
            <v>55152.24</v>
          </cell>
          <cell r="I717">
            <v>55152.24</v>
          </cell>
          <cell r="J717">
            <v>0</v>
          </cell>
        </row>
        <row r="718">
          <cell r="A718" t="str">
            <v>6219776060</v>
          </cell>
          <cell r="B718">
            <v>62197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6219776071</v>
          </cell>
          <cell r="B719">
            <v>62197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40250</v>
          </cell>
          <cell r="I719">
            <v>40250</v>
          </cell>
          <cell r="J719">
            <v>0</v>
          </cell>
        </row>
        <row r="720">
          <cell r="A720" t="str">
            <v>6219776090</v>
          </cell>
          <cell r="B720">
            <v>62197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6219777001</v>
          </cell>
          <cell r="B721">
            <v>62197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6219777022</v>
          </cell>
          <cell r="B722">
            <v>62197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6219784200</v>
          </cell>
          <cell r="B723">
            <v>62197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6219784240</v>
          </cell>
          <cell r="B724">
            <v>62197</v>
          </cell>
          <cell r="C724">
            <v>84240</v>
          </cell>
          <cell r="D724" t="str">
            <v>Marketing Leasing</v>
          </cell>
          <cell r="E724">
            <v>59.340000000000103</v>
          </cell>
          <cell r="F724">
            <v>8074.23</v>
          </cell>
          <cell r="G724">
            <v>-8014.89</v>
          </cell>
          <cell r="H724">
            <v>33706.800000000003</v>
          </cell>
          <cell r="I724">
            <v>33706.800000000003</v>
          </cell>
          <cell r="J724">
            <v>0</v>
          </cell>
        </row>
        <row r="725">
          <cell r="A725" t="str">
            <v>6219784242</v>
          </cell>
          <cell r="B725">
            <v>62197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6219784243</v>
          </cell>
          <cell r="B726">
            <v>62197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-24587.84</v>
          </cell>
          <cell r="I726">
            <v>-24587.84</v>
          </cell>
          <cell r="J726">
            <v>0</v>
          </cell>
        </row>
        <row r="727">
          <cell r="A727" t="str">
            <v>6219784244</v>
          </cell>
          <cell r="B727">
            <v>62197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6219784265</v>
          </cell>
          <cell r="B728">
            <v>62197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6219788037</v>
          </cell>
          <cell r="B729">
            <v>62197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6219785016</v>
          </cell>
          <cell r="B730">
            <v>62197</v>
          </cell>
          <cell r="C730">
            <v>85016</v>
          </cell>
          <cell r="D730" t="str">
            <v>Prof Svc-Attorney Outside</v>
          </cell>
          <cell r="E730">
            <v>4143.6499999999996</v>
          </cell>
          <cell r="F730">
            <v>265.23</v>
          </cell>
          <cell r="G730">
            <v>3878.42</v>
          </cell>
          <cell r="H730">
            <v>9508.3799999999992</v>
          </cell>
          <cell r="I730">
            <v>9508.3799999999992</v>
          </cell>
          <cell r="J730">
            <v>0</v>
          </cell>
        </row>
        <row r="731">
          <cell r="A731" t="str">
            <v>6219785022</v>
          </cell>
          <cell r="B731">
            <v>62197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6563.01</v>
          </cell>
          <cell r="I731">
            <v>6563.01</v>
          </cell>
          <cell r="J731">
            <v>0</v>
          </cell>
        </row>
        <row r="732">
          <cell r="A732" t="str">
            <v>6219785065</v>
          </cell>
          <cell r="B732">
            <v>62197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6219785500</v>
          </cell>
          <cell r="B733">
            <v>62197</v>
          </cell>
          <cell r="C733">
            <v>85500</v>
          </cell>
          <cell r="D733" t="str">
            <v>Consulting Services</v>
          </cell>
          <cell r="E733">
            <v>100</v>
          </cell>
          <cell r="F733">
            <v>294.29000000000002</v>
          </cell>
          <cell r="G733">
            <v>-194.29</v>
          </cell>
          <cell r="H733">
            <v>2270.2399999999998</v>
          </cell>
          <cell r="I733">
            <v>2270.2399999999998</v>
          </cell>
          <cell r="J733">
            <v>0</v>
          </cell>
        </row>
        <row r="734">
          <cell r="A734" t="str">
            <v>6219785566</v>
          </cell>
          <cell r="B734">
            <v>62197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6219785581</v>
          </cell>
          <cell r="B735">
            <v>62197</v>
          </cell>
          <cell r="C735">
            <v>85581</v>
          </cell>
          <cell r="D735" t="str">
            <v>Bldg Admin- Salaries</v>
          </cell>
          <cell r="E735">
            <v>11.1699999999983</v>
          </cell>
          <cell r="F735">
            <v>32837.01</v>
          </cell>
          <cell r="G735">
            <v>-32825.839999999997</v>
          </cell>
          <cell r="H735">
            <v>138985.70000000001</v>
          </cell>
          <cell r="I735">
            <v>138985.70000000001</v>
          </cell>
          <cell r="J735">
            <v>0</v>
          </cell>
        </row>
        <row r="736">
          <cell r="A736" t="str">
            <v>6219785583</v>
          </cell>
          <cell r="B736">
            <v>62197</v>
          </cell>
          <cell r="C736">
            <v>85583</v>
          </cell>
          <cell r="D736" t="str">
            <v>Bldg Admin-Office Exp.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6219785530</v>
          </cell>
          <cell r="B737">
            <v>62197</v>
          </cell>
          <cell r="C737">
            <v>85530</v>
          </cell>
          <cell r="D737" t="str">
            <v>Bldg Admin - Office Exp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6219786012</v>
          </cell>
          <cell r="B738">
            <v>62197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6219786037</v>
          </cell>
          <cell r="B739">
            <v>62197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6219783050</v>
          </cell>
          <cell r="B740">
            <v>62197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6219786510</v>
          </cell>
          <cell r="B741">
            <v>62197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6219786537</v>
          </cell>
          <cell r="B742">
            <v>62197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6219786566</v>
          </cell>
          <cell r="B743">
            <v>62197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6219786955</v>
          </cell>
          <cell r="B744">
            <v>62197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6219786985</v>
          </cell>
          <cell r="B745">
            <v>62197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6219786880</v>
          </cell>
          <cell r="B746">
            <v>62197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6219788710</v>
          </cell>
          <cell r="B747">
            <v>62197</v>
          </cell>
          <cell r="C747">
            <v>88710</v>
          </cell>
          <cell r="D747" t="str">
            <v>Losses-Bad Debts</v>
          </cell>
          <cell r="E747">
            <v>11320.04</v>
          </cell>
          <cell r="F747">
            <v>15337</v>
          </cell>
          <cell r="G747">
            <v>-4016.96</v>
          </cell>
          <cell r="H747">
            <v>61348</v>
          </cell>
          <cell r="I747">
            <v>61348</v>
          </cell>
          <cell r="J747">
            <v>0</v>
          </cell>
        </row>
        <row r="748">
          <cell r="A748" t="str">
            <v>6219788711</v>
          </cell>
          <cell r="B748">
            <v>62197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6219788785</v>
          </cell>
          <cell r="B749">
            <v>62197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6219788847</v>
          </cell>
          <cell r="B750">
            <v>62197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6219788866</v>
          </cell>
          <cell r="B751">
            <v>62197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6219788870</v>
          </cell>
          <cell r="B752">
            <v>62197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6219788889</v>
          </cell>
          <cell r="B753">
            <v>62197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6219789776</v>
          </cell>
          <cell r="B754">
            <v>62197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6219789787</v>
          </cell>
          <cell r="B755">
            <v>62197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6219789510</v>
          </cell>
          <cell r="B756">
            <v>62197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307195</v>
          </cell>
          <cell r="G756">
            <v>-307195</v>
          </cell>
          <cell r="H756">
            <v>1200071</v>
          </cell>
          <cell r="I756">
            <v>1200071</v>
          </cell>
          <cell r="J756">
            <v>0</v>
          </cell>
        </row>
        <row r="757">
          <cell r="A757" t="str">
            <v>6219789511</v>
          </cell>
          <cell r="B757">
            <v>62197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6219789512</v>
          </cell>
          <cell r="B758">
            <v>62197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6219789528</v>
          </cell>
          <cell r="B759">
            <v>62197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6219789529</v>
          </cell>
          <cell r="B760">
            <v>62197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7002</v>
          </cell>
          <cell r="G760">
            <v>-7002</v>
          </cell>
          <cell r="H760">
            <v>28008</v>
          </cell>
          <cell r="I760">
            <v>28008</v>
          </cell>
          <cell r="J760">
            <v>0</v>
          </cell>
        </row>
        <row r="761">
          <cell r="A761" t="str">
            <v>6219789567</v>
          </cell>
          <cell r="B761">
            <v>62197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6219785058</v>
          </cell>
          <cell r="B762">
            <v>62197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6219786513</v>
          </cell>
          <cell r="B763">
            <v>62197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268.52</v>
          </cell>
          <cell r="G763">
            <v>-268.52</v>
          </cell>
          <cell r="H763">
            <v>6344.69</v>
          </cell>
          <cell r="I763">
            <v>6344.69</v>
          </cell>
          <cell r="J763">
            <v>0</v>
          </cell>
        </row>
        <row r="764">
          <cell r="A764" t="str">
            <v>6219786519</v>
          </cell>
          <cell r="B764">
            <v>62197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6219788770</v>
          </cell>
          <cell r="B765">
            <v>62197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6219788862</v>
          </cell>
          <cell r="B766">
            <v>62197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6219788874</v>
          </cell>
          <cell r="B767">
            <v>62197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6219789910</v>
          </cell>
          <cell r="B768">
            <v>62197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98136.75</v>
          </cell>
          <cell r="G768">
            <v>-98136.75</v>
          </cell>
          <cell r="H768">
            <v>418959.38</v>
          </cell>
          <cell r="I768">
            <v>418959.38</v>
          </cell>
          <cell r="J768">
            <v>0</v>
          </cell>
        </row>
        <row r="769">
          <cell r="A769" t="str">
            <v>6219789548</v>
          </cell>
          <cell r="B769">
            <v>62197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6221541010</v>
          </cell>
          <cell r="B770">
            <v>62215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6221541040</v>
          </cell>
          <cell r="B771">
            <v>62215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6221541050</v>
          </cell>
          <cell r="B772">
            <v>62215</v>
          </cell>
          <cell r="C772">
            <v>41050</v>
          </cell>
          <cell r="D772" t="str">
            <v>Rental Income - Fixed</v>
          </cell>
          <cell r="E772">
            <v>-217686.88</v>
          </cell>
          <cell r="F772">
            <v>-213209.88</v>
          </cell>
          <cell r="G772">
            <v>-4477</v>
          </cell>
          <cell r="H772">
            <v>-1251329.3999999999</v>
          </cell>
          <cell r="I772">
            <v>-1251329.3999999999</v>
          </cell>
          <cell r="J772">
            <v>0</v>
          </cell>
        </row>
        <row r="773">
          <cell r="A773" t="str">
            <v>6221541074</v>
          </cell>
          <cell r="B773">
            <v>62215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6221541082</v>
          </cell>
          <cell r="B774">
            <v>62215</v>
          </cell>
          <cell r="C774">
            <v>41082</v>
          </cell>
          <cell r="D774" t="str">
            <v>Rental Income - Operating Exp</v>
          </cell>
          <cell r="E774">
            <v>-47439.19</v>
          </cell>
          <cell r="F774">
            <v>-60164.800000000003</v>
          </cell>
          <cell r="G774">
            <v>12725.61</v>
          </cell>
          <cell r="H774">
            <v>-360988.8</v>
          </cell>
          <cell r="I774">
            <v>-360988.8</v>
          </cell>
          <cell r="J774">
            <v>0</v>
          </cell>
        </row>
        <row r="775">
          <cell r="A775" t="str">
            <v>6221544610</v>
          </cell>
          <cell r="B775">
            <v>62215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6221545071</v>
          </cell>
          <cell r="B776">
            <v>62215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6221545010</v>
          </cell>
          <cell r="B777">
            <v>62215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6221545046</v>
          </cell>
          <cell r="B778">
            <v>62215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6221545070</v>
          </cell>
          <cell r="B779">
            <v>62215</v>
          </cell>
          <cell r="C779">
            <v>45070</v>
          </cell>
          <cell r="D779" t="str">
            <v>Other Income</v>
          </cell>
          <cell r="E779">
            <v>567.5</v>
          </cell>
          <cell r="F779">
            <v>0</v>
          </cell>
          <cell r="G779">
            <v>567.5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6221541060</v>
          </cell>
          <cell r="B780">
            <v>62215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5374.34</v>
          </cell>
          <cell r="G780">
            <v>-5374.34</v>
          </cell>
          <cell r="H780">
            <v>32246</v>
          </cell>
          <cell r="I780">
            <v>32246</v>
          </cell>
          <cell r="J780">
            <v>0</v>
          </cell>
        </row>
        <row r="781">
          <cell r="A781" t="str">
            <v>6221544870</v>
          </cell>
          <cell r="B781">
            <v>62215</v>
          </cell>
          <cell r="C781">
            <v>44870</v>
          </cell>
          <cell r="D781" t="str">
            <v>Late Fees</v>
          </cell>
          <cell r="E781">
            <v>-25</v>
          </cell>
          <cell r="F781">
            <v>0</v>
          </cell>
          <cell r="G781">
            <v>-25</v>
          </cell>
          <cell r="H781">
            <v>-515</v>
          </cell>
          <cell r="I781">
            <v>-515</v>
          </cell>
          <cell r="J781">
            <v>0</v>
          </cell>
        </row>
        <row r="782">
          <cell r="A782" t="str">
            <v>6221552542</v>
          </cell>
          <cell r="B782">
            <v>62215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6221572710</v>
          </cell>
          <cell r="B783">
            <v>62215</v>
          </cell>
          <cell r="C783">
            <v>72710</v>
          </cell>
          <cell r="D783" t="str">
            <v>Utilities - Electricity</v>
          </cell>
          <cell r="E783">
            <v>2296.64</v>
          </cell>
          <cell r="F783">
            <v>2401.9299999999998</v>
          </cell>
          <cell r="G783">
            <v>-105.29</v>
          </cell>
          <cell r="H783">
            <v>21606.82</v>
          </cell>
          <cell r="I783">
            <v>21606.82</v>
          </cell>
          <cell r="J783">
            <v>0</v>
          </cell>
        </row>
        <row r="784">
          <cell r="A784" t="str">
            <v>6221572740</v>
          </cell>
          <cell r="B784">
            <v>62215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6221572770</v>
          </cell>
          <cell r="B785">
            <v>62215</v>
          </cell>
          <cell r="C785">
            <v>72770</v>
          </cell>
          <cell r="D785" t="str">
            <v>Utilities - Water</v>
          </cell>
          <cell r="E785">
            <v>1937.51</v>
          </cell>
          <cell r="F785">
            <v>2848.85</v>
          </cell>
          <cell r="G785">
            <v>-911.34</v>
          </cell>
          <cell r="H785">
            <v>15774.93</v>
          </cell>
          <cell r="I785">
            <v>15774.93</v>
          </cell>
          <cell r="J785">
            <v>0</v>
          </cell>
        </row>
        <row r="786">
          <cell r="A786" t="str">
            <v>6221576000</v>
          </cell>
          <cell r="B786">
            <v>62215</v>
          </cell>
          <cell r="C786">
            <v>76000</v>
          </cell>
          <cell r="D786" t="str">
            <v>Bldg Maintenance &amp; Repair</v>
          </cell>
          <cell r="E786">
            <v>2501.79</v>
          </cell>
          <cell r="F786">
            <v>4795.58</v>
          </cell>
          <cell r="G786">
            <v>-2293.79</v>
          </cell>
          <cell r="H786">
            <v>39369.870000000003</v>
          </cell>
          <cell r="I786">
            <v>39369.870000000003</v>
          </cell>
          <cell r="J786">
            <v>0</v>
          </cell>
        </row>
        <row r="787">
          <cell r="A787" t="str">
            <v>6221576020</v>
          </cell>
          <cell r="B787">
            <v>62215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6221576034</v>
          </cell>
          <cell r="B788">
            <v>62215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6221576050</v>
          </cell>
          <cell r="B789">
            <v>62215</v>
          </cell>
          <cell r="C789">
            <v>76050</v>
          </cell>
          <cell r="D789" t="str">
            <v>Cleaning Expense</v>
          </cell>
          <cell r="E789">
            <v>3254</v>
          </cell>
          <cell r="F789">
            <v>3170.45</v>
          </cell>
          <cell r="G789">
            <v>83.550000000000196</v>
          </cell>
          <cell r="H789">
            <v>20212.259999999998</v>
          </cell>
          <cell r="I789">
            <v>20212.259999999998</v>
          </cell>
          <cell r="J789">
            <v>0</v>
          </cell>
        </row>
        <row r="790">
          <cell r="A790" t="str">
            <v>6221576056</v>
          </cell>
          <cell r="B790">
            <v>62215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6221576070</v>
          </cell>
          <cell r="B791">
            <v>62215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6221576091</v>
          </cell>
          <cell r="B792">
            <v>62215</v>
          </cell>
          <cell r="C792">
            <v>76091</v>
          </cell>
          <cell r="D792" t="str">
            <v>Parking Maintenance</v>
          </cell>
          <cell r="E792">
            <v>3150</v>
          </cell>
          <cell r="F792">
            <v>2901.4</v>
          </cell>
          <cell r="G792">
            <v>248.6</v>
          </cell>
          <cell r="H792">
            <v>25710.87</v>
          </cell>
          <cell r="I792">
            <v>25710.87</v>
          </cell>
          <cell r="J792">
            <v>0</v>
          </cell>
        </row>
        <row r="793">
          <cell r="A793" t="str">
            <v>6221577000</v>
          </cell>
          <cell r="B793">
            <v>62215</v>
          </cell>
          <cell r="C793">
            <v>77000</v>
          </cell>
          <cell r="D793" t="str">
            <v>Grounds Maintenance</v>
          </cell>
          <cell r="E793">
            <v>1541.43</v>
          </cell>
          <cell r="F793">
            <v>6539.34</v>
          </cell>
          <cell r="G793">
            <v>-4997.91</v>
          </cell>
          <cell r="H793">
            <v>26476.38</v>
          </cell>
          <cell r="I793">
            <v>26476.38</v>
          </cell>
          <cell r="J793">
            <v>0</v>
          </cell>
        </row>
        <row r="794">
          <cell r="A794" t="str">
            <v>6221577053</v>
          </cell>
          <cell r="B794">
            <v>62215</v>
          </cell>
          <cell r="C794">
            <v>77053</v>
          </cell>
          <cell r="D794" t="str">
            <v>Landscaping</v>
          </cell>
          <cell r="E794">
            <v>3935.1</v>
          </cell>
          <cell r="F794">
            <v>1602.12</v>
          </cell>
          <cell r="G794">
            <v>2332.98</v>
          </cell>
          <cell r="H794">
            <v>28967.4</v>
          </cell>
          <cell r="I794">
            <v>28967.4</v>
          </cell>
          <cell r="J794">
            <v>0</v>
          </cell>
        </row>
        <row r="795">
          <cell r="A795" t="str">
            <v>6221578020</v>
          </cell>
          <cell r="B795">
            <v>62215</v>
          </cell>
          <cell r="C795">
            <v>78020</v>
          </cell>
          <cell r="D795" t="str">
            <v>Amortized CAM Exp</v>
          </cell>
          <cell r="E795">
            <v>3611.16</v>
          </cell>
          <cell r="F795">
            <v>3611.16</v>
          </cell>
          <cell r="G795">
            <v>0</v>
          </cell>
          <cell r="H795">
            <v>21667</v>
          </cell>
          <cell r="I795">
            <v>21667</v>
          </cell>
          <cell r="J795">
            <v>0</v>
          </cell>
        </row>
        <row r="796">
          <cell r="A796" t="str">
            <v>6221584264</v>
          </cell>
          <cell r="B796">
            <v>62215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6221585555</v>
          </cell>
          <cell r="B797">
            <v>62215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6221585584</v>
          </cell>
          <cell r="B798">
            <v>62215</v>
          </cell>
          <cell r="C798">
            <v>85584</v>
          </cell>
          <cell r="D798" t="str">
            <v>Bldg Admin-Office Costs</v>
          </cell>
          <cell r="E798">
            <v>1006.84</v>
          </cell>
          <cell r="F798">
            <v>1006.84</v>
          </cell>
          <cell r="G798">
            <v>0</v>
          </cell>
          <cell r="H798">
            <v>6041</v>
          </cell>
          <cell r="I798">
            <v>6041</v>
          </cell>
          <cell r="J798">
            <v>0</v>
          </cell>
        </row>
        <row r="799">
          <cell r="A799" t="str">
            <v>6221585582</v>
          </cell>
          <cell r="B799">
            <v>62215</v>
          </cell>
          <cell r="C799">
            <v>85582</v>
          </cell>
          <cell r="D799" t="str">
            <v>Bldg Admin-Salaries</v>
          </cell>
          <cell r="E799">
            <v>5466.94</v>
          </cell>
          <cell r="F799">
            <v>5466.5</v>
          </cell>
          <cell r="G799">
            <v>0.43999999999959999</v>
          </cell>
          <cell r="H799">
            <v>34901.5</v>
          </cell>
          <cell r="I799">
            <v>34901.5</v>
          </cell>
          <cell r="J799">
            <v>0</v>
          </cell>
        </row>
        <row r="800">
          <cell r="A800" t="str">
            <v>6221586564</v>
          </cell>
          <cell r="B800">
            <v>62215</v>
          </cell>
          <cell r="C800">
            <v>86564</v>
          </cell>
          <cell r="D800" t="str">
            <v>Insurance</v>
          </cell>
          <cell r="E800">
            <v>2814</v>
          </cell>
          <cell r="F800">
            <v>2813.66</v>
          </cell>
          <cell r="G800">
            <v>0.34000000000014602</v>
          </cell>
          <cell r="H800">
            <v>16882</v>
          </cell>
          <cell r="I800">
            <v>16882</v>
          </cell>
          <cell r="J800">
            <v>0</v>
          </cell>
        </row>
        <row r="801">
          <cell r="A801" t="str">
            <v>6221588846</v>
          </cell>
          <cell r="B801">
            <v>62215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6221588890</v>
          </cell>
          <cell r="B802">
            <v>62215</v>
          </cell>
          <cell r="C802">
            <v>88890</v>
          </cell>
          <cell r="D802" t="str">
            <v>Security/Safety</v>
          </cell>
          <cell r="E802">
            <v>400.04</v>
          </cell>
          <cell r="F802">
            <v>489.8</v>
          </cell>
          <cell r="G802">
            <v>-89.76</v>
          </cell>
          <cell r="H802">
            <v>3299.61</v>
          </cell>
          <cell r="I802">
            <v>3299.61</v>
          </cell>
          <cell r="J802">
            <v>0</v>
          </cell>
        </row>
        <row r="803">
          <cell r="A803" t="str">
            <v>6221589775</v>
          </cell>
          <cell r="B803">
            <v>62215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6221589729</v>
          </cell>
          <cell r="B804">
            <v>62215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6221589786</v>
          </cell>
          <cell r="B805">
            <v>62215</v>
          </cell>
          <cell r="C805">
            <v>89786</v>
          </cell>
          <cell r="D805" t="str">
            <v>Property Tax Exp</v>
          </cell>
          <cell r="E805">
            <v>11210.34</v>
          </cell>
          <cell r="F805">
            <v>11210.34</v>
          </cell>
          <cell r="G805">
            <v>0</v>
          </cell>
          <cell r="H805">
            <v>67262</v>
          </cell>
          <cell r="I805">
            <v>67262</v>
          </cell>
          <cell r="J805">
            <v>0</v>
          </cell>
        </row>
        <row r="806">
          <cell r="A806" t="str">
            <v>6221571040</v>
          </cell>
          <cell r="B806">
            <v>62215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6221572701</v>
          </cell>
          <cell r="B807">
            <v>62215</v>
          </cell>
          <cell r="C807">
            <v>72701</v>
          </cell>
          <cell r="D807" t="str">
            <v>Utilities</v>
          </cell>
          <cell r="E807">
            <v>176.39</v>
          </cell>
          <cell r="F807">
            <v>0</v>
          </cell>
          <cell r="G807">
            <v>176.39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6221572855</v>
          </cell>
          <cell r="B808">
            <v>62215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</row>
        <row r="809">
          <cell r="A809" t="str">
            <v>6221572870</v>
          </cell>
          <cell r="B809">
            <v>62215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6221576010</v>
          </cell>
          <cell r="B810">
            <v>62215</v>
          </cell>
          <cell r="C810">
            <v>76010</v>
          </cell>
          <cell r="D810" t="str">
            <v>Tenant Alterations</v>
          </cell>
          <cell r="E810">
            <v>95.19</v>
          </cell>
          <cell r="F810">
            <v>200</v>
          </cell>
          <cell r="G810">
            <v>-104.81</v>
          </cell>
          <cell r="H810">
            <v>800</v>
          </cell>
          <cell r="I810">
            <v>800</v>
          </cell>
          <cell r="J810">
            <v>0</v>
          </cell>
        </row>
        <row r="811">
          <cell r="A811" t="str">
            <v>6221576040</v>
          </cell>
          <cell r="B811">
            <v>62215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6221576051</v>
          </cell>
          <cell r="B812">
            <v>62215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6221576054</v>
          </cell>
          <cell r="B813">
            <v>62215</v>
          </cell>
          <cell r="C813">
            <v>76054</v>
          </cell>
          <cell r="D813" t="str">
            <v>Bldg Maintenance &amp; Repair</v>
          </cell>
          <cell r="E813">
            <v>1725.75</v>
          </cell>
          <cell r="F813">
            <v>40.17</v>
          </cell>
          <cell r="G813">
            <v>1685.58</v>
          </cell>
          <cell r="H813">
            <v>1141.51</v>
          </cell>
          <cell r="I813">
            <v>1141.51</v>
          </cell>
          <cell r="J813">
            <v>0</v>
          </cell>
        </row>
        <row r="814">
          <cell r="A814" t="str">
            <v>6221576060</v>
          </cell>
          <cell r="B814">
            <v>62215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6221576071</v>
          </cell>
          <cell r="B815">
            <v>62215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6221576090</v>
          </cell>
          <cell r="B816">
            <v>62215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6221577001</v>
          </cell>
          <cell r="B817">
            <v>62215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6221577022</v>
          </cell>
          <cell r="B818">
            <v>62215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6221584200</v>
          </cell>
          <cell r="B819">
            <v>62215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6221584240</v>
          </cell>
          <cell r="B820">
            <v>62215</v>
          </cell>
          <cell r="C820">
            <v>84240</v>
          </cell>
          <cell r="D820" t="str">
            <v>Marketing Leasing</v>
          </cell>
          <cell r="E820">
            <v>2599.2199999999998</v>
          </cell>
          <cell r="F820">
            <v>2589.8200000000002</v>
          </cell>
          <cell r="G820">
            <v>9.3999999999996398</v>
          </cell>
          <cell r="H820">
            <v>16385.3</v>
          </cell>
          <cell r="I820">
            <v>16385.3</v>
          </cell>
          <cell r="J820">
            <v>0</v>
          </cell>
        </row>
        <row r="821">
          <cell r="A821" t="str">
            <v>6221584242</v>
          </cell>
          <cell r="B821">
            <v>62215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6221584243</v>
          </cell>
          <cell r="B822">
            <v>62215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-12767</v>
          </cell>
          <cell r="I822">
            <v>-12767</v>
          </cell>
          <cell r="J822">
            <v>0</v>
          </cell>
        </row>
        <row r="823">
          <cell r="A823" t="str">
            <v>6221584244</v>
          </cell>
          <cell r="B823">
            <v>62215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6221584265</v>
          </cell>
          <cell r="B824">
            <v>62215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6221588037</v>
          </cell>
          <cell r="B825">
            <v>62215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6221585016</v>
          </cell>
          <cell r="B826">
            <v>62215</v>
          </cell>
          <cell r="C826">
            <v>85016</v>
          </cell>
          <cell r="D826" t="str">
            <v>Prof Svc-Attorney Outside</v>
          </cell>
          <cell r="E826">
            <v>4700.97</v>
          </cell>
          <cell r="F826">
            <v>413.03</v>
          </cell>
          <cell r="G826">
            <v>4287.9399999999996</v>
          </cell>
          <cell r="H826">
            <v>4963.92</v>
          </cell>
          <cell r="I826">
            <v>4963.92</v>
          </cell>
          <cell r="J826">
            <v>0</v>
          </cell>
        </row>
        <row r="827">
          <cell r="A827" t="str">
            <v>6221585022</v>
          </cell>
          <cell r="B827">
            <v>62215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1306.4000000000001</v>
          </cell>
          <cell r="I827">
            <v>1306.4000000000001</v>
          </cell>
          <cell r="J827">
            <v>0</v>
          </cell>
        </row>
        <row r="828">
          <cell r="A828" t="str">
            <v>6221585065</v>
          </cell>
          <cell r="B828">
            <v>62215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6221585500</v>
          </cell>
          <cell r="B829">
            <v>62215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515</v>
          </cell>
          <cell r="I829">
            <v>515</v>
          </cell>
          <cell r="J829">
            <v>0</v>
          </cell>
        </row>
        <row r="830">
          <cell r="A830" t="str">
            <v>6221585566</v>
          </cell>
          <cell r="B830">
            <v>62215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6221585581</v>
          </cell>
          <cell r="B831">
            <v>62215</v>
          </cell>
          <cell r="C831">
            <v>85581</v>
          </cell>
          <cell r="D831" t="str">
            <v>Bldg Admin- Salaries</v>
          </cell>
          <cell r="E831">
            <v>4658.75</v>
          </cell>
          <cell r="F831">
            <v>4659</v>
          </cell>
          <cell r="G831">
            <v>-0.25</v>
          </cell>
          <cell r="H831">
            <v>29287</v>
          </cell>
          <cell r="I831">
            <v>29287</v>
          </cell>
          <cell r="J831">
            <v>0</v>
          </cell>
        </row>
        <row r="832">
          <cell r="A832" t="str">
            <v>6221585583</v>
          </cell>
          <cell r="B832">
            <v>62215</v>
          </cell>
          <cell r="C832">
            <v>85583</v>
          </cell>
          <cell r="D832" t="str">
            <v>Bldg Admin-Office Exp.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6221585530</v>
          </cell>
          <cell r="B833">
            <v>62215</v>
          </cell>
          <cell r="C833">
            <v>85530</v>
          </cell>
          <cell r="D833" t="str">
            <v>Bldg Admin - Office Exp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6221586012</v>
          </cell>
          <cell r="B834">
            <v>62215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6221586037</v>
          </cell>
          <cell r="B835">
            <v>62215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6221583050</v>
          </cell>
          <cell r="B836">
            <v>62215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6221586510</v>
          </cell>
          <cell r="B837">
            <v>62215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6221586537</v>
          </cell>
          <cell r="B838">
            <v>62215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6221586566</v>
          </cell>
          <cell r="B839">
            <v>62215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6221586955</v>
          </cell>
          <cell r="B840">
            <v>62215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6221586985</v>
          </cell>
          <cell r="B841">
            <v>62215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6221586880</v>
          </cell>
          <cell r="B842">
            <v>62215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6221588710</v>
          </cell>
          <cell r="B843">
            <v>62215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0.16</v>
          </cell>
          <cell r="G843">
            <v>-0.16</v>
          </cell>
          <cell r="H843">
            <v>32256.639999999999</v>
          </cell>
          <cell r="I843">
            <v>32256.639999999999</v>
          </cell>
          <cell r="J843">
            <v>0</v>
          </cell>
        </row>
        <row r="844">
          <cell r="A844" t="str">
            <v>6221588711</v>
          </cell>
          <cell r="B844">
            <v>62215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6221588785</v>
          </cell>
          <cell r="B845">
            <v>62215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6221588847</v>
          </cell>
          <cell r="B846">
            <v>62215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6221588866</v>
          </cell>
          <cell r="B847">
            <v>62215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6221588870</v>
          </cell>
          <cell r="B848">
            <v>62215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6221588889</v>
          </cell>
          <cell r="B849">
            <v>62215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6221589776</v>
          </cell>
          <cell r="B850">
            <v>62215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6221589787</v>
          </cell>
          <cell r="B851">
            <v>62215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6221589510</v>
          </cell>
          <cell r="B852">
            <v>62215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6221589511</v>
          </cell>
          <cell r="B853">
            <v>62215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6221589512</v>
          </cell>
          <cell r="B854">
            <v>62215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6221589528</v>
          </cell>
          <cell r="B855">
            <v>62215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6221589529</v>
          </cell>
          <cell r="B856">
            <v>62215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6221589567</v>
          </cell>
          <cell r="B857">
            <v>62215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6221585058</v>
          </cell>
          <cell r="B858">
            <v>62215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6221586513</v>
          </cell>
          <cell r="B859">
            <v>62215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0</v>
          </cell>
          <cell r="G859">
            <v>0</v>
          </cell>
          <cell r="H859">
            <v>821.59</v>
          </cell>
          <cell r="I859">
            <v>821.59</v>
          </cell>
          <cell r="J859">
            <v>0</v>
          </cell>
        </row>
        <row r="860">
          <cell r="A860" t="str">
            <v>6221586519</v>
          </cell>
          <cell r="B860">
            <v>62215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6221588770</v>
          </cell>
          <cell r="B861">
            <v>62215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6221588862</v>
          </cell>
          <cell r="B862">
            <v>62215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6221588874</v>
          </cell>
          <cell r="B863">
            <v>62215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6221589910</v>
          </cell>
          <cell r="B864">
            <v>62215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31379.73</v>
          </cell>
          <cell r="G864">
            <v>-31379.73</v>
          </cell>
          <cell r="H864">
            <v>188995.47</v>
          </cell>
          <cell r="I864">
            <v>188995.47</v>
          </cell>
          <cell r="J864">
            <v>0</v>
          </cell>
        </row>
        <row r="865">
          <cell r="A865" t="str">
            <v>6221589548</v>
          </cell>
          <cell r="B865">
            <v>62215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  <row r="866">
          <cell r="A866" t="str">
            <v>6221589548</v>
          </cell>
          <cell r="B866">
            <v>62215</v>
          </cell>
          <cell r="C866">
            <v>89548</v>
          </cell>
          <cell r="D866" t="str">
            <v>Other Amortized Cost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6225241010</v>
          </cell>
          <cell r="B867">
            <v>62252</v>
          </cell>
          <cell r="C867">
            <v>41010</v>
          </cell>
          <cell r="D867" t="str">
            <v>Parking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6225241040</v>
          </cell>
          <cell r="B868">
            <v>62252</v>
          </cell>
          <cell r="C868">
            <v>41040</v>
          </cell>
          <cell r="D868" t="str">
            <v>Rental Income FAS 13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6225241050</v>
          </cell>
          <cell r="B869">
            <v>62252</v>
          </cell>
          <cell r="C869">
            <v>41050</v>
          </cell>
          <cell r="D869" t="str">
            <v>Rental Income - Fixed</v>
          </cell>
          <cell r="E869">
            <v>-121109.54</v>
          </cell>
          <cell r="F869">
            <v>-110479.54</v>
          </cell>
          <cell r="G869">
            <v>-10630</v>
          </cell>
          <cell r="H869">
            <v>-1401830.11</v>
          </cell>
          <cell r="I869">
            <v>-1401830.11</v>
          </cell>
          <cell r="J869">
            <v>0</v>
          </cell>
        </row>
        <row r="870">
          <cell r="A870" t="str">
            <v>6225241074</v>
          </cell>
          <cell r="B870">
            <v>62252</v>
          </cell>
          <cell r="C870">
            <v>41074</v>
          </cell>
          <cell r="D870" t="str">
            <v>Rental Income - Percentage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6225241082</v>
          </cell>
          <cell r="B871">
            <v>62252</v>
          </cell>
          <cell r="C871">
            <v>41082</v>
          </cell>
          <cell r="D871" t="str">
            <v>Rental Income - Operating Exp</v>
          </cell>
          <cell r="E871">
            <v>-22030.01</v>
          </cell>
          <cell r="F871">
            <v>-32722.85</v>
          </cell>
          <cell r="G871">
            <v>10692.84</v>
          </cell>
          <cell r="H871">
            <v>-392674.2</v>
          </cell>
          <cell r="I871">
            <v>-392674.2</v>
          </cell>
          <cell r="J871">
            <v>0</v>
          </cell>
        </row>
        <row r="872">
          <cell r="A872" t="str">
            <v>6225244610</v>
          </cell>
          <cell r="B872">
            <v>62252</v>
          </cell>
          <cell r="C872">
            <v>44610</v>
          </cell>
          <cell r="D872" t="str">
            <v>Marketing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6225245071</v>
          </cell>
          <cell r="B873">
            <v>62252</v>
          </cell>
          <cell r="C873">
            <v>45071</v>
          </cell>
          <cell r="D873" t="str">
            <v>Termination Fee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6225245010</v>
          </cell>
          <cell r="B874">
            <v>62252</v>
          </cell>
          <cell r="C874">
            <v>45010</v>
          </cell>
          <cell r="D874" t="str">
            <v>Bad Debt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6225245046</v>
          </cell>
          <cell r="B875">
            <v>62252</v>
          </cell>
          <cell r="C875">
            <v>45046</v>
          </cell>
          <cell r="D875" t="str">
            <v>Mgmt/Consult Fee Income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6225245070</v>
          </cell>
          <cell r="B876">
            <v>62252</v>
          </cell>
          <cell r="C876">
            <v>45070</v>
          </cell>
          <cell r="D876" t="str">
            <v>Other Income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</row>
        <row r="877">
          <cell r="A877" t="str">
            <v>6225241060</v>
          </cell>
          <cell r="B877">
            <v>62252</v>
          </cell>
          <cell r="C877">
            <v>41060</v>
          </cell>
          <cell r="D877" t="str">
            <v>Rental Income - Vacancy</v>
          </cell>
          <cell r="E877">
            <v>0</v>
          </cell>
          <cell r="F877">
            <v>4486.25</v>
          </cell>
          <cell r="G877">
            <v>-4486.25</v>
          </cell>
          <cell r="H877">
            <v>53835</v>
          </cell>
          <cell r="I877">
            <v>53835</v>
          </cell>
          <cell r="J877">
            <v>0</v>
          </cell>
        </row>
        <row r="878">
          <cell r="A878" t="str">
            <v>6225244870</v>
          </cell>
          <cell r="B878">
            <v>62252</v>
          </cell>
          <cell r="C878">
            <v>44870</v>
          </cell>
          <cell r="D878" t="str">
            <v>Late Fees</v>
          </cell>
          <cell r="E878">
            <v>-175.02</v>
          </cell>
          <cell r="F878">
            <v>0</v>
          </cell>
          <cell r="G878">
            <v>-175.02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6225252542</v>
          </cell>
          <cell r="B879">
            <v>62252</v>
          </cell>
          <cell r="C879">
            <v>52542</v>
          </cell>
          <cell r="D879" t="str">
            <v>Cost of Tenant Services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6225272710</v>
          </cell>
          <cell r="B880">
            <v>62252</v>
          </cell>
          <cell r="C880">
            <v>72710</v>
          </cell>
          <cell r="D880" t="str">
            <v>Utilities - Electricity</v>
          </cell>
          <cell r="E880">
            <v>311.85000000000002</v>
          </cell>
          <cell r="F880">
            <v>759.42</v>
          </cell>
          <cell r="G880">
            <v>-447.57</v>
          </cell>
          <cell r="H880">
            <v>12463.2</v>
          </cell>
          <cell r="I880">
            <v>12463.2</v>
          </cell>
          <cell r="J880">
            <v>0</v>
          </cell>
        </row>
        <row r="881">
          <cell r="A881" t="str">
            <v>6225272740</v>
          </cell>
          <cell r="B881">
            <v>62252</v>
          </cell>
          <cell r="C881">
            <v>72740</v>
          </cell>
          <cell r="D881" t="str">
            <v>Utilities - Gas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6225272770</v>
          </cell>
          <cell r="B882">
            <v>62252</v>
          </cell>
          <cell r="C882">
            <v>72770</v>
          </cell>
          <cell r="D882" t="str">
            <v>Utilities - Water</v>
          </cell>
          <cell r="E882">
            <v>198.61</v>
          </cell>
          <cell r="F882">
            <v>1037.44</v>
          </cell>
          <cell r="G882">
            <v>-838.83</v>
          </cell>
          <cell r="H882">
            <v>11191.61</v>
          </cell>
          <cell r="I882">
            <v>11191.61</v>
          </cell>
          <cell r="J882">
            <v>0</v>
          </cell>
        </row>
        <row r="883">
          <cell r="A883" t="str">
            <v>6225276000</v>
          </cell>
          <cell r="B883">
            <v>62252</v>
          </cell>
          <cell r="C883">
            <v>76000</v>
          </cell>
          <cell r="D883" t="str">
            <v>Bldg Maintenance &amp; Repair</v>
          </cell>
          <cell r="E883">
            <v>1249.81</v>
          </cell>
          <cell r="F883">
            <v>1948.51</v>
          </cell>
          <cell r="G883">
            <v>-698.7</v>
          </cell>
          <cell r="H883">
            <v>36414.370000000003</v>
          </cell>
          <cell r="I883">
            <v>36414.370000000003</v>
          </cell>
          <cell r="J883">
            <v>0</v>
          </cell>
        </row>
        <row r="884">
          <cell r="A884" t="str">
            <v>6225276020</v>
          </cell>
          <cell r="B884">
            <v>62252</v>
          </cell>
          <cell r="C884">
            <v>76020</v>
          </cell>
          <cell r="D884" t="str">
            <v>Food Court Expense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6225276034</v>
          </cell>
          <cell r="B885">
            <v>62252</v>
          </cell>
          <cell r="C885">
            <v>76034</v>
          </cell>
          <cell r="D885" t="str">
            <v>Bldg. - General Repair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6225276050</v>
          </cell>
          <cell r="B886">
            <v>62252</v>
          </cell>
          <cell r="C886">
            <v>76050</v>
          </cell>
          <cell r="D886" t="str">
            <v>Cleaning Expense</v>
          </cell>
          <cell r="E886">
            <v>1288.46</v>
          </cell>
          <cell r="F886">
            <v>1415.45</v>
          </cell>
          <cell r="G886">
            <v>-126.99</v>
          </cell>
          <cell r="H886">
            <v>16897</v>
          </cell>
          <cell r="I886">
            <v>16897</v>
          </cell>
          <cell r="J886">
            <v>0</v>
          </cell>
        </row>
        <row r="887">
          <cell r="A887" t="str">
            <v>6225276056</v>
          </cell>
          <cell r="B887">
            <v>62252</v>
          </cell>
          <cell r="C887">
            <v>76056</v>
          </cell>
          <cell r="D887" t="str">
            <v>Maintenance - Reimb Reimaging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6225276070</v>
          </cell>
          <cell r="B888">
            <v>62252</v>
          </cell>
          <cell r="C888">
            <v>76070</v>
          </cell>
          <cell r="D888" t="str">
            <v>Reimaging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6225276091</v>
          </cell>
          <cell r="B889">
            <v>62252</v>
          </cell>
          <cell r="C889">
            <v>76091</v>
          </cell>
          <cell r="D889" t="str">
            <v>Parking Maintenance</v>
          </cell>
          <cell r="E889">
            <v>1315</v>
          </cell>
          <cell r="F889">
            <v>1328.95</v>
          </cell>
          <cell r="G889">
            <v>-13.95</v>
          </cell>
          <cell r="H889">
            <v>22592.01</v>
          </cell>
          <cell r="I889">
            <v>22592.01</v>
          </cell>
          <cell r="J889">
            <v>0</v>
          </cell>
        </row>
        <row r="890">
          <cell r="A890" t="str">
            <v>6225277000</v>
          </cell>
          <cell r="B890">
            <v>62252</v>
          </cell>
          <cell r="C890">
            <v>77000</v>
          </cell>
          <cell r="D890" t="str">
            <v>Grounds Maintenance</v>
          </cell>
          <cell r="E890">
            <v>300.29000000000002</v>
          </cell>
          <cell r="F890">
            <v>4285.7</v>
          </cell>
          <cell r="G890">
            <v>-3985.41</v>
          </cell>
          <cell r="H890">
            <v>21626.5</v>
          </cell>
          <cell r="I890">
            <v>21626.5</v>
          </cell>
          <cell r="J890">
            <v>0</v>
          </cell>
        </row>
        <row r="891">
          <cell r="A891" t="str">
            <v>6225277053</v>
          </cell>
          <cell r="B891">
            <v>62252</v>
          </cell>
          <cell r="C891">
            <v>77053</v>
          </cell>
          <cell r="D891" t="str">
            <v>Landscaping</v>
          </cell>
          <cell r="E891">
            <v>1701.51</v>
          </cell>
          <cell r="F891">
            <v>1056.32</v>
          </cell>
          <cell r="G891">
            <v>645.19000000000005</v>
          </cell>
          <cell r="H891">
            <v>69185.460000000006</v>
          </cell>
          <cell r="I891">
            <v>69185.460000000006</v>
          </cell>
          <cell r="J891">
            <v>0</v>
          </cell>
        </row>
        <row r="892">
          <cell r="A892" t="str">
            <v>6225278020</v>
          </cell>
          <cell r="B892">
            <v>62252</v>
          </cell>
          <cell r="C892">
            <v>78020</v>
          </cell>
          <cell r="D892" t="str">
            <v>Amortized CAM Exp</v>
          </cell>
          <cell r="E892">
            <v>1528</v>
          </cell>
          <cell r="F892">
            <v>1527.75</v>
          </cell>
          <cell r="G892">
            <v>0.25</v>
          </cell>
          <cell r="H892">
            <v>18333</v>
          </cell>
          <cell r="I892">
            <v>18333</v>
          </cell>
          <cell r="J892">
            <v>0</v>
          </cell>
        </row>
        <row r="893">
          <cell r="A893" t="str">
            <v>6225284264</v>
          </cell>
          <cell r="B893">
            <v>62252</v>
          </cell>
          <cell r="C893">
            <v>84264</v>
          </cell>
          <cell r="D893" t="str">
            <v>Mktg-Tenant Relations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6225285555</v>
          </cell>
          <cell r="B894">
            <v>62252</v>
          </cell>
          <cell r="C894">
            <v>85555</v>
          </cell>
          <cell r="D894" t="str">
            <v>Management Fee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6225285584</v>
          </cell>
          <cell r="B895">
            <v>62252</v>
          </cell>
          <cell r="C895">
            <v>85584</v>
          </cell>
          <cell r="D895" t="str">
            <v>Bldg Admin-Office Costs</v>
          </cell>
          <cell r="E895">
            <v>390.24</v>
          </cell>
          <cell r="F895">
            <v>598.58000000000004</v>
          </cell>
          <cell r="G895">
            <v>-208.34</v>
          </cell>
          <cell r="H895">
            <v>7183</v>
          </cell>
          <cell r="I895">
            <v>7183</v>
          </cell>
          <cell r="J895">
            <v>0</v>
          </cell>
        </row>
        <row r="896">
          <cell r="A896" t="str">
            <v>6225285582</v>
          </cell>
          <cell r="B896">
            <v>62252</v>
          </cell>
          <cell r="C896">
            <v>85582</v>
          </cell>
          <cell r="D896" t="str">
            <v>Bldg Admin-Salaries</v>
          </cell>
          <cell r="E896">
            <v>3249.84</v>
          </cell>
          <cell r="F896">
            <v>3250</v>
          </cell>
          <cell r="G896">
            <v>-0.15999999999985401</v>
          </cell>
          <cell r="H896">
            <v>41501</v>
          </cell>
          <cell r="I896">
            <v>41501</v>
          </cell>
          <cell r="J896">
            <v>0</v>
          </cell>
        </row>
        <row r="897">
          <cell r="A897" t="str">
            <v>6225286564</v>
          </cell>
          <cell r="B897">
            <v>62252</v>
          </cell>
          <cell r="C897">
            <v>86564</v>
          </cell>
          <cell r="D897" t="str">
            <v>Insurance</v>
          </cell>
          <cell r="E897">
            <v>1806</v>
          </cell>
          <cell r="F897">
            <v>1805.83</v>
          </cell>
          <cell r="G897">
            <v>0.17000000000007301</v>
          </cell>
          <cell r="H897">
            <v>21670</v>
          </cell>
          <cell r="I897">
            <v>21670</v>
          </cell>
          <cell r="J897">
            <v>0</v>
          </cell>
        </row>
        <row r="898">
          <cell r="A898" t="str">
            <v>6225288846</v>
          </cell>
          <cell r="B898">
            <v>62252</v>
          </cell>
          <cell r="C898">
            <v>88846</v>
          </cell>
          <cell r="D898" t="str">
            <v>Expenses -Other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6225288890</v>
          </cell>
          <cell r="B899">
            <v>62252</v>
          </cell>
          <cell r="C899">
            <v>88890</v>
          </cell>
          <cell r="D899" t="str">
            <v>Security/Safety</v>
          </cell>
          <cell r="E899">
            <v>200.02</v>
          </cell>
          <cell r="F899">
            <v>462.02</v>
          </cell>
          <cell r="G899">
            <v>-262</v>
          </cell>
          <cell r="H899">
            <v>4492</v>
          </cell>
          <cell r="I899">
            <v>4492</v>
          </cell>
          <cell r="J899">
            <v>0</v>
          </cell>
        </row>
        <row r="900">
          <cell r="A900" t="str">
            <v>6225289775</v>
          </cell>
          <cell r="B900">
            <v>62252</v>
          </cell>
          <cell r="C900">
            <v>89775</v>
          </cell>
          <cell r="D900" t="str">
            <v>Assmt Dist Taxes- Reimb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6225289729</v>
          </cell>
          <cell r="B901">
            <v>62252</v>
          </cell>
          <cell r="C901">
            <v>89729</v>
          </cell>
          <cell r="D901" t="str">
            <v>Taxes - Miscellaneous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6225289786</v>
          </cell>
          <cell r="B902">
            <v>62252</v>
          </cell>
          <cell r="C902">
            <v>89786</v>
          </cell>
          <cell r="D902" t="str">
            <v>Property Tax Exp</v>
          </cell>
          <cell r="E902">
            <v>5904.16</v>
          </cell>
          <cell r="F902">
            <v>5904.16</v>
          </cell>
          <cell r="G902">
            <v>0</v>
          </cell>
          <cell r="H902">
            <v>70850</v>
          </cell>
          <cell r="I902">
            <v>70850</v>
          </cell>
          <cell r="J902">
            <v>0</v>
          </cell>
        </row>
        <row r="903">
          <cell r="A903" t="str">
            <v>6225271040</v>
          </cell>
          <cell r="B903">
            <v>62252</v>
          </cell>
          <cell r="C903">
            <v>71040</v>
          </cell>
          <cell r="D903" t="str">
            <v>Office Supplies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6225272701</v>
          </cell>
          <cell r="B904">
            <v>62252</v>
          </cell>
          <cell r="C904">
            <v>72701</v>
          </cell>
          <cell r="D904" t="str">
            <v>Utilities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6225272855</v>
          </cell>
          <cell r="B905">
            <v>62252</v>
          </cell>
          <cell r="C905">
            <v>72855</v>
          </cell>
          <cell r="D905" t="str">
            <v>Rent Expense-Ground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</row>
        <row r="906">
          <cell r="A906" t="str">
            <v>6225272870</v>
          </cell>
          <cell r="B906">
            <v>62252</v>
          </cell>
          <cell r="C906">
            <v>72870</v>
          </cell>
          <cell r="D906" t="str">
            <v>Office Rent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6225276010</v>
          </cell>
          <cell r="B907">
            <v>62252</v>
          </cell>
          <cell r="C907">
            <v>76010</v>
          </cell>
          <cell r="D907" t="str">
            <v>Tenant Alterations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6225276040</v>
          </cell>
          <cell r="B908">
            <v>62252</v>
          </cell>
          <cell r="C908">
            <v>76040</v>
          </cell>
          <cell r="D908" t="str">
            <v>HVAC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6225276051</v>
          </cell>
          <cell r="B909">
            <v>62252</v>
          </cell>
          <cell r="C909">
            <v>76051</v>
          </cell>
          <cell r="D909" t="str">
            <v>Cleaning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6225276054</v>
          </cell>
          <cell r="B910">
            <v>62252</v>
          </cell>
          <cell r="C910">
            <v>76054</v>
          </cell>
          <cell r="D910" t="str">
            <v>Bldg Maintenance &amp; Repair</v>
          </cell>
          <cell r="E910">
            <v>0</v>
          </cell>
          <cell r="F910">
            <v>0</v>
          </cell>
          <cell r="G910">
            <v>0</v>
          </cell>
          <cell r="H910">
            <v>6.91</v>
          </cell>
          <cell r="I910">
            <v>6.91</v>
          </cell>
          <cell r="J910">
            <v>0</v>
          </cell>
        </row>
        <row r="911">
          <cell r="A911" t="str">
            <v>6225276060</v>
          </cell>
          <cell r="B911">
            <v>62252</v>
          </cell>
          <cell r="C911">
            <v>76060</v>
          </cell>
          <cell r="D911" t="str">
            <v>Asbestos Abatement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6225276071</v>
          </cell>
          <cell r="B912">
            <v>62252</v>
          </cell>
          <cell r="C912">
            <v>76071</v>
          </cell>
          <cell r="D912" t="str">
            <v>Reimaging Maintenance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6225276090</v>
          </cell>
          <cell r="B913">
            <v>62252</v>
          </cell>
          <cell r="C913">
            <v>76090</v>
          </cell>
          <cell r="D913" t="str">
            <v>Parking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6225277001</v>
          </cell>
          <cell r="B914">
            <v>62252</v>
          </cell>
          <cell r="C914">
            <v>77001</v>
          </cell>
          <cell r="D914" t="str">
            <v>Grounds Maintenance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6225277022</v>
          </cell>
          <cell r="B915">
            <v>62252</v>
          </cell>
          <cell r="C915">
            <v>77022</v>
          </cell>
          <cell r="D915" t="str">
            <v>Landscaping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6225284200</v>
          </cell>
          <cell r="B916">
            <v>62252</v>
          </cell>
          <cell r="C916">
            <v>84200</v>
          </cell>
          <cell r="D916" t="str">
            <v>Marketing-Other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6225284240</v>
          </cell>
          <cell r="B917">
            <v>62252</v>
          </cell>
          <cell r="C917">
            <v>84240</v>
          </cell>
          <cell r="D917" t="str">
            <v>Marketing Leasing</v>
          </cell>
          <cell r="E917">
            <v>587</v>
          </cell>
          <cell r="F917">
            <v>730.17</v>
          </cell>
          <cell r="G917">
            <v>-143.16999999999999</v>
          </cell>
          <cell r="H917">
            <v>9184.2000000000007</v>
          </cell>
          <cell r="I917">
            <v>9184.2000000000007</v>
          </cell>
          <cell r="J917">
            <v>0</v>
          </cell>
        </row>
        <row r="918">
          <cell r="A918" t="str">
            <v>6225284242</v>
          </cell>
          <cell r="B918">
            <v>62252</v>
          </cell>
          <cell r="C918">
            <v>84242</v>
          </cell>
          <cell r="D918" t="str">
            <v>Marketing-Subsidy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6225284243</v>
          </cell>
          <cell r="B919">
            <v>62252</v>
          </cell>
          <cell r="C919">
            <v>84243</v>
          </cell>
          <cell r="D919" t="str">
            <v>Marketing Coordination</v>
          </cell>
          <cell r="E919">
            <v>0</v>
          </cell>
          <cell r="F919">
            <v>0</v>
          </cell>
          <cell r="G919">
            <v>0</v>
          </cell>
          <cell r="H919">
            <v>-6994.91</v>
          </cell>
          <cell r="I919">
            <v>-6994.91</v>
          </cell>
          <cell r="J919">
            <v>0</v>
          </cell>
        </row>
        <row r="920">
          <cell r="A920" t="str">
            <v>6225284244</v>
          </cell>
          <cell r="B920">
            <v>62252</v>
          </cell>
          <cell r="C920">
            <v>84244</v>
          </cell>
          <cell r="D920" t="str">
            <v>Marketing-Net Required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6225284265</v>
          </cell>
          <cell r="B921">
            <v>62252</v>
          </cell>
          <cell r="C921">
            <v>84265</v>
          </cell>
          <cell r="D921" t="str">
            <v>Marketing -TR-Non-Reimb.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6225288037</v>
          </cell>
          <cell r="B922">
            <v>62252</v>
          </cell>
          <cell r="C922">
            <v>88037</v>
          </cell>
          <cell r="D922" t="str">
            <v>Marketing - Leasing Office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</row>
        <row r="923">
          <cell r="A923" t="str">
            <v>6225285016</v>
          </cell>
          <cell r="B923">
            <v>62252</v>
          </cell>
          <cell r="C923">
            <v>85016</v>
          </cell>
          <cell r="D923" t="str">
            <v>Prof Svc-Attorney Outside</v>
          </cell>
          <cell r="E923">
            <v>1012.74</v>
          </cell>
          <cell r="F923">
            <v>0</v>
          </cell>
          <cell r="G923">
            <v>1012.74</v>
          </cell>
          <cell r="H923">
            <v>3115.76</v>
          </cell>
          <cell r="I923">
            <v>3115.76</v>
          </cell>
          <cell r="J923">
            <v>0</v>
          </cell>
        </row>
        <row r="924">
          <cell r="A924" t="str">
            <v>6225285022</v>
          </cell>
          <cell r="B924">
            <v>62252</v>
          </cell>
          <cell r="C924">
            <v>85022</v>
          </cell>
          <cell r="D924" t="str">
            <v>Prof Svc-Audit/Acctng</v>
          </cell>
          <cell r="E924">
            <v>0</v>
          </cell>
          <cell r="F924">
            <v>0</v>
          </cell>
          <cell r="G924">
            <v>0</v>
          </cell>
          <cell r="H924">
            <v>1543.3</v>
          </cell>
          <cell r="I924">
            <v>1543.3</v>
          </cell>
          <cell r="J924">
            <v>0</v>
          </cell>
        </row>
        <row r="925">
          <cell r="A925" t="str">
            <v>6225285065</v>
          </cell>
          <cell r="B925">
            <v>62252</v>
          </cell>
          <cell r="C925">
            <v>85065</v>
          </cell>
          <cell r="D925" t="str">
            <v>Professional Services Other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</row>
        <row r="926">
          <cell r="A926" t="str">
            <v>6225285500</v>
          </cell>
          <cell r="B926">
            <v>62252</v>
          </cell>
          <cell r="C926">
            <v>85500</v>
          </cell>
          <cell r="D926" t="str">
            <v>Consulting Services</v>
          </cell>
          <cell r="E926">
            <v>0</v>
          </cell>
          <cell r="F926">
            <v>0</v>
          </cell>
          <cell r="G926">
            <v>0</v>
          </cell>
          <cell r="H926">
            <v>515</v>
          </cell>
          <cell r="I926">
            <v>515</v>
          </cell>
          <cell r="J926">
            <v>0</v>
          </cell>
        </row>
        <row r="927">
          <cell r="A927" t="str">
            <v>6225285566</v>
          </cell>
          <cell r="B927">
            <v>62252</v>
          </cell>
          <cell r="C927">
            <v>85566</v>
          </cell>
          <cell r="D927" t="str">
            <v>Management Fee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</row>
        <row r="928">
          <cell r="A928" t="str">
            <v>6225285581</v>
          </cell>
          <cell r="B928">
            <v>62252</v>
          </cell>
          <cell r="C928">
            <v>85581</v>
          </cell>
          <cell r="D928" t="str">
            <v>Bldg Admin- Salaries</v>
          </cell>
          <cell r="E928">
            <v>2685.23</v>
          </cell>
          <cell r="F928">
            <v>2685.5</v>
          </cell>
          <cell r="G928">
            <v>-0.26999999999998198</v>
          </cell>
          <cell r="H928">
            <v>33689</v>
          </cell>
          <cell r="I928">
            <v>33689</v>
          </cell>
          <cell r="J928">
            <v>0</v>
          </cell>
        </row>
        <row r="929">
          <cell r="A929" t="str">
            <v>6225285583</v>
          </cell>
          <cell r="B929">
            <v>62252</v>
          </cell>
          <cell r="C929">
            <v>85583</v>
          </cell>
          <cell r="D929" t="str">
            <v>Bldg Admin-Office Exp.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</row>
        <row r="930">
          <cell r="A930" t="str">
            <v>6225285530</v>
          </cell>
          <cell r="B930">
            <v>62252</v>
          </cell>
          <cell r="C930">
            <v>85530</v>
          </cell>
          <cell r="D930" t="str">
            <v>Bldg Admin - Office Exp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</row>
        <row r="931">
          <cell r="A931" t="str">
            <v>6225286012</v>
          </cell>
          <cell r="B931">
            <v>62252</v>
          </cell>
          <cell r="C931">
            <v>86012</v>
          </cell>
          <cell r="D931" t="str">
            <v>Regional Employee Parking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</row>
        <row r="932">
          <cell r="A932" t="str">
            <v>6225286037</v>
          </cell>
          <cell r="B932">
            <v>62252</v>
          </cell>
          <cell r="C932">
            <v>86037</v>
          </cell>
          <cell r="D932" t="str">
            <v>Travel &amp; Entertainment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</row>
        <row r="933">
          <cell r="A933" t="str">
            <v>6225283050</v>
          </cell>
          <cell r="B933">
            <v>62252</v>
          </cell>
          <cell r="C933">
            <v>83050</v>
          </cell>
          <cell r="D933" t="str">
            <v>Regional Employee Travel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</row>
        <row r="934">
          <cell r="A934" t="str">
            <v>6225286510</v>
          </cell>
          <cell r="B934">
            <v>62252</v>
          </cell>
          <cell r="C934">
            <v>86510</v>
          </cell>
          <cell r="D934" t="str">
            <v>Leasing Admin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</row>
        <row r="935">
          <cell r="A935" t="str">
            <v>6225286537</v>
          </cell>
          <cell r="B935">
            <v>62252</v>
          </cell>
          <cell r="C935">
            <v>86537</v>
          </cell>
          <cell r="D935" t="str">
            <v>Fees-Credit Reports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</row>
        <row r="936">
          <cell r="A936" t="str">
            <v>6225286566</v>
          </cell>
          <cell r="B936">
            <v>62252</v>
          </cell>
          <cell r="C936">
            <v>86566</v>
          </cell>
          <cell r="D936" t="str">
            <v>Insurance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</row>
        <row r="937">
          <cell r="A937" t="str">
            <v>6225286955</v>
          </cell>
          <cell r="B937">
            <v>62252</v>
          </cell>
          <cell r="C937">
            <v>86955</v>
          </cell>
          <cell r="D937" t="str">
            <v>Regional Temporary Labor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</row>
        <row r="938">
          <cell r="A938" t="str">
            <v>6225286985</v>
          </cell>
          <cell r="B938">
            <v>62252</v>
          </cell>
          <cell r="C938">
            <v>86985</v>
          </cell>
          <cell r="D938" t="str">
            <v>Purchased Svcs _ Other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</row>
        <row r="939">
          <cell r="A939" t="str">
            <v>6225286880</v>
          </cell>
          <cell r="B939">
            <v>62252</v>
          </cell>
          <cell r="C939">
            <v>86880</v>
          </cell>
          <cell r="D939" t="str">
            <v>Telephone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</row>
        <row r="940">
          <cell r="A940" t="str">
            <v>6225288710</v>
          </cell>
          <cell r="B940">
            <v>62252</v>
          </cell>
          <cell r="C940">
            <v>88710</v>
          </cell>
          <cell r="D940" t="str">
            <v>Losses-Bad Debts</v>
          </cell>
          <cell r="E940">
            <v>0</v>
          </cell>
          <cell r="F940">
            <v>0</v>
          </cell>
          <cell r="G940">
            <v>0</v>
          </cell>
          <cell r="H940">
            <v>35892</v>
          </cell>
          <cell r="I940">
            <v>35892</v>
          </cell>
          <cell r="J940">
            <v>0</v>
          </cell>
        </row>
        <row r="941">
          <cell r="A941" t="str">
            <v>6225288711</v>
          </cell>
          <cell r="B941">
            <v>62252</v>
          </cell>
          <cell r="C941">
            <v>88711</v>
          </cell>
          <cell r="D941" t="str">
            <v>Losses-Bad Debts- FASB 13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</row>
        <row r="942">
          <cell r="A942" t="str">
            <v>6225288785</v>
          </cell>
          <cell r="B942">
            <v>62252</v>
          </cell>
          <cell r="C942">
            <v>88785</v>
          </cell>
          <cell r="D942" t="str">
            <v>Losses-Uninsured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</row>
        <row r="943">
          <cell r="A943" t="str">
            <v>6225288847</v>
          </cell>
          <cell r="B943">
            <v>62252</v>
          </cell>
          <cell r="C943">
            <v>88847</v>
          </cell>
          <cell r="D943" t="str">
            <v>Expenses - Other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</row>
        <row r="944">
          <cell r="A944" t="str">
            <v>6225288866</v>
          </cell>
          <cell r="B944">
            <v>62252</v>
          </cell>
          <cell r="C944">
            <v>88866</v>
          </cell>
          <cell r="D944" t="str">
            <v>Legal Settlements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</row>
        <row r="945">
          <cell r="A945" t="str">
            <v>6225288870</v>
          </cell>
          <cell r="B945">
            <v>62252</v>
          </cell>
          <cell r="C945">
            <v>88870</v>
          </cell>
          <cell r="D945" t="str">
            <v>Backside Dist-O/S Partner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</row>
        <row r="946">
          <cell r="A946" t="str">
            <v>6225288889</v>
          </cell>
          <cell r="B946">
            <v>62252</v>
          </cell>
          <cell r="C946">
            <v>88889</v>
          </cell>
          <cell r="D946" t="str">
            <v>Security/Safety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</row>
        <row r="947">
          <cell r="A947" t="str">
            <v>6225289776</v>
          </cell>
          <cell r="B947">
            <v>62252</v>
          </cell>
          <cell r="C947">
            <v>89776</v>
          </cell>
          <cell r="D947" t="str">
            <v>Assmt Dist Taxes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</row>
        <row r="948">
          <cell r="A948" t="str">
            <v>6225289787</v>
          </cell>
          <cell r="B948">
            <v>62252</v>
          </cell>
          <cell r="C948">
            <v>89787</v>
          </cell>
          <cell r="D948" t="str">
            <v>Property Tax Exp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</row>
        <row r="949">
          <cell r="A949" t="str">
            <v>6225289510</v>
          </cell>
          <cell r="B949">
            <v>62252</v>
          </cell>
          <cell r="C949">
            <v>89510</v>
          </cell>
          <cell r="D949" t="str">
            <v>Interest Expense - General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</row>
        <row r="950">
          <cell r="A950" t="str">
            <v>6225289511</v>
          </cell>
          <cell r="B950">
            <v>62252</v>
          </cell>
          <cell r="C950">
            <v>89511</v>
          </cell>
          <cell r="D950" t="str">
            <v>Interest Expense - Swap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</row>
        <row r="951">
          <cell r="A951" t="str">
            <v>6225289512</v>
          </cell>
          <cell r="B951">
            <v>62252</v>
          </cell>
          <cell r="C951">
            <v>89512</v>
          </cell>
          <cell r="D951" t="str">
            <v>Interest Expense - Accrual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</row>
        <row r="952">
          <cell r="A952" t="str">
            <v>6225289528</v>
          </cell>
          <cell r="B952">
            <v>62252</v>
          </cell>
          <cell r="C952">
            <v>89528</v>
          </cell>
          <cell r="D952" t="str">
            <v>Interest Expense - Loan Fees-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</row>
        <row r="953">
          <cell r="A953" t="str">
            <v>6225289529</v>
          </cell>
          <cell r="B953">
            <v>62252</v>
          </cell>
          <cell r="C953">
            <v>89529</v>
          </cell>
          <cell r="D953" t="str">
            <v>Interest Expense - Loan Fee A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6225289567</v>
          </cell>
          <cell r="B954">
            <v>62252</v>
          </cell>
          <cell r="C954">
            <v>89567</v>
          </cell>
          <cell r="D954" t="str">
            <v>Interest Expense - TIC/Partne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6225285058</v>
          </cell>
          <cell r="B955">
            <v>62252</v>
          </cell>
          <cell r="C955">
            <v>85058</v>
          </cell>
          <cell r="D955" t="str">
            <v>Legal Fee Amort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6225286513</v>
          </cell>
          <cell r="B956">
            <v>62252</v>
          </cell>
          <cell r="C956">
            <v>86513</v>
          </cell>
          <cell r="D956" t="str">
            <v>Leasing Commission Amort</v>
          </cell>
          <cell r="E956">
            <v>0</v>
          </cell>
          <cell r="F956">
            <v>0</v>
          </cell>
          <cell r="G956">
            <v>0</v>
          </cell>
          <cell r="H956">
            <v>73.38</v>
          </cell>
          <cell r="I956">
            <v>73.38</v>
          </cell>
          <cell r="J956">
            <v>0</v>
          </cell>
        </row>
        <row r="957">
          <cell r="A957" t="str">
            <v>6225286519</v>
          </cell>
          <cell r="B957">
            <v>62252</v>
          </cell>
          <cell r="C957">
            <v>86519</v>
          </cell>
          <cell r="D957" t="str">
            <v>Fees-Appraisal Amort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6225288770</v>
          </cell>
          <cell r="B958">
            <v>62252</v>
          </cell>
          <cell r="C958">
            <v>88770</v>
          </cell>
          <cell r="D958" t="str">
            <v>Losses-Prop Abandon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6225288862</v>
          </cell>
          <cell r="B959">
            <v>62252</v>
          </cell>
          <cell r="C959">
            <v>88862</v>
          </cell>
          <cell r="D959" t="str">
            <v>Lease Buy-Out Amort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6225288874</v>
          </cell>
          <cell r="B960">
            <v>62252</v>
          </cell>
          <cell r="C960">
            <v>88874</v>
          </cell>
          <cell r="D960" t="str">
            <v>Organization Cost Amort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6225289910</v>
          </cell>
          <cell r="B961">
            <v>62252</v>
          </cell>
          <cell r="C961">
            <v>89910</v>
          </cell>
          <cell r="D961" t="str">
            <v>Depreciation</v>
          </cell>
          <cell r="E961">
            <v>0</v>
          </cell>
          <cell r="F961">
            <v>23883.52</v>
          </cell>
          <cell r="G961">
            <v>-23883.52</v>
          </cell>
          <cell r="H961">
            <v>262681.40999999997</v>
          </cell>
          <cell r="I961">
            <v>262681.40999999997</v>
          </cell>
          <cell r="J961">
            <v>0</v>
          </cell>
        </row>
        <row r="962">
          <cell r="A962" t="str">
            <v>6225289548</v>
          </cell>
          <cell r="B962">
            <v>62252</v>
          </cell>
          <cell r="C962">
            <v>89548</v>
          </cell>
          <cell r="D962" t="str">
            <v>Other Amortized Cost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</row>
        <row r="963">
          <cell r="A963" t="str">
            <v>6227041010</v>
          </cell>
          <cell r="B963">
            <v>62270</v>
          </cell>
          <cell r="C963">
            <v>41010</v>
          </cell>
          <cell r="D963" t="str">
            <v>Parking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</row>
        <row r="964">
          <cell r="A964" t="str">
            <v>6227041040</v>
          </cell>
          <cell r="B964">
            <v>62270</v>
          </cell>
          <cell r="C964">
            <v>41040</v>
          </cell>
          <cell r="D964" t="str">
            <v>Rental Income FAS 13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</row>
        <row r="965">
          <cell r="A965" t="str">
            <v>6227041050</v>
          </cell>
          <cell r="B965">
            <v>62270</v>
          </cell>
          <cell r="C965">
            <v>41050</v>
          </cell>
          <cell r="D965" t="str">
            <v>Rental Income - Fixed</v>
          </cell>
          <cell r="E965">
            <v>-415109.8</v>
          </cell>
          <cell r="F965">
            <v>-415421.8</v>
          </cell>
          <cell r="G965">
            <v>312</v>
          </cell>
          <cell r="H965">
            <v>-5103929.24</v>
          </cell>
          <cell r="I965">
            <v>-5103929.24</v>
          </cell>
          <cell r="J965">
            <v>0</v>
          </cell>
        </row>
        <row r="966">
          <cell r="A966" t="str">
            <v>6227041074</v>
          </cell>
          <cell r="B966">
            <v>62270</v>
          </cell>
          <cell r="C966">
            <v>41074</v>
          </cell>
          <cell r="D966" t="str">
            <v>Rental Income - Percentage</v>
          </cell>
          <cell r="E966">
            <v>0</v>
          </cell>
          <cell r="F966">
            <v>0</v>
          </cell>
          <cell r="G966">
            <v>0</v>
          </cell>
          <cell r="H966">
            <v>-13990</v>
          </cell>
          <cell r="I966">
            <v>-13990</v>
          </cell>
          <cell r="J966">
            <v>0</v>
          </cell>
        </row>
        <row r="967">
          <cell r="A967" t="str">
            <v>6227041082</v>
          </cell>
          <cell r="B967">
            <v>62270</v>
          </cell>
          <cell r="C967">
            <v>41082</v>
          </cell>
          <cell r="D967" t="str">
            <v>Rental Income - Operating Exp</v>
          </cell>
          <cell r="E967">
            <v>-103187.31</v>
          </cell>
          <cell r="F967">
            <v>-121162.1</v>
          </cell>
          <cell r="G967">
            <v>17974.79</v>
          </cell>
          <cell r="H967">
            <v>-1453945.2</v>
          </cell>
          <cell r="I967">
            <v>-1453945.2</v>
          </cell>
          <cell r="J967">
            <v>0</v>
          </cell>
        </row>
        <row r="968">
          <cell r="A968" t="str">
            <v>6227044610</v>
          </cell>
          <cell r="B968">
            <v>62270</v>
          </cell>
          <cell r="C968">
            <v>44610</v>
          </cell>
          <cell r="D968" t="str">
            <v>Marketing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</row>
        <row r="969">
          <cell r="A969" t="str">
            <v>6227045071</v>
          </cell>
          <cell r="B969">
            <v>62270</v>
          </cell>
          <cell r="C969">
            <v>45071</v>
          </cell>
          <cell r="D969" t="str">
            <v>Termination Fee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</row>
        <row r="970">
          <cell r="A970" t="str">
            <v>6227045010</v>
          </cell>
          <cell r="B970">
            <v>62270</v>
          </cell>
          <cell r="C970">
            <v>45010</v>
          </cell>
          <cell r="D970" t="str">
            <v>Bad Debt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</row>
        <row r="971">
          <cell r="A971" t="str">
            <v>6227045046</v>
          </cell>
          <cell r="B971">
            <v>62270</v>
          </cell>
          <cell r="C971">
            <v>45046</v>
          </cell>
          <cell r="D971" t="str">
            <v>Mgmt/Consult Fee Income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</row>
        <row r="972">
          <cell r="A972" t="str">
            <v>6227045070</v>
          </cell>
          <cell r="B972">
            <v>62270</v>
          </cell>
          <cell r="C972">
            <v>45070</v>
          </cell>
          <cell r="D972" t="str">
            <v>Other Income</v>
          </cell>
          <cell r="E972">
            <v>-4000</v>
          </cell>
          <cell r="F972">
            <v>0</v>
          </cell>
          <cell r="G972">
            <v>-4000</v>
          </cell>
          <cell r="H972">
            <v>0</v>
          </cell>
          <cell r="I972">
            <v>0</v>
          </cell>
          <cell r="J972">
            <v>0</v>
          </cell>
        </row>
        <row r="973">
          <cell r="A973" t="str">
            <v>6227041060</v>
          </cell>
          <cell r="B973">
            <v>62270</v>
          </cell>
          <cell r="C973">
            <v>41060</v>
          </cell>
          <cell r="D973" t="str">
            <v>Rental Income - Vacancy</v>
          </cell>
          <cell r="E973">
            <v>0</v>
          </cell>
          <cell r="F973">
            <v>5476.58</v>
          </cell>
          <cell r="G973">
            <v>-5476.58</v>
          </cell>
          <cell r="H973">
            <v>65719</v>
          </cell>
          <cell r="I973">
            <v>65719</v>
          </cell>
          <cell r="J973">
            <v>0</v>
          </cell>
        </row>
        <row r="974">
          <cell r="A974" t="str">
            <v>6227044870</v>
          </cell>
          <cell r="B974">
            <v>62270</v>
          </cell>
          <cell r="C974">
            <v>44870</v>
          </cell>
          <cell r="D974" t="str">
            <v>Late Fees</v>
          </cell>
          <cell r="E974">
            <v>0</v>
          </cell>
          <cell r="F974">
            <v>0</v>
          </cell>
          <cell r="G974">
            <v>0</v>
          </cell>
          <cell r="H974">
            <v>-1030</v>
          </cell>
          <cell r="I974">
            <v>-1030</v>
          </cell>
          <cell r="J974">
            <v>0</v>
          </cell>
        </row>
        <row r="975">
          <cell r="A975" t="str">
            <v>6227052542</v>
          </cell>
          <cell r="B975">
            <v>62270</v>
          </cell>
          <cell r="C975">
            <v>52542</v>
          </cell>
          <cell r="D975" t="str">
            <v>Cost of Tenant Services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</row>
        <row r="976">
          <cell r="A976" t="str">
            <v>6227072710</v>
          </cell>
          <cell r="B976">
            <v>62270</v>
          </cell>
          <cell r="C976">
            <v>72710</v>
          </cell>
          <cell r="D976" t="str">
            <v>Utilities - Electricity</v>
          </cell>
          <cell r="E976">
            <v>3569.86</v>
          </cell>
          <cell r="F976">
            <v>3876.84</v>
          </cell>
          <cell r="G976">
            <v>-306.98</v>
          </cell>
          <cell r="H976">
            <v>56077.34</v>
          </cell>
          <cell r="I976">
            <v>56077.34</v>
          </cell>
          <cell r="J976">
            <v>0</v>
          </cell>
        </row>
        <row r="977">
          <cell r="A977" t="str">
            <v>6227072740</v>
          </cell>
          <cell r="B977">
            <v>62270</v>
          </cell>
          <cell r="C977">
            <v>72740</v>
          </cell>
          <cell r="D977" t="str">
            <v>Utilities - Gas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</row>
        <row r="978">
          <cell r="A978" t="str">
            <v>6227072770</v>
          </cell>
          <cell r="B978">
            <v>62270</v>
          </cell>
          <cell r="C978">
            <v>72770</v>
          </cell>
          <cell r="D978" t="str">
            <v>Utilities - Water</v>
          </cell>
          <cell r="E978">
            <v>1977.09</v>
          </cell>
          <cell r="F978">
            <v>1560</v>
          </cell>
          <cell r="G978">
            <v>417.09</v>
          </cell>
          <cell r="H978">
            <v>19157.189999999999</v>
          </cell>
          <cell r="I978">
            <v>19157.189999999999</v>
          </cell>
          <cell r="J978">
            <v>0</v>
          </cell>
        </row>
        <row r="979">
          <cell r="A979" t="str">
            <v>6227076000</v>
          </cell>
          <cell r="B979">
            <v>62270</v>
          </cell>
          <cell r="C979">
            <v>76000</v>
          </cell>
          <cell r="D979" t="str">
            <v>Bldg Maintenance &amp; Repair</v>
          </cell>
          <cell r="E979">
            <v>1437.85</v>
          </cell>
          <cell r="F979">
            <v>1471.87</v>
          </cell>
          <cell r="G979">
            <v>-34.020000000000003</v>
          </cell>
          <cell r="H979">
            <v>63292.58</v>
          </cell>
          <cell r="I979">
            <v>63292.58</v>
          </cell>
          <cell r="J979">
            <v>0</v>
          </cell>
        </row>
        <row r="980">
          <cell r="A980" t="str">
            <v>6227076020</v>
          </cell>
          <cell r="B980">
            <v>62270</v>
          </cell>
          <cell r="C980">
            <v>76020</v>
          </cell>
          <cell r="D980" t="str">
            <v>Food Court Expense</v>
          </cell>
          <cell r="E980">
            <v>850</v>
          </cell>
          <cell r="F980">
            <v>875.5</v>
          </cell>
          <cell r="G980">
            <v>-25.5</v>
          </cell>
          <cell r="H980">
            <v>10712</v>
          </cell>
          <cell r="I980">
            <v>10712</v>
          </cell>
          <cell r="J980">
            <v>0</v>
          </cell>
        </row>
        <row r="981">
          <cell r="A981" t="str">
            <v>6227076034</v>
          </cell>
          <cell r="B981">
            <v>62270</v>
          </cell>
          <cell r="C981">
            <v>76034</v>
          </cell>
          <cell r="D981" t="str">
            <v>Bldg. - General Repair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</row>
        <row r="982">
          <cell r="A982" t="str">
            <v>6227076050</v>
          </cell>
          <cell r="B982">
            <v>62270</v>
          </cell>
          <cell r="C982">
            <v>76050</v>
          </cell>
          <cell r="D982" t="str">
            <v>Cleaning Expense</v>
          </cell>
          <cell r="E982">
            <v>7695.38</v>
          </cell>
          <cell r="F982">
            <v>6317.16</v>
          </cell>
          <cell r="G982">
            <v>1378.22</v>
          </cell>
          <cell r="H982">
            <v>77274.210000000006</v>
          </cell>
          <cell r="I982">
            <v>77274.210000000006</v>
          </cell>
          <cell r="J982">
            <v>0</v>
          </cell>
        </row>
        <row r="983">
          <cell r="A983" t="str">
            <v>6227076056</v>
          </cell>
          <cell r="B983">
            <v>62270</v>
          </cell>
          <cell r="C983">
            <v>76056</v>
          </cell>
          <cell r="D983" t="str">
            <v>Maintenance - Reimb Reimaging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</row>
        <row r="984">
          <cell r="A984" t="str">
            <v>6227076070</v>
          </cell>
          <cell r="B984">
            <v>62270</v>
          </cell>
          <cell r="C984">
            <v>76070</v>
          </cell>
          <cell r="D984" t="str">
            <v>Reimaging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</row>
        <row r="985">
          <cell r="A985" t="str">
            <v>6227076091</v>
          </cell>
          <cell r="B985">
            <v>62270</v>
          </cell>
          <cell r="C985">
            <v>76091</v>
          </cell>
          <cell r="D985" t="str">
            <v>Parking Maintenance</v>
          </cell>
          <cell r="E985">
            <v>3892.24</v>
          </cell>
          <cell r="F985">
            <v>3656.5</v>
          </cell>
          <cell r="G985">
            <v>235.74</v>
          </cell>
          <cell r="H985">
            <v>59121.55</v>
          </cell>
          <cell r="I985">
            <v>59121.55</v>
          </cell>
          <cell r="J985">
            <v>0</v>
          </cell>
        </row>
        <row r="986">
          <cell r="A986" t="str">
            <v>6227077000</v>
          </cell>
          <cell r="B986">
            <v>62270</v>
          </cell>
          <cell r="C986">
            <v>77000</v>
          </cell>
          <cell r="D986" t="str">
            <v>Grounds Maintenance</v>
          </cell>
          <cell r="E986">
            <v>963.84</v>
          </cell>
          <cell r="F986">
            <v>4818.2700000000004</v>
          </cell>
          <cell r="G986">
            <v>-3854.43</v>
          </cell>
          <cell r="H986">
            <v>74511.91</v>
          </cell>
          <cell r="I986">
            <v>74511.91</v>
          </cell>
          <cell r="J986">
            <v>0</v>
          </cell>
        </row>
        <row r="987">
          <cell r="A987" t="str">
            <v>6227077053</v>
          </cell>
          <cell r="B987">
            <v>62270</v>
          </cell>
          <cell r="C987">
            <v>77053</v>
          </cell>
          <cell r="D987" t="str">
            <v>Landscaping</v>
          </cell>
          <cell r="E987">
            <v>4755</v>
          </cell>
          <cell r="F987">
            <v>4813.5600000000004</v>
          </cell>
          <cell r="G987">
            <v>-58.5600000000004</v>
          </cell>
          <cell r="H987">
            <v>125364.17</v>
          </cell>
          <cell r="I987">
            <v>125364.17</v>
          </cell>
          <cell r="J987">
            <v>0</v>
          </cell>
        </row>
        <row r="988">
          <cell r="A988" t="str">
            <v>6227078020</v>
          </cell>
          <cell r="B988">
            <v>62270</v>
          </cell>
          <cell r="C988">
            <v>78020</v>
          </cell>
          <cell r="D988" t="str">
            <v>Amortized CAM Exp</v>
          </cell>
          <cell r="E988">
            <v>6754.2</v>
          </cell>
          <cell r="F988">
            <v>6754.17</v>
          </cell>
          <cell r="G988">
            <v>2.99999999997453E-2</v>
          </cell>
          <cell r="H988">
            <v>88050</v>
          </cell>
          <cell r="I988">
            <v>88050</v>
          </cell>
          <cell r="J988">
            <v>0</v>
          </cell>
        </row>
        <row r="989">
          <cell r="A989" t="str">
            <v>6227084264</v>
          </cell>
          <cell r="B989">
            <v>62270</v>
          </cell>
          <cell r="C989">
            <v>84264</v>
          </cell>
          <cell r="D989" t="str">
            <v>Mktg-Tenant Relations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</row>
        <row r="990">
          <cell r="A990" t="str">
            <v>6227085555</v>
          </cell>
          <cell r="B990">
            <v>62270</v>
          </cell>
          <cell r="C990">
            <v>85555</v>
          </cell>
          <cell r="D990" t="str">
            <v>Management Fee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</row>
        <row r="991">
          <cell r="A991" t="str">
            <v>6227085584</v>
          </cell>
          <cell r="B991">
            <v>62270</v>
          </cell>
          <cell r="C991">
            <v>85584</v>
          </cell>
          <cell r="D991" t="str">
            <v>Bldg Admin-Office Costs</v>
          </cell>
          <cell r="E991">
            <v>1679.66</v>
          </cell>
          <cell r="F991">
            <v>2603.5</v>
          </cell>
          <cell r="G991">
            <v>-923.84</v>
          </cell>
          <cell r="H991">
            <v>31242</v>
          </cell>
          <cell r="I991">
            <v>31242</v>
          </cell>
          <cell r="J991">
            <v>0</v>
          </cell>
        </row>
        <row r="992">
          <cell r="A992" t="str">
            <v>6227085582</v>
          </cell>
          <cell r="B992">
            <v>62270</v>
          </cell>
          <cell r="C992">
            <v>85582</v>
          </cell>
          <cell r="D992" t="str">
            <v>Bldg Admin-Salaries</v>
          </cell>
          <cell r="E992">
            <v>13110.13</v>
          </cell>
          <cell r="F992">
            <v>13110.42</v>
          </cell>
          <cell r="G992">
            <v>-0.290000000000873</v>
          </cell>
          <cell r="H992">
            <v>167507.20000000001</v>
          </cell>
          <cell r="I992">
            <v>167507.20000000001</v>
          </cell>
          <cell r="J992">
            <v>0</v>
          </cell>
        </row>
        <row r="993">
          <cell r="A993" t="str">
            <v>6227086564</v>
          </cell>
          <cell r="B993">
            <v>62270</v>
          </cell>
          <cell r="C993">
            <v>86564</v>
          </cell>
          <cell r="D993" t="str">
            <v>Insurance</v>
          </cell>
          <cell r="E993">
            <v>7742</v>
          </cell>
          <cell r="F993">
            <v>7742.42</v>
          </cell>
          <cell r="G993">
            <v>-0.42000000000007298</v>
          </cell>
          <cell r="H993">
            <v>92909</v>
          </cell>
          <cell r="I993">
            <v>92909</v>
          </cell>
          <cell r="J993">
            <v>0</v>
          </cell>
        </row>
        <row r="994">
          <cell r="A994" t="str">
            <v>6227088846</v>
          </cell>
          <cell r="B994">
            <v>62270</v>
          </cell>
          <cell r="C994">
            <v>88846</v>
          </cell>
          <cell r="D994" t="str">
            <v>Expenses -Other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</row>
        <row r="995">
          <cell r="A995" t="str">
            <v>6227088890</v>
          </cell>
          <cell r="B995">
            <v>62270</v>
          </cell>
          <cell r="C995">
            <v>88890</v>
          </cell>
          <cell r="D995" t="str">
            <v>Security/Safety</v>
          </cell>
          <cell r="E995">
            <v>3649.14</v>
          </cell>
          <cell r="F995">
            <v>3019.59</v>
          </cell>
          <cell r="G995">
            <v>629.54999999999995</v>
          </cell>
          <cell r="H995">
            <v>36486.82</v>
          </cell>
          <cell r="I995">
            <v>36486.82</v>
          </cell>
          <cell r="J995">
            <v>0</v>
          </cell>
        </row>
        <row r="996">
          <cell r="A996" t="str">
            <v>6227089775</v>
          </cell>
          <cell r="B996">
            <v>62270</v>
          </cell>
          <cell r="C996">
            <v>89775</v>
          </cell>
          <cell r="D996" t="str">
            <v>Assmt Dist Taxes- Reimb</v>
          </cell>
          <cell r="E996">
            <v>13780.5</v>
          </cell>
          <cell r="F996">
            <v>13780.5</v>
          </cell>
          <cell r="G996">
            <v>0</v>
          </cell>
          <cell r="H996">
            <v>165366</v>
          </cell>
          <cell r="I996">
            <v>165366</v>
          </cell>
          <cell r="J996">
            <v>0</v>
          </cell>
        </row>
        <row r="997">
          <cell r="A997" t="str">
            <v>6227089729</v>
          </cell>
          <cell r="B997">
            <v>62270</v>
          </cell>
          <cell r="C997">
            <v>89729</v>
          </cell>
          <cell r="D997" t="str">
            <v>Taxes - Miscellaneous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</row>
        <row r="998">
          <cell r="A998" t="str">
            <v>6227089786</v>
          </cell>
          <cell r="B998">
            <v>62270</v>
          </cell>
          <cell r="C998">
            <v>89786</v>
          </cell>
          <cell r="D998" t="str">
            <v>Property Tax Exp</v>
          </cell>
          <cell r="E998">
            <v>29631.25</v>
          </cell>
          <cell r="F998">
            <v>29631.25</v>
          </cell>
          <cell r="G998">
            <v>0</v>
          </cell>
          <cell r="H998">
            <v>355575</v>
          </cell>
          <cell r="I998">
            <v>355575</v>
          </cell>
          <cell r="J998">
            <v>0</v>
          </cell>
        </row>
        <row r="999">
          <cell r="A999" t="str">
            <v>6227071040</v>
          </cell>
          <cell r="B999">
            <v>62270</v>
          </cell>
          <cell r="C999">
            <v>71040</v>
          </cell>
          <cell r="D999" t="str">
            <v>Office Supplies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</row>
        <row r="1000">
          <cell r="A1000" t="str">
            <v>6227072701</v>
          </cell>
          <cell r="B1000">
            <v>62270</v>
          </cell>
          <cell r="C1000">
            <v>72701</v>
          </cell>
          <cell r="D1000" t="str">
            <v>Utilities</v>
          </cell>
          <cell r="E1000">
            <v>0</v>
          </cell>
          <cell r="F1000">
            <v>0</v>
          </cell>
          <cell r="G1000">
            <v>0</v>
          </cell>
          <cell r="H1000">
            <v>206</v>
          </cell>
          <cell r="I1000">
            <v>206</v>
          </cell>
          <cell r="J1000">
            <v>0</v>
          </cell>
        </row>
        <row r="1001">
          <cell r="A1001" t="str">
            <v>6227072855</v>
          </cell>
          <cell r="B1001">
            <v>62270</v>
          </cell>
          <cell r="C1001">
            <v>72855</v>
          </cell>
          <cell r="D1001" t="str">
            <v>Rent Expense-Ground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</row>
        <row r="1002">
          <cell r="A1002" t="str">
            <v>6227072870</v>
          </cell>
          <cell r="B1002">
            <v>62270</v>
          </cell>
          <cell r="C1002">
            <v>72870</v>
          </cell>
          <cell r="D1002" t="str">
            <v>Office Rent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</row>
        <row r="1003">
          <cell r="A1003" t="str">
            <v>6227076010</v>
          </cell>
          <cell r="B1003">
            <v>62270</v>
          </cell>
          <cell r="C1003">
            <v>76010</v>
          </cell>
          <cell r="D1003" t="str">
            <v>Tenant Alterations</v>
          </cell>
          <cell r="E1003">
            <v>0</v>
          </cell>
          <cell r="F1003">
            <v>0</v>
          </cell>
          <cell r="G1003">
            <v>0</v>
          </cell>
          <cell r="H1003">
            <v>354.4</v>
          </cell>
          <cell r="I1003">
            <v>354.4</v>
          </cell>
          <cell r="J1003">
            <v>0</v>
          </cell>
        </row>
        <row r="1004">
          <cell r="A1004" t="str">
            <v>6227076040</v>
          </cell>
          <cell r="B1004">
            <v>62270</v>
          </cell>
          <cell r="C1004">
            <v>76040</v>
          </cell>
          <cell r="D1004" t="str">
            <v>HVAC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</row>
        <row r="1005">
          <cell r="A1005" t="str">
            <v>6227076051</v>
          </cell>
          <cell r="B1005">
            <v>62270</v>
          </cell>
          <cell r="C1005">
            <v>76051</v>
          </cell>
          <cell r="D1005" t="str">
            <v>Cleaning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</row>
        <row r="1006">
          <cell r="A1006" t="str">
            <v>6227076054</v>
          </cell>
          <cell r="B1006">
            <v>62270</v>
          </cell>
          <cell r="C1006">
            <v>76054</v>
          </cell>
          <cell r="D1006" t="str">
            <v>Bldg Maintenance &amp; Repair</v>
          </cell>
          <cell r="E1006">
            <v>0</v>
          </cell>
          <cell r="F1006">
            <v>5000</v>
          </cell>
          <cell r="G1006">
            <v>-5000</v>
          </cell>
          <cell r="H1006">
            <v>11372.73</v>
          </cell>
          <cell r="I1006">
            <v>11372.73</v>
          </cell>
          <cell r="J1006">
            <v>0</v>
          </cell>
        </row>
        <row r="1007">
          <cell r="A1007" t="str">
            <v>6227076060</v>
          </cell>
          <cell r="B1007">
            <v>62270</v>
          </cell>
          <cell r="C1007">
            <v>76060</v>
          </cell>
          <cell r="D1007" t="str">
            <v>Asbestos Abatement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</row>
        <row r="1008">
          <cell r="A1008" t="str">
            <v>6227076071</v>
          </cell>
          <cell r="B1008">
            <v>62270</v>
          </cell>
          <cell r="C1008">
            <v>76071</v>
          </cell>
          <cell r="D1008" t="str">
            <v>Reimaging Maintenance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</row>
        <row r="1009">
          <cell r="A1009" t="str">
            <v>6227076090</v>
          </cell>
          <cell r="B1009">
            <v>62270</v>
          </cell>
          <cell r="C1009">
            <v>76090</v>
          </cell>
          <cell r="D1009" t="str">
            <v>Parking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</row>
        <row r="1010">
          <cell r="A1010" t="str">
            <v>6227077001</v>
          </cell>
          <cell r="B1010">
            <v>62270</v>
          </cell>
          <cell r="C1010">
            <v>77001</v>
          </cell>
          <cell r="D1010" t="str">
            <v>Grounds Maintenance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</row>
        <row r="1011">
          <cell r="A1011" t="str">
            <v>6227077022</v>
          </cell>
          <cell r="B1011">
            <v>62270</v>
          </cell>
          <cell r="C1011">
            <v>77022</v>
          </cell>
          <cell r="D1011" t="str">
            <v>Landscaping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</row>
        <row r="1012">
          <cell r="A1012" t="str">
            <v>6227084200</v>
          </cell>
          <cell r="B1012">
            <v>62270</v>
          </cell>
          <cell r="C1012">
            <v>84200</v>
          </cell>
          <cell r="D1012" t="str">
            <v>Marketing-Other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</row>
        <row r="1013">
          <cell r="A1013" t="str">
            <v>6227084240</v>
          </cell>
          <cell r="B1013">
            <v>62270</v>
          </cell>
          <cell r="C1013">
            <v>84240</v>
          </cell>
          <cell r="D1013" t="str">
            <v>Marketing Leasing</v>
          </cell>
          <cell r="E1013">
            <v>50.66</v>
          </cell>
          <cell r="F1013">
            <v>621.08000000000004</v>
          </cell>
          <cell r="G1013">
            <v>-570.41999999999996</v>
          </cell>
          <cell r="H1013">
            <v>7453</v>
          </cell>
          <cell r="I1013">
            <v>7453</v>
          </cell>
          <cell r="J1013">
            <v>0</v>
          </cell>
        </row>
        <row r="1014">
          <cell r="A1014" t="str">
            <v>6227084242</v>
          </cell>
          <cell r="B1014">
            <v>62270</v>
          </cell>
          <cell r="C1014">
            <v>84242</v>
          </cell>
          <cell r="D1014" t="str">
            <v>Marketing-Subsidy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</row>
        <row r="1015">
          <cell r="A1015" t="str">
            <v>6227084243</v>
          </cell>
          <cell r="B1015">
            <v>62270</v>
          </cell>
          <cell r="C1015">
            <v>84243</v>
          </cell>
          <cell r="D1015" t="str">
            <v>Marketing Coordination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</row>
        <row r="1016">
          <cell r="A1016" t="str">
            <v>6227084244</v>
          </cell>
          <cell r="B1016">
            <v>62270</v>
          </cell>
          <cell r="C1016">
            <v>84244</v>
          </cell>
          <cell r="D1016" t="str">
            <v>Marketing-Net Required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</row>
        <row r="1017">
          <cell r="A1017" t="str">
            <v>6227084265</v>
          </cell>
          <cell r="B1017">
            <v>62270</v>
          </cell>
          <cell r="C1017">
            <v>84265</v>
          </cell>
          <cell r="D1017" t="str">
            <v>Marketing -TR-Non-Reimb.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</row>
        <row r="1018">
          <cell r="A1018" t="str">
            <v>6227088037</v>
          </cell>
          <cell r="B1018">
            <v>62270</v>
          </cell>
          <cell r="C1018">
            <v>88037</v>
          </cell>
          <cell r="D1018" t="str">
            <v>Marketing - Leasing Office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</row>
        <row r="1019">
          <cell r="A1019" t="str">
            <v>6227085016</v>
          </cell>
          <cell r="B1019">
            <v>62270</v>
          </cell>
          <cell r="C1019">
            <v>85016</v>
          </cell>
          <cell r="D1019" t="str">
            <v>Prof Svc-Attorney Outside</v>
          </cell>
          <cell r="E1019">
            <v>899.49</v>
          </cell>
          <cell r="F1019">
            <v>0</v>
          </cell>
          <cell r="G1019">
            <v>899.49</v>
          </cell>
          <cell r="H1019">
            <v>4412</v>
          </cell>
          <cell r="I1019">
            <v>4412</v>
          </cell>
          <cell r="J1019">
            <v>0</v>
          </cell>
        </row>
        <row r="1020">
          <cell r="A1020" t="str">
            <v>6227085022</v>
          </cell>
          <cell r="B1020">
            <v>62270</v>
          </cell>
          <cell r="C1020">
            <v>85022</v>
          </cell>
          <cell r="D1020" t="str">
            <v>Prof Svc-Audit/Acctng</v>
          </cell>
          <cell r="E1020">
            <v>0</v>
          </cell>
          <cell r="F1020">
            <v>0</v>
          </cell>
          <cell r="G1020">
            <v>0</v>
          </cell>
          <cell r="H1020">
            <v>5760.12</v>
          </cell>
          <cell r="I1020">
            <v>5760.12</v>
          </cell>
          <cell r="J1020">
            <v>0</v>
          </cell>
        </row>
        <row r="1021">
          <cell r="A1021" t="str">
            <v>6227085065</v>
          </cell>
          <cell r="B1021">
            <v>62270</v>
          </cell>
          <cell r="C1021">
            <v>85065</v>
          </cell>
          <cell r="D1021" t="str">
            <v>Professional Services Other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</row>
        <row r="1022">
          <cell r="A1022" t="str">
            <v>6227085500</v>
          </cell>
          <cell r="B1022">
            <v>62270</v>
          </cell>
          <cell r="C1022">
            <v>85500</v>
          </cell>
          <cell r="D1022" t="str">
            <v>Consulting Services</v>
          </cell>
          <cell r="E1022">
            <v>0</v>
          </cell>
          <cell r="F1022">
            <v>6136.13</v>
          </cell>
          <cell r="G1022">
            <v>-6136.13</v>
          </cell>
          <cell r="H1022">
            <v>6596.05</v>
          </cell>
          <cell r="I1022">
            <v>6596.05</v>
          </cell>
          <cell r="J1022">
            <v>0</v>
          </cell>
        </row>
        <row r="1023">
          <cell r="A1023" t="str">
            <v>6227085566</v>
          </cell>
          <cell r="B1023">
            <v>62270</v>
          </cell>
          <cell r="C1023">
            <v>85566</v>
          </cell>
          <cell r="D1023" t="str">
            <v>Management Fee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</row>
        <row r="1024">
          <cell r="A1024" t="str">
            <v>6227085581</v>
          </cell>
          <cell r="B1024">
            <v>62270</v>
          </cell>
          <cell r="C1024">
            <v>85581</v>
          </cell>
          <cell r="D1024" t="str">
            <v>Bldg Admin- Salaries</v>
          </cell>
          <cell r="E1024">
            <v>10620.54</v>
          </cell>
          <cell r="F1024">
            <v>10620.42</v>
          </cell>
          <cell r="G1024">
            <v>0.12000000000079999</v>
          </cell>
          <cell r="H1024">
            <v>134068.20000000001</v>
          </cell>
          <cell r="I1024">
            <v>134068.20000000001</v>
          </cell>
          <cell r="J1024">
            <v>0</v>
          </cell>
        </row>
        <row r="1025">
          <cell r="A1025" t="str">
            <v>6227085583</v>
          </cell>
          <cell r="B1025">
            <v>62270</v>
          </cell>
          <cell r="C1025">
            <v>85583</v>
          </cell>
          <cell r="D1025" t="str">
            <v>Bldg Admin-Office Exp.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</row>
        <row r="1026">
          <cell r="A1026" t="str">
            <v>6227085530</v>
          </cell>
          <cell r="B1026">
            <v>62270</v>
          </cell>
          <cell r="C1026">
            <v>85530</v>
          </cell>
          <cell r="D1026" t="str">
            <v>Bldg Admin - Office Exp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</row>
        <row r="1027">
          <cell r="A1027" t="str">
            <v>6227086012</v>
          </cell>
          <cell r="B1027">
            <v>62270</v>
          </cell>
          <cell r="C1027">
            <v>86012</v>
          </cell>
          <cell r="D1027" t="str">
            <v>Regional Employee Parking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</row>
        <row r="1028">
          <cell r="A1028" t="str">
            <v>6227086037</v>
          </cell>
          <cell r="B1028">
            <v>62270</v>
          </cell>
          <cell r="C1028">
            <v>86037</v>
          </cell>
          <cell r="D1028" t="str">
            <v>Travel &amp; Entertainment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</row>
        <row r="1029">
          <cell r="A1029" t="str">
            <v>6227083050</v>
          </cell>
          <cell r="B1029">
            <v>62270</v>
          </cell>
          <cell r="C1029">
            <v>83050</v>
          </cell>
          <cell r="D1029" t="str">
            <v>Regional Employee Travel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</row>
        <row r="1030">
          <cell r="A1030" t="str">
            <v>6227086510</v>
          </cell>
          <cell r="B1030">
            <v>62270</v>
          </cell>
          <cell r="C1030">
            <v>86510</v>
          </cell>
          <cell r="D1030" t="str">
            <v>Leasing Admin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</row>
        <row r="1031">
          <cell r="A1031" t="str">
            <v>6227086537</v>
          </cell>
          <cell r="B1031">
            <v>62270</v>
          </cell>
          <cell r="C1031">
            <v>86537</v>
          </cell>
          <cell r="D1031" t="str">
            <v>Fees-Credit Reports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</row>
        <row r="1032">
          <cell r="A1032" t="str">
            <v>6227086566</v>
          </cell>
          <cell r="B1032">
            <v>62270</v>
          </cell>
          <cell r="C1032">
            <v>86566</v>
          </cell>
          <cell r="D1032" t="str">
            <v>Insurance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</row>
        <row r="1033">
          <cell r="A1033" t="str">
            <v>6227086955</v>
          </cell>
          <cell r="B1033">
            <v>62270</v>
          </cell>
          <cell r="C1033">
            <v>86955</v>
          </cell>
          <cell r="D1033" t="str">
            <v>Regional Temporary Labor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</row>
        <row r="1034">
          <cell r="A1034" t="str">
            <v>6227086985</v>
          </cell>
          <cell r="B1034">
            <v>62270</v>
          </cell>
          <cell r="C1034">
            <v>86985</v>
          </cell>
          <cell r="D1034" t="str">
            <v>Purchased Svcs _ Other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</row>
        <row r="1035">
          <cell r="A1035" t="str">
            <v>6227086880</v>
          </cell>
          <cell r="B1035">
            <v>62270</v>
          </cell>
          <cell r="C1035">
            <v>86880</v>
          </cell>
          <cell r="D1035" t="str">
            <v>Telephone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</row>
        <row r="1036">
          <cell r="A1036" t="str">
            <v>6227088710</v>
          </cell>
          <cell r="B1036">
            <v>62270</v>
          </cell>
          <cell r="C1036">
            <v>88710</v>
          </cell>
          <cell r="D1036" t="str">
            <v>Losses-Bad Debts</v>
          </cell>
          <cell r="E1036">
            <v>0</v>
          </cell>
          <cell r="F1036">
            <v>0.08</v>
          </cell>
          <cell r="G1036">
            <v>-0.08</v>
          </cell>
          <cell r="H1036">
            <v>65728.639999999999</v>
          </cell>
          <cell r="I1036">
            <v>65728.639999999999</v>
          </cell>
          <cell r="J1036">
            <v>0</v>
          </cell>
        </row>
        <row r="1037">
          <cell r="A1037" t="str">
            <v>6227088711</v>
          </cell>
          <cell r="B1037">
            <v>62270</v>
          </cell>
          <cell r="C1037">
            <v>88711</v>
          </cell>
          <cell r="D1037" t="str">
            <v>Losses-Bad Debts- FASB 13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</row>
        <row r="1038">
          <cell r="A1038" t="str">
            <v>6227088785</v>
          </cell>
          <cell r="B1038">
            <v>62270</v>
          </cell>
          <cell r="C1038">
            <v>88785</v>
          </cell>
          <cell r="D1038" t="str">
            <v>Losses-Uninsured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</row>
        <row r="1039">
          <cell r="A1039" t="str">
            <v>6227088847</v>
          </cell>
          <cell r="B1039">
            <v>62270</v>
          </cell>
          <cell r="C1039">
            <v>88847</v>
          </cell>
          <cell r="D1039" t="str">
            <v>Expenses - Other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</row>
        <row r="1040">
          <cell r="A1040" t="str">
            <v>6227088866</v>
          </cell>
          <cell r="B1040">
            <v>62270</v>
          </cell>
          <cell r="C1040">
            <v>88866</v>
          </cell>
          <cell r="D1040" t="str">
            <v>Legal Settlements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</row>
        <row r="1041">
          <cell r="A1041" t="str">
            <v>6227088870</v>
          </cell>
          <cell r="B1041">
            <v>62270</v>
          </cell>
          <cell r="C1041">
            <v>88870</v>
          </cell>
          <cell r="D1041" t="str">
            <v>Backside Dist-O/S Partner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</row>
        <row r="1042">
          <cell r="A1042" t="str">
            <v>6227088889</v>
          </cell>
          <cell r="B1042">
            <v>62270</v>
          </cell>
          <cell r="C1042">
            <v>88889</v>
          </cell>
          <cell r="D1042" t="str">
            <v>Security/Safety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</row>
        <row r="1043">
          <cell r="A1043" t="str">
            <v>6227089776</v>
          </cell>
          <cell r="B1043">
            <v>62270</v>
          </cell>
          <cell r="C1043">
            <v>89776</v>
          </cell>
          <cell r="D1043" t="str">
            <v>Assmt Dist Taxes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</row>
        <row r="1044">
          <cell r="A1044" t="str">
            <v>6227089787</v>
          </cell>
          <cell r="B1044">
            <v>62270</v>
          </cell>
          <cell r="C1044">
            <v>89787</v>
          </cell>
          <cell r="D1044" t="str">
            <v>Property Tax Exp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</row>
        <row r="1045">
          <cell r="A1045" t="str">
            <v>6227089510</v>
          </cell>
          <cell r="B1045">
            <v>62270</v>
          </cell>
          <cell r="C1045">
            <v>89510</v>
          </cell>
          <cell r="D1045" t="str">
            <v>Interest Expense - General</v>
          </cell>
          <cell r="E1045">
            <v>0</v>
          </cell>
          <cell r="F1045">
            <v>99257</v>
          </cell>
          <cell r="G1045">
            <v>-99257</v>
          </cell>
          <cell r="H1045">
            <v>1146735</v>
          </cell>
          <cell r="I1045">
            <v>1146735</v>
          </cell>
          <cell r="J1045">
            <v>0</v>
          </cell>
        </row>
        <row r="1046">
          <cell r="A1046" t="str">
            <v>6227089511</v>
          </cell>
          <cell r="B1046">
            <v>62270</v>
          </cell>
          <cell r="C1046">
            <v>89511</v>
          </cell>
          <cell r="D1046" t="str">
            <v>Interest Expense - Swap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</row>
        <row r="1047">
          <cell r="A1047" t="str">
            <v>6227089512</v>
          </cell>
          <cell r="B1047">
            <v>62270</v>
          </cell>
          <cell r="C1047">
            <v>89512</v>
          </cell>
          <cell r="D1047" t="str">
            <v>Interest Expense - Accrual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</row>
        <row r="1048">
          <cell r="A1048" t="str">
            <v>6227089528</v>
          </cell>
          <cell r="B1048">
            <v>62270</v>
          </cell>
          <cell r="C1048">
            <v>89528</v>
          </cell>
          <cell r="D1048" t="str">
            <v>Interest Expense - Loan Fees-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</row>
        <row r="1049">
          <cell r="A1049" t="str">
            <v>6227089529</v>
          </cell>
          <cell r="B1049">
            <v>62270</v>
          </cell>
          <cell r="C1049">
            <v>89529</v>
          </cell>
          <cell r="D1049" t="str">
            <v>Interest Expense - Loan Fee A</v>
          </cell>
          <cell r="E1049">
            <v>0</v>
          </cell>
          <cell r="F1049">
            <v>2230</v>
          </cell>
          <cell r="G1049">
            <v>-2230</v>
          </cell>
          <cell r="H1049">
            <v>26760</v>
          </cell>
          <cell r="I1049">
            <v>26760</v>
          </cell>
          <cell r="J1049">
            <v>0</v>
          </cell>
        </row>
        <row r="1050">
          <cell r="A1050" t="str">
            <v>6227089567</v>
          </cell>
          <cell r="B1050">
            <v>62270</v>
          </cell>
          <cell r="C1050">
            <v>89567</v>
          </cell>
          <cell r="D1050" t="str">
            <v>Interest Expense - TIC/Partne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</row>
        <row r="1051">
          <cell r="A1051" t="str">
            <v>6227085058</v>
          </cell>
          <cell r="B1051">
            <v>62270</v>
          </cell>
          <cell r="C1051">
            <v>85058</v>
          </cell>
          <cell r="D1051" t="str">
            <v>Legal Fee Amort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</row>
        <row r="1052">
          <cell r="A1052" t="str">
            <v>6227086513</v>
          </cell>
          <cell r="B1052">
            <v>62270</v>
          </cell>
          <cell r="C1052">
            <v>86513</v>
          </cell>
          <cell r="D1052" t="str">
            <v>Leasing Commission Amort</v>
          </cell>
          <cell r="E1052">
            <v>0</v>
          </cell>
          <cell r="F1052">
            <v>49.73</v>
          </cell>
          <cell r="G1052">
            <v>-49.73</v>
          </cell>
          <cell r="H1052">
            <v>674.36</v>
          </cell>
          <cell r="I1052">
            <v>674.36</v>
          </cell>
          <cell r="J1052">
            <v>0</v>
          </cell>
        </row>
        <row r="1053">
          <cell r="A1053" t="str">
            <v>6227086519</v>
          </cell>
          <cell r="B1053">
            <v>62270</v>
          </cell>
          <cell r="C1053">
            <v>86519</v>
          </cell>
          <cell r="D1053" t="str">
            <v>Fees-Appraisal Amort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</row>
        <row r="1054">
          <cell r="A1054" t="str">
            <v>6227088770</v>
          </cell>
          <cell r="B1054">
            <v>62270</v>
          </cell>
          <cell r="C1054">
            <v>88770</v>
          </cell>
          <cell r="D1054" t="str">
            <v>Losses-Prop Abandon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</row>
        <row r="1055">
          <cell r="A1055" t="str">
            <v>6227088862</v>
          </cell>
          <cell r="B1055">
            <v>62270</v>
          </cell>
          <cell r="C1055">
            <v>88862</v>
          </cell>
          <cell r="D1055" t="str">
            <v>Lease Buy-Out Amort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</row>
        <row r="1056">
          <cell r="A1056" t="str">
            <v>6227088874</v>
          </cell>
          <cell r="B1056">
            <v>62270</v>
          </cell>
          <cell r="C1056">
            <v>88874</v>
          </cell>
          <cell r="D1056" t="str">
            <v>Organization Cost Amort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</row>
        <row r="1057">
          <cell r="A1057" t="str">
            <v>6227089910</v>
          </cell>
          <cell r="B1057">
            <v>62270</v>
          </cell>
          <cell r="C1057">
            <v>89910</v>
          </cell>
          <cell r="D1057" t="str">
            <v>Depreciation</v>
          </cell>
          <cell r="E1057">
            <v>0</v>
          </cell>
          <cell r="F1057">
            <v>49987.89</v>
          </cell>
          <cell r="G1057">
            <v>-49987.89</v>
          </cell>
          <cell r="H1057">
            <v>595854.16</v>
          </cell>
          <cell r="I1057">
            <v>595854.16</v>
          </cell>
          <cell r="J1057">
            <v>0</v>
          </cell>
        </row>
        <row r="1058">
          <cell r="A1058" t="str">
            <v>6227089548</v>
          </cell>
          <cell r="B1058">
            <v>62270</v>
          </cell>
          <cell r="C1058">
            <v>89548</v>
          </cell>
          <cell r="D1058" t="str">
            <v>Other Amortized Cost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</row>
        <row r="1059">
          <cell r="A1059" t="str">
            <v>6252541010</v>
          </cell>
          <cell r="B1059">
            <v>62525</v>
          </cell>
          <cell r="C1059">
            <v>41010</v>
          </cell>
          <cell r="D1059" t="str">
            <v>Parking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</row>
        <row r="1060">
          <cell r="A1060" t="str">
            <v>6252541040</v>
          </cell>
          <cell r="B1060">
            <v>62525</v>
          </cell>
          <cell r="C1060">
            <v>41040</v>
          </cell>
          <cell r="D1060" t="str">
            <v>Rental Income FAS 13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</row>
        <row r="1061">
          <cell r="A1061" t="str">
            <v>6252541050</v>
          </cell>
          <cell r="B1061">
            <v>62525</v>
          </cell>
          <cell r="C1061">
            <v>41050</v>
          </cell>
          <cell r="D1061" t="str">
            <v>Rental Income - Fixed</v>
          </cell>
          <cell r="E1061">
            <v>-446440.77</v>
          </cell>
          <cell r="F1061">
            <v>-447135.57</v>
          </cell>
          <cell r="G1061">
            <v>694.79999999998802</v>
          </cell>
          <cell r="H1061">
            <v>-1786092.84</v>
          </cell>
          <cell r="I1061">
            <v>-1786092.84</v>
          </cell>
          <cell r="J1061">
            <v>0</v>
          </cell>
        </row>
        <row r="1062">
          <cell r="A1062" t="str">
            <v>6252541074</v>
          </cell>
          <cell r="B1062">
            <v>62525</v>
          </cell>
          <cell r="C1062">
            <v>41074</v>
          </cell>
          <cell r="D1062" t="str">
            <v>Rental Income - Percentage</v>
          </cell>
          <cell r="E1062">
            <v>0</v>
          </cell>
          <cell r="F1062">
            <v>0</v>
          </cell>
          <cell r="G1062">
            <v>0</v>
          </cell>
          <cell r="H1062">
            <v>-54298</v>
          </cell>
          <cell r="I1062">
            <v>-54298</v>
          </cell>
          <cell r="J1062">
            <v>0</v>
          </cell>
        </row>
        <row r="1063">
          <cell r="A1063" t="str">
            <v>6252541082</v>
          </cell>
          <cell r="B1063">
            <v>62525</v>
          </cell>
          <cell r="C1063">
            <v>41082</v>
          </cell>
          <cell r="D1063" t="str">
            <v>Rental Income - Operating Exp</v>
          </cell>
          <cell r="E1063">
            <v>-117643.65</v>
          </cell>
          <cell r="F1063">
            <v>-127774.71</v>
          </cell>
          <cell r="G1063">
            <v>10131.06</v>
          </cell>
          <cell r="H1063">
            <v>-511098.84</v>
          </cell>
          <cell r="I1063">
            <v>-511098.84</v>
          </cell>
          <cell r="J1063">
            <v>0</v>
          </cell>
        </row>
        <row r="1064">
          <cell r="A1064" t="str">
            <v>6252544610</v>
          </cell>
          <cell r="B1064">
            <v>62525</v>
          </cell>
          <cell r="C1064">
            <v>44610</v>
          </cell>
          <cell r="D1064" t="str">
            <v>Marketing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</row>
        <row r="1065">
          <cell r="A1065" t="str">
            <v>6252545071</v>
          </cell>
          <cell r="B1065">
            <v>62525</v>
          </cell>
          <cell r="C1065">
            <v>45071</v>
          </cell>
          <cell r="D1065" t="str">
            <v>Termination Fee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</row>
        <row r="1066">
          <cell r="A1066" t="str">
            <v>6252545010</v>
          </cell>
          <cell r="B1066">
            <v>62525</v>
          </cell>
          <cell r="C1066">
            <v>45010</v>
          </cell>
          <cell r="D1066" t="str">
            <v>Bad Debt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</row>
        <row r="1067">
          <cell r="A1067" t="str">
            <v>6252545046</v>
          </cell>
          <cell r="B1067">
            <v>62525</v>
          </cell>
          <cell r="C1067">
            <v>45046</v>
          </cell>
          <cell r="D1067" t="str">
            <v>Mgmt/Consult Fee Income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</row>
        <row r="1068">
          <cell r="A1068" t="str">
            <v>6252545070</v>
          </cell>
          <cell r="B1068">
            <v>62525</v>
          </cell>
          <cell r="C1068">
            <v>45070</v>
          </cell>
          <cell r="D1068" t="str">
            <v>Other Income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</row>
        <row r="1069">
          <cell r="A1069" t="str">
            <v>6252541060</v>
          </cell>
          <cell r="B1069">
            <v>62525</v>
          </cell>
          <cell r="C1069">
            <v>41060</v>
          </cell>
          <cell r="D1069" t="str">
            <v>Rental Income - Vacancy</v>
          </cell>
          <cell r="E1069">
            <v>0</v>
          </cell>
          <cell r="F1069">
            <v>8817.99</v>
          </cell>
          <cell r="G1069">
            <v>-8817.99</v>
          </cell>
          <cell r="H1069">
            <v>35272</v>
          </cell>
          <cell r="I1069">
            <v>35272</v>
          </cell>
          <cell r="J1069">
            <v>0</v>
          </cell>
        </row>
        <row r="1070">
          <cell r="A1070" t="str">
            <v>6252544870</v>
          </cell>
          <cell r="B1070">
            <v>62525</v>
          </cell>
          <cell r="C1070">
            <v>44870</v>
          </cell>
          <cell r="D1070" t="str">
            <v>Late Fees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</row>
        <row r="1071">
          <cell r="A1071" t="str">
            <v>6252552542</v>
          </cell>
          <cell r="B1071">
            <v>62525</v>
          </cell>
          <cell r="C1071">
            <v>52542</v>
          </cell>
          <cell r="D1071" t="str">
            <v>Cost of Tenant Services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</row>
        <row r="1072">
          <cell r="A1072" t="str">
            <v>6252572710</v>
          </cell>
          <cell r="B1072">
            <v>62525</v>
          </cell>
          <cell r="C1072">
            <v>72710</v>
          </cell>
          <cell r="D1072" t="str">
            <v>Utilities - Electricity</v>
          </cell>
          <cell r="E1072">
            <v>1231.76</v>
          </cell>
          <cell r="F1072">
            <v>4558.26</v>
          </cell>
          <cell r="G1072">
            <v>-3326.5</v>
          </cell>
          <cell r="H1072">
            <v>18233</v>
          </cell>
          <cell r="I1072">
            <v>18233</v>
          </cell>
          <cell r="J1072">
            <v>0</v>
          </cell>
        </row>
        <row r="1073">
          <cell r="A1073" t="str">
            <v>6252572740</v>
          </cell>
          <cell r="B1073">
            <v>62525</v>
          </cell>
          <cell r="C1073">
            <v>72740</v>
          </cell>
          <cell r="D1073" t="str">
            <v>Utilities - Gas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</row>
        <row r="1074">
          <cell r="A1074" t="str">
            <v>6252572770</v>
          </cell>
          <cell r="B1074">
            <v>62525</v>
          </cell>
          <cell r="C1074">
            <v>72770</v>
          </cell>
          <cell r="D1074" t="str">
            <v>Utilities - Water</v>
          </cell>
          <cell r="E1074">
            <v>2229.41</v>
          </cell>
          <cell r="F1074">
            <v>2025.24</v>
          </cell>
          <cell r="G1074">
            <v>204.17</v>
          </cell>
          <cell r="H1074">
            <v>8101</v>
          </cell>
          <cell r="I1074">
            <v>8101</v>
          </cell>
          <cell r="J1074">
            <v>0</v>
          </cell>
        </row>
        <row r="1075">
          <cell r="A1075" t="str">
            <v>6252576000</v>
          </cell>
          <cell r="B1075">
            <v>62525</v>
          </cell>
          <cell r="C1075">
            <v>76000</v>
          </cell>
          <cell r="D1075" t="str">
            <v>Bldg Maintenance &amp; Repair</v>
          </cell>
          <cell r="E1075">
            <v>1149.93</v>
          </cell>
          <cell r="F1075">
            <v>6024.86</v>
          </cell>
          <cell r="G1075">
            <v>-4874.93</v>
          </cell>
          <cell r="H1075">
            <v>14653.71</v>
          </cell>
          <cell r="I1075">
            <v>14653.71</v>
          </cell>
          <cell r="J1075">
            <v>0</v>
          </cell>
        </row>
        <row r="1076">
          <cell r="A1076" t="str">
            <v>6252576020</v>
          </cell>
          <cell r="B1076">
            <v>62525</v>
          </cell>
          <cell r="C1076">
            <v>76020</v>
          </cell>
          <cell r="D1076" t="str">
            <v>Food Court Expense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</row>
        <row r="1077">
          <cell r="A1077" t="str">
            <v>6252576034</v>
          </cell>
          <cell r="B1077">
            <v>62525</v>
          </cell>
          <cell r="C1077">
            <v>76034</v>
          </cell>
          <cell r="D1077" t="str">
            <v>Bldg. - General Repair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</row>
        <row r="1078">
          <cell r="A1078" t="str">
            <v>6252576050</v>
          </cell>
          <cell r="B1078">
            <v>62525</v>
          </cell>
          <cell r="C1078">
            <v>76050</v>
          </cell>
          <cell r="D1078" t="str">
            <v>Cleaning Expense</v>
          </cell>
          <cell r="E1078">
            <v>3723.61</v>
          </cell>
          <cell r="F1078">
            <v>5889.99</v>
          </cell>
          <cell r="G1078">
            <v>-2166.38</v>
          </cell>
          <cell r="H1078">
            <v>23560</v>
          </cell>
          <cell r="I1078">
            <v>23560</v>
          </cell>
          <cell r="J1078">
            <v>0</v>
          </cell>
        </row>
        <row r="1079">
          <cell r="A1079" t="str">
            <v>6252576056</v>
          </cell>
          <cell r="B1079">
            <v>62525</v>
          </cell>
          <cell r="C1079">
            <v>76056</v>
          </cell>
          <cell r="D1079" t="str">
            <v>Maintenance - Reimb Reimaging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</row>
        <row r="1080">
          <cell r="A1080" t="str">
            <v>6252576070</v>
          </cell>
          <cell r="B1080">
            <v>62525</v>
          </cell>
          <cell r="C1080">
            <v>76070</v>
          </cell>
          <cell r="D1080" t="str">
            <v>Reimaging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</row>
        <row r="1081">
          <cell r="A1081" t="str">
            <v>6252576091</v>
          </cell>
          <cell r="B1081">
            <v>62525</v>
          </cell>
          <cell r="C1081">
            <v>76091</v>
          </cell>
          <cell r="D1081" t="str">
            <v>Parking Maintenance</v>
          </cell>
          <cell r="E1081">
            <v>9366.9599999999991</v>
          </cell>
          <cell r="F1081">
            <v>9318.4500000000007</v>
          </cell>
          <cell r="G1081">
            <v>48.509999999998399</v>
          </cell>
          <cell r="H1081">
            <v>28678.45</v>
          </cell>
          <cell r="I1081">
            <v>28678.45</v>
          </cell>
          <cell r="J1081">
            <v>0</v>
          </cell>
        </row>
        <row r="1082">
          <cell r="A1082" t="str">
            <v>6252577000</v>
          </cell>
          <cell r="B1082">
            <v>62525</v>
          </cell>
          <cell r="C1082">
            <v>77000</v>
          </cell>
          <cell r="D1082" t="str">
            <v>Grounds Maintenance</v>
          </cell>
          <cell r="E1082">
            <v>7726.67</v>
          </cell>
          <cell r="F1082">
            <v>6040.21</v>
          </cell>
          <cell r="G1082">
            <v>1686.46</v>
          </cell>
          <cell r="H1082">
            <v>23421.98</v>
          </cell>
          <cell r="I1082">
            <v>23421.98</v>
          </cell>
          <cell r="J1082">
            <v>0</v>
          </cell>
        </row>
        <row r="1083">
          <cell r="A1083" t="str">
            <v>6252577053</v>
          </cell>
          <cell r="B1083">
            <v>62525</v>
          </cell>
          <cell r="C1083">
            <v>77053</v>
          </cell>
          <cell r="D1083" t="str">
            <v>Landscaping</v>
          </cell>
          <cell r="E1083">
            <v>5980</v>
          </cell>
          <cell r="F1083">
            <v>5925.06</v>
          </cell>
          <cell r="G1083">
            <v>54.9399999999996</v>
          </cell>
          <cell r="H1083">
            <v>43493.82</v>
          </cell>
          <cell r="I1083">
            <v>43493.82</v>
          </cell>
          <cell r="J1083">
            <v>0</v>
          </cell>
        </row>
        <row r="1084">
          <cell r="A1084" t="str">
            <v>6252578020</v>
          </cell>
          <cell r="B1084">
            <v>62525</v>
          </cell>
          <cell r="C1084">
            <v>78020</v>
          </cell>
          <cell r="D1084" t="str">
            <v>Amortized CAM Exp</v>
          </cell>
          <cell r="E1084">
            <v>2500</v>
          </cell>
          <cell r="F1084">
            <v>2499.9899999999998</v>
          </cell>
          <cell r="G1084">
            <v>1.00000000002183E-2</v>
          </cell>
          <cell r="H1084">
            <v>10000</v>
          </cell>
          <cell r="I1084">
            <v>10000</v>
          </cell>
          <cell r="J1084">
            <v>0</v>
          </cell>
        </row>
        <row r="1085">
          <cell r="A1085" t="str">
            <v>6252584264</v>
          </cell>
          <cell r="B1085">
            <v>62525</v>
          </cell>
          <cell r="C1085">
            <v>84264</v>
          </cell>
          <cell r="D1085" t="str">
            <v>Mktg-Tenant Relations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 t="str">
            <v>6252585555</v>
          </cell>
          <cell r="B1086">
            <v>62525</v>
          </cell>
          <cell r="C1086">
            <v>85555</v>
          </cell>
          <cell r="D1086" t="str">
            <v>Management Fee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 t="str">
            <v>6252585584</v>
          </cell>
          <cell r="B1087">
            <v>62525</v>
          </cell>
          <cell r="C1087">
            <v>85584</v>
          </cell>
          <cell r="D1087" t="str">
            <v>Bldg Admin-Office Costs</v>
          </cell>
          <cell r="E1087">
            <v>1665.22</v>
          </cell>
          <cell r="F1087">
            <v>1664.76</v>
          </cell>
          <cell r="G1087">
            <v>0.46000000000003599</v>
          </cell>
          <cell r="H1087">
            <v>7909</v>
          </cell>
          <cell r="I1087">
            <v>7909</v>
          </cell>
          <cell r="J1087">
            <v>0</v>
          </cell>
        </row>
        <row r="1088">
          <cell r="A1088" t="str">
            <v>6252585582</v>
          </cell>
          <cell r="B1088">
            <v>62525</v>
          </cell>
          <cell r="C1088">
            <v>85582</v>
          </cell>
          <cell r="D1088" t="str">
            <v>Bldg Admin-Salaries</v>
          </cell>
          <cell r="E1088">
            <v>13239</v>
          </cell>
          <cell r="F1088">
            <v>13239</v>
          </cell>
          <cell r="G1088">
            <v>0</v>
          </cell>
          <cell r="H1088">
            <v>53599</v>
          </cell>
          <cell r="I1088">
            <v>53599</v>
          </cell>
          <cell r="J1088">
            <v>0</v>
          </cell>
        </row>
        <row r="1089">
          <cell r="A1089" t="str">
            <v>6252586564</v>
          </cell>
          <cell r="B1089">
            <v>62525</v>
          </cell>
          <cell r="C1089">
            <v>86564</v>
          </cell>
          <cell r="D1089" t="str">
            <v>Insurance</v>
          </cell>
          <cell r="E1089">
            <v>6282</v>
          </cell>
          <cell r="F1089">
            <v>6282</v>
          </cell>
          <cell r="G1089">
            <v>0</v>
          </cell>
          <cell r="H1089">
            <v>25133</v>
          </cell>
          <cell r="I1089">
            <v>25133</v>
          </cell>
          <cell r="J1089">
            <v>0</v>
          </cell>
        </row>
        <row r="1090">
          <cell r="A1090" t="str">
            <v>6252588846</v>
          </cell>
          <cell r="B1090">
            <v>62525</v>
          </cell>
          <cell r="C1090">
            <v>88846</v>
          </cell>
          <cell r="D1090" t="str">
            <v>Expenses -Other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 t="str">
            <v>6252588890</v>
          </cell>
          <cell r="B1091">
            <v>62525</v>
          </cell>
          <cell r="C1091">
            <v>88890</v>
          </cell>
          <cell r="D1091" t="str">
            <v>Security/Safety</v>
          </cell>
          <cell r="E1091">
            <v>6103</v>
          </cell>
          <cell r="F1091">
            <v>10102.31</v>
          </cell>
          <cell r="G1091">
            <v>-3999.31</v>
          </cell>
          <cell r="H1091">
            <v>28048.94</v>
          </cell>
          <cell r="I1091">
            <v>28048.94</v>
          </cell>
          <cell r="J1091">
            <v>0</v>
          </cell>
        </row>
        <row r="1092">
          <cell r="A1092" t="str">
            <v>6252589775</v>
          </cell>
          <cell r="B1092">
            <v>62525</v>
          </cell>
          <cell r="C1092">
            <v>89775</v>
          </cell>
          <cell r="D1092" t="str">
            <v>Assmt Dist Taxes- Reimb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 t="str">
            <v>6252589729</v>
          </cell>
          <cell r="B1093">
            <v>62525</v>
          </cell>
          <cell r="C1093">
            <v>89729</v>
          </cell>
          <cell r="D1093" t="str">
            <v>Taxes - Miscellaneous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 t="str">
            <v>6252589786</v>
          </cell>
          <cell r="B1094">
            <v>62525</v>
          </cell>
          <cell r="C1094">
            <v>89786</v>
          </cell>
          <cell r="D1094" t="str">
            <v>Property Tax Exp</v>
          </cell>
          <cell r="E1094">
            <v>53694</v>
          </cell>
          <cell r="F1094">
            <v>53694</v>
          </cell>
          <cell r="G1094">
            <v>0</v>
          </cell>
          <cell r="H1094">
            <v>214776</v>
          </cell>
          <cell r="I1094">
            <v>214776</v>
          </cell>
          <cell r="J1094">
            <v>0</v>
          </cell>
        </row>
        <row r="1095">
          <cell r="A1095" t="str">
            <v>6252571040</v>
          </cell>
          <cell r="B1095">
            <v>62525</v>
          </cell>
          <cell r="C1095">
            <v>71040</v>
          </cell>
          <cell r="D1095" t="str">
            <v>Office Supplies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 t="str">
            <v>6252572701</v>
          </cell>
          <cell r="B1096">
            <v>62525</v>
          </cell>
          <cell r="C1096">
            <v>72701</v>
          </cell>
          <cell r="D1096" t="str">
            <v>Utilities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 t="str">
            <v>6252572855</v>
          </cell>
          <cell r="B1097">
            <v>62525</v>
          </cell>
          <cell r="C1097">
            <v>72855</v>
          </cell>
          <cell r="D1097" t="str">
            <v>Rent Expense-Ground</v>
          </cell>
          <cell r="E1097">
            <v>145654.79999999999</v>
          </cell>
          <cell r="F1097">
            <v>148539.06</v>
          </cell>
          <cell r="G1097">
            <v>-2884.2600000000102</v>
          </cell>
          <cell r="H1097">
            <v>602345.01</v>
          </cell>
          <cell r="I1097">
            <v>602345.01</v>
          </cell>
          <cell r="J1097">
            <v>0</v>
          </cell>
        </row>
        <row r="1098">
          <cell r="A1098" t="str">
            <v>6252572870</v>
          </cell>
          <cell r="B1098">
            <v>62525</v>
          </cell>
          <cell r="C1098">
            <v>72870</v>
          </cell>
          <cell r="D1098" t="str">
            <v>Office Rent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 t="str">
            <v>6252576010</v>
          </cell>
          <cell r="B1099">
            <v>62525</v>
          </cell>
          <cell r="C1099">
            <v>76010</v>
          </cell>
          <cell r="D1099" t="str">
            <v>Tenant Alterations</v>
          </cell>
          <cell r="E1099">
            <v>20.82</v>
          </cell>
          <cell r="F1099">
            <v>0</v>
          </cell>
          <cell r="G1099">
            <v>20.82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 t="str">
            <v>6252576040</v>
          </cell>
          <cell r="B1100">
            <v>62525</v>
          </cell>
          <cell r="C1100">
            <v>76040</v>
          </cell>
          <cell r="D1100" t="str">
            <v>HVAC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 t="str">
            <v>6252576051</v>
          </cell>
          <cell r="B1101">
            <v>62525</v>
          </cell>
          <cell r="C1101">
            <v>76051</v>
          </cell>
          <cell r="D1101" t="str">
            <v>Cleaning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 t="str">
            <v>6252576054</v>
          </cell>
          <cell r="B1102">
            <v>62525</v>
          </cell>
          <cell r="C1102">
            <v>76054</v>
          </cell>
          <cell r="D1102" t="str">
            <v>Bldg Maintenance &amp; Repair</v>
          </cell>
          <cell r="E1102">
            <v>6</v>
          </cell>
          <cell r="F1102">
            <v>0</v>
          </cell>
          <cell r="G1102">
            <v>6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 t="str">
            <v>6252576060</v>
          </cell>
          <cell r="B1103">
            <v>62525</v>
          </cell>
          <cell r="C1103">
            <v>76060</v>
          </cell>
          <cell r="D1103" t="str">
            <v>Asbestos Abatement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 t="str">
            <v>6252576071</v>
          </cell>
          <cell r="B1104">
            <v>62525</v>
          </cell>
          <cell r="C1104">
            <v>76071</v>
          </cell>
          <cell r="D1104" t="str">
            <v>Reimaging Maintenance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 t="str">
            <v>6252576090</v>
          </cell>
          <cell r="B1105">
            <v>62525</v>
          </cell>
          <cell r="C1105">
            <v>76090</v>
          </cell>
          <cell r="D1105" t="str">
            <v>Parking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 t="str">
            <v>6252577001</v>
          </cell>
          <cell r="B1106">
            <v>62525</v>
          </cell>
          <cell r="C1106">
            <v>77001</v>
          </cell>
          <cell r="D1106" t="str">
            <v>Grounds Maintenance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 t="str">
            <v>6252577022</v>
          </cell>
          <cell r="B1107">
            <v>62525</v>
          </cell>
          <cell r="C1107">
            <v>77022</v>
          </cell>
          <cell r="D1107" t="str">
            <v>Landscaping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 t="str">
            <v>6252584200</v>
          </cell>
          <cell r="B1108">
            <v>62525</v>
          </cell>
          <cell r="C1108">
            <v>84200</v>
          </cell>
          <cell r="D1108" t="str">
            <v>Marketing-Other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 t="str">
            <v>6252584240</v>
          </cell>
          <cell r="B1109">
            <v>62525</v>
          </cell>
          <cell r="C1109">
            <v>84240</v>
          </cell>
          <cell r="D1109" t="str">
            <v>Marketing Leasing</v>
          </cell>
          <cell r="E1109">
            <v>0</v>
          </cell>
          <cell r="F1109">
            <v>397.26</v>
          </cell>
          <cell r="G1109">
            <v>-397.26</v>
          </cell>
          <cell r="H1109">
            <v>1589</v>
          </cell>
          <cell r="I1109">
            <v>1589</v>
          </cell>
          <cell r="J1109">
            <v>0</v>
          </cell>
        </row>
        <row r="1110">
          <cell r="A1110" t="str">
            <v>6252584242</v>
          </cell>
          <cell r="B1110">
            <v>62525</v>
          </cell>
          <cell r="C1110">
            <v>84242</v>
          </cell>
          <cell r="D1110" t="str">
            <v>Marketing-Subsidy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11">
          <cell r="A1111" t="str">
            <v>6252584243</v>
          </cell>
          <cell r="B1111">
            <v>62525</v>
          </cell>
          <cell r="C1111">
            <v>84243</v>
          </cell>
          <cell r="D1111" t="str">
            <v>Marketing Coordination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</row>
        <row r="1112">
          <cell r="A1112" t="str">
            <v>6252584244</v>
          </cell>
          <cell r="B1112">
            <v>62525</v>
          </cell>
          <cell r="C1112">
            <v>84244</v>
          </cell>
          <cell r="D1112" t="str">
            <v>Marketing-Net Required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</row>
        <row r="1113">
          <cell r="A1113" t="str">
            <v>6252584265</v>
          </cell>
          <cell r="B1113">
            <v>62525</v>
          </cell>
          <cell r="C1113">
            <v>84265</v>
          </cell>
          <cell r="D1113" t="str">
            <v>Marketing -TR-Non-Reimb.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</row>
        <row r="1114">
          <cell r="A1114" t="str">
            <v>6252588037</v>
          </cell>
          <cell r="B1114">
            <v>62525</v>
          </cell>
          <cell r="C1114">
            <v>88037</v>
          </cell>
          <cell r="D1114" t="str">
            <v>Marketing - Leasing Office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</row>
        <row r="1115">
          <cell r="A1115" t="str">
            <v>6252585016</v>
          </cell>
          <cell r="B1115">
            <v>62525</v>
          </cell>
          <cell r="C1115">
            <v>85016</v>
          </cell>
          <cell r="D1115" t="str">
            <v>Prof Svc-Attorney Outside</v>
          </cell>
          <cell r="E1115">
            <v>1701</v>
          </cell>
          <cell r="F1115">
            <v>0</v>
          </cell>
          <cell r="G1115">
            <v>1701</v>
          </cell>
          <cell r="H1115">
            <v>0</v>
          </cell>
          <cell r="I1115">
            <v>0</v>
          </cell>
          <cell r="J1115">
            <v>0</v>
          </cell>
        </row>
        <row r="1116">
          <cell r="A1116" t="str">
            <v>6252585022</v>
          </cell>
          <cell r="B1116">
            <v>62525</v>
          </cell>
          <cell r="C1116">
            <v>85022</v>
          </cell>
          <cell r="D1116" t="str">
            <v>Prof Svc-Audit/Acctng</v>
          </cell>
          <cell r="E1116">
            <v>0</v>
          </cell>
          <cell r="F1116">
            <v>0</v>
          </cell>
          <cell r="G1116">
            <v>0</v>
          </cell>
          <cell r="H1116">
            <v>1350.69</v>
          </cell>
          <cell r="I1116">
            <v>1350.69</v>
          </cell>
          <cell r="J1116">
            <v>0</v>
          </cell>
        </row>
        <row r="1117">
          <cell r="A1117" t="str">
            <v>6252585065</v>
          </cell>
          <cell r="B1117">
            <v>62525</v>
          </cell>
          <cell r="C1117">
            <v>85065</v>
          </cell>
          <cell r="D1117" t="str">
            <v>Professional Services Other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</row>
        <row r="1118">
          <cell r="A1118" t="str">
            <v>6252585500</v>
          </cell>
          <cell r="B1118">
            <v>62525</v>
          </cell>
          <cell r="C1118">
            <v>85500</v>
          </cell>
          <cell r="D1118" t="str">
            <v>Consulting Services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</row>
        <row r="1119">
          <cell r="A1119" t="str">
            <v>6252585566</v>
          </cell>
          <cell r="B1119">
            <v>62525</v>
          </cell>
          <cell r="C1119">
            <v>85566</v>
          </cell>
          <cell r="D1119" t="str">
            <v>Management Fee</v>
          </cell>
          <cell r="E1119">
            <v>10200</v>
          </cell>
          <cell r="F1119">
            <v>0</v>
          </cell>
          <cell r="G1119">
            <v>10200</v>
          </cell>
          <cell r="H1119">
            <v>0</v>
          </cell>
          <cell r="I1119">
            <v>0</v>
          </cell>
          <cell r="J1119">
            <v>0</v>
          </cell>
        </row>
        <row r="1120">
          <cell r="A1120" t="str">
            <v>6252585581</v>
          </cell>
          <cell r="B1120">
            <v>62525</v>
          </cell>
          <cell r="C1120">
            <v>85581</v>
          </cell>
          <cell r="D1120" t="str">
            <v>Bldg Admin- Salaries</v>
          </cell>
          <cell r="E1120">
            <v>7084</v>
          </cell>
          <cell r="F1120">
            <v>7083.99</v>
          </cell>
          <cell r="G1120">
            <v>1.00000000002183E-2</v>
          </cell>
          <cell r="H1120">
            <v>29064.97</v>
          </cell>
          <cell r="I1120">
            <v>29064.97</v>
          </cell>
          <cell r="J1120">
            <v>0</v>
          </cell>
        </row>
        <row r="1121">
          <cell r="A1121" t="str">
            <v>6252585583</v>
          </cell>
          <cell r="B1121">
            <v>62525</v>
          </cell>
          <cell r="C1121">
            <v>85583</v>
          </cell>
          <cell r="D1121" t="str">
            <v>Bldg Admin-Office Exp.</v>
          </cell>
          <cell r="E1121">
            <v>55.42</v>
          </cell>
          <cell r="F1121">
            <v>0</v>
          </cell>
          <cell r="G1121">
            <v>55.42</v>
          </cell>
          <cell r="H1121">
            <v>0</v>
          </cell>
          <cell r="I1121">
            <v>0</v>
          </cell>
          <cell r="J1121">
            <v>0</v>
          </cell>
        </row>
        <row r="1122">
          <cell r="A1122" t="str">
            <v>6252585530</v>
          </cell>
          <cell r="B1122">
            <v>62525</v>
          </cell>
          <cell r="C1122">
            <v>85530</v>
          </cell>
          <cell r="D1122" t="str">
            <v>Bldg Admin - Office Exp</v>
          </cell>
          <cell r="E1122">
            <v>55.42</v>
          </cell>
          <cell r="F1122">
            <v>0</v>
          </cell>
          <cell r="G1122">
            <v>55.42</v>
          </cell>
          <cell r="H1122">
            <v>0</v>
          </cell>
          <cell r="I1122">
            <v>0</v>
          </cell>
          <cell r="J1122">
            <v>0</v>
          </cell>
        </row>
        <row r="1123">
          <cell r="A1123" t="str">
            <v>6252586012</v>
          </cell>
          <cell r="B1123">
            <v>62525</v>
          </cell>
          <cell r="C1123">
            <v>86012</v>
          </cell>
          <cell r="D1123" t="str">
            <v>Regional Employee Parking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</row>
        <row r="1124">
          <cell r="A1124" t="str">
            <v>6252586037</v>
          </cell>
          <cell r="B1124">
            <v>62525</v>
          </cell>
          <cell r="C1124">
            <v>86037</v>
          </cell>
          <cell r="D1124" t="str">
            <v>Travel &amp; Entertainment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</row>
        <row r="1125">
          <cell r="A1125" t="str">
            <v>6252583050</v>
          </cell>
          <cell r="B1125">
            <v>62525</v>
          </cell>
          <cell r="C1125">
            <v>83050</v>
          </cell>
          <cell r="D1125" t="str">
            <v>Regional Employee Travel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</row>
        <row r="1126">
          <cell r="A1126" t="str">
            <v>6252586510</v>
          </cell>
          <cell r="B1126">
            <v>62525</v>
          </cell>
          <cell r="C1126">
            <v>86510</v>
          </cell>
          <cell r="D1126" t="str">
            <v>Leasing Admin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</row>
        <row r="1127">
          <cell r="A1127" t="str">
            <v>6252586537</v>
          </cell>
          <cell r="B1127">
            <v>62525</v>
          </cell>
          <cell r="C1127">
            <v>86537</v>
          </cell>
          <cell r="D1127" t="str">
            <v>Fees-Credit Reports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</row>
        <row r="1128">
          <cell r="A1128" t="str">
            <v>6252586566</v>
          </cell>
          <cell r="B1128">
            <v>62525</v>
          </cell>
          <cell r="C1128">
            <v>86566</v>
          </cell>
          <cell r="D1128" t="str">
            <v>Insurance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</row>
        <row r="1129">
          <cell r="A1129" t="str">
            <v>6252586955</v>
          </cell>
          <cell r="B1129">
            <v>62525</v>
          </cell>
          <cell r="C1129">
            <v>86955</v>
          </cell>
          <cell r="D1129" t="str">
            <v>Regional Temporary Labor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</row>
        <row r="1130">
          <cell r="A1130" t="str">
            <v>6252586985</v>
          </cell>
          <cell r="B1130">
            <v>62525</v>
          </cell>
          <cell r="C1130">
            <v>86985</v>
          </cell>
          <cell r="D1130" t="str">
            <v>Purchased Svcs _ Other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</row>
        <row r="1131">
          <cell r="A1131" t="str">
            <v>6252586880</v>
          </cell>
          <cell r="B1131">
            <v>62525</v>
          </cell>
          <cell r="C1131">
            <v>86880</v>
          </cell>
          <cell r="D1131" t="str">
            <v>Telephone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</row>
        <row r="1132">
          <cell r="A1132" t="str">
            <v>6252588710</v>
          </cell>
          <cell r="B1132">
            <v>62525</v>
          </cell>
          <cell r="C1132">
            <v>88710</v>
          </cell>
          <cell r="D1132" t="str">
            <v>Losses-Bad Debts</v>
          </cell>
          <cell r="E1132">
            <v>7927.2</v>
          </cell>
          <cell r="F1132">
            <v>8818</v>
          </cell>
          <cell r="G1132">
            <v>-890.8</v>
          </cell>
          <cell r="H1132">
            <v>35272</v>
          </cell>
          <cell r="I1132">
            <v>35272</v>
          </cell>
          <cell r="J1132">
            <v>0</v>
          </cell>
        </row>
        <row r="1133">
          <cell r="A1133" t="str">
            <v>6252588711</v>
          </cell>
          <cell r="B1133">
            <v>62525</v>
          </cell>
          <cell r="C1133">
            <v>88711</v>
          </cell>
          <cell r="D1133" t="str">
            <v>Losses-Bad Debts- FASB 13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</row>
        <row r="1134">
          <cell r="A1134" t="str">
            <v>6252588785</v>
          </cell>
          <cell r="B1134">
            <v>62525</v>
          </cell>
          <cell r="C1134">
            <v>88785</v>
          </cell>
          <cell r="D1134" t="str">
            <v>Losses-Uninsured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</row>
        <row r="1135">
          <cell r="A1135" t="str">
            <v>6252588847</v>
          </cell>
          <cell r="B1135">
            <v>62525</v>
          </cell>
          <cell r="C1135">
            <v>88847</v>
          </cell>
          <cell r="D1135" t="str">
            <v>Expenses - Other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</row>
        <row r="1136">
          <cell r="A1136" t="str">
            <v>6252588866</v>
          </cell>
          <cell r="B1136">
            <v>62525</v>
          </cell>
          <cell r="C1136">
            <v>88866</v>
          </cell>
          <cell r="D1136" t="str">
            <v>Legal Settlements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</row>
        <row r="1137">
          <cell r="A1137" t="str">
            <v>6252588870</v>
          </cell>
          <cell r="B1137">
            <v>62525</v>
          </cell>
          <cell r="C1137">
            <v>88870</v>
          </cell>
          <cell r="D1137" t="str">
            <v>Backside Dist-O/S Partner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</row>
        <row r="1138">
          <cell r="A1138" t="str">
            <v>6252588889</v>
          </cell>
          <cell r="B1138">
            <v>62525</v>
          </cell>
          <cell r="C1138">
            <v>88889</v>
          </cell>
          <cell r="D1138" t="str">
            <v>Security/Safety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</row>
        <row r="1139">
          <cell r="A1139" t="str">
            <v>6252589776</v>
          </cell>
          <cell r="B1139">
            <v>62525</v>
          </cell>
          <cell r="C1139">
            <v>89776</v>
          </cell>
          <cell r="D1139" t="str">
            <v>Assmt Dist Taxes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</row>
        <row r="1140">
          <cell r="A1140" t="str">
            <v>6252589787</v>
          </cell>
          <cell r="B1140">
            <v>62525</v>
          </cell>
          <cell r="C1140">
            <v>89787</v>
          </cell>
          <cell r="D1140" t="str">
            <v>Property Tax Exp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</row>
        <row r="1141">
          <cell r="A1141" t="str">
            <v>6252589510</v>
          </cell>
          <cell r="B1141">
            <v>62525</v>
          </cell>
          <cell r="C1141">
            <v>89510</v>
          </cell>
          <cell r="D1141" t="str">
            <v>Interest Expense - General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</row>
        <row r="1142">
          <cell r="A1142" t="str">
            <v>6252589511</v>
          </cell>
          <cell r="B1142">
            <v>62525</v>
          </cell>
          <cell r="C1142">
            <v>89511</v>
          </cell>
          <cell r="D1142" t="str">
            <v>Interest Expense - Swap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</row>
        <row r="1143">
          <cell r="A1143" t="str">
            <v>6252589512</v>
          </cell>
          <cell r="B1143">
            <v>62525</v>
          </cell>
          <cell r="C1143">
            <v>89512</v>
          </cell>
          <cell r="D1143" t="str">
            <v>Interest Expense - Accrual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</row>
        <row r="1144">
          <cell r="A1144" t="str">
            <v>6252589528</v>
          </cell>
          <cell r="B1144">
            <v>62525</v>
          </cell>
          <cell r="C1144">
            <v>89528</v>
          </cell>
          <cell r="D1144" t="str">
            <v>Interest Expense - Loan Fees-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</row>
        <row r="1145">
          <cell r="A1145" t="str">
            <v>6252589529</v>
          </cell>
          <cell r="B1145">
            <v>62525</v>
          </cell>
          <cell r="C1145">
            <v>89529</v>
          </cell>
          <cell r="D1145" t="str">
            <v>Interest Expense - Loan Fee A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</row>
        <row r="1146">
          <cell r="A1146" t="str">
            <v>6252589567</v>
          </cell>
          <cell r="B1146">
            <v>62525</v>
          </cell>
          <cell r="C1146">
            <v>89567</v>
          </cell>
          <cell r="D1146" t="str">
            <v>Interest Expense - TIC/Partne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</row>
        <row r="1147">
          <cell r="A1147" t="str">
            <v>6252585058</v>
          </cell>
          <cell r="B1147">
            <v>62525</v>
          </cell>
          <cell r="C1147">
            <v>85058</v>
          </cell>
          <cell r="D1147" t="str">
            <v>Legal Fee Amort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</row>
        <row r="1148">
          <cell r="A1148" t="str">
            <v>6252586513</v>
          </cell>
          <cell r="B1148">
            <v>62525</v>
          </cell>
          <cell r="C1148">
            <v>86513</v>
          </cell>
          <cell r="D1148" t="str">
            <v>Leasing Commission Amort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</row>
        <row r="1149">
          <cell r="A1149" t="str">
            <v>6252586519</v>
          </cell>
          <cell r="B1149">
            <v>62525</v>
          </cell>
          <cell r="C1149">
            <v>86519</v>
          </cell>
          <cell r="D1149" t="str">
            <v>Fees-Appraisal Amort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</row>
        <row r="1150">
          <cell r="A1150" t="str">
            <v>6252588770</v>
          </cell>
          <cell r="B1150">
            <v>62525</v>
          </cell>
          <cell r="C1150">
            <v>88770</v>
          </cell>
          <cell r="D1150" t="str">
            <v>Losses-Prop Abandon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</row>
        <row r="1151">
          <cell r="A1151" t="str">
            <v>6252588862</v>
          </cell>
          <cell r="B1151">
            <v>62525</v>
          </cell>
          <cell r="C1151">
            <v>88862</v>
          </cell>
          <cell r="D1151" t="str">
            <v>Lease Buy-Out Amort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</row>
        <row r="1152">
          <cell r="A1152" t="str">
            <v>6252588874</v>
          </cell>
          <cell r="B1152">
            <v>62525</v>
          </cell>
          <cell r="C1152">
            <v>88874</v>
          </cell>
          <cell r="D1152" t="str">
            <v>Organization Cost Amort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</row>
        <row r="1153">
          <cell r="A1153" t="str">
            <v>6252589910</v>
          </cell>
          <cell r="B1153">
            <v>62525</v>
          </cell>
          <cell r="C1153">
            <v>89910</v>
          </cell>
          <cell r="D1153" t="str">
            <v>Depreciation</v>
          </cell>
          <cell r="E1153">
            <v>0</v>
          </cell>
          <cell r="F1153">
            <v>91869.21</v>
          </cell>
          <cell r="G1153">
            <v>-91869.21</v>
          </cell>
          <cell r="H1153">
            <v>367476.87</v>
          </cell>
          <cell r="I1153">
            <v>367476.87</v>
          </cell>
          <cell r="J1153">
            <v>0</v>
          </cell>
        </row>
        <row r="1154">
          <cell r="A1154" t="str">
            <v>6252589548</v>
          </cell>
          <cell r="B1154">
            <v>62525</v>
          </cell>
          <cell r="C1154">
            <v>89548</v>
          </cell>
          <cell r="D1154" t="str">
            <v>Other Amortized Cost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</row>
        <row r="1155">
          <cell r="A1155" t="str">
            <v>6262041040</v>
          </cell>
          <cell r="B1155">
            <v>62620</v>
          </cell>
          <cell r="C1155">
            <v>41040</v>
          </cell>
          <cell r="D1155" t="str">
            <v>Rental Income FAS 13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</row>
        <row r="1156">
          <cell r="A1156" t="str">
            <v>6262041050</v>
          </cell>
          <cell r="B1156">
            <v>62620</v>
          </cell>
          <cell r="C1156">
            <v>41050</v>
          </cell>
          <cell r="D1156" t="str">
            <v>Rental Income - Fixed</v>
          </cell>
          <cell r="E1156">
            <v>-39115.89</v>
          </cell>
          <cell r="F1156">
            <v>-39115.89</v>
          </cell>
          <cell r="G1156">
            <v>0</v>
          </cell>
          <cell r="H1156">
            <v>-495206.45</v>
          </cell>
          <cell r="I1156">
            <v>-495206.45</v>
          </cell>
          <cell r="J1156">
            <v>0</v>
          </cell>
        </row>
        <row r="1157">
          <cell r="A1157" t="str">
            <v>6262041074</v>
          </cell>
          <cell r="B1157">
            <v>62620</v>
          </cell>
          <cell r="C1157">
            <v>41074</v>
          </cell>
          <cell r="D1157" t="str">
            <v>Rental Income - Percentage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</row>
        <row r="1158">
          <cell r="A1158" t="str">
            <v>6262041082</v>
          </cell>
          <cell r="B1158">
            <v>62620</v>
          </cell>
          <cell r="C1158">
            <v>41082</v>
          </cell>
          <cell r="D1158" t="str">
            <v>Rental Income - Operating Exp</v>
          </cell>
          <cell r="E1158">
            <v>-13295.11</v>
          </cell>
          <cell r="F1158">
            <v>-20109.68</v>
          </cell>
          <cell r="G1158">
            <v>6814.57</v>
          </cell>
          <cell r="H1158">
            <v>-241316.16</v>
          </cell>
          <cell r="I1158">
            <v>-241316.16</v>
          </cell>
          <cell r="J1158">
            <v>0</v>
          </cell>
        </row>
        <row r="1159">
          <cell r="A1159" t="str">
            <v>6262044610</v>
          </cell>
          <cell r="B1159">
            <v>62620</v>
          </cell>
          <cell r="C1159">
            <v>44610</v>
          </cell>
          <cell r="D1159" t="str">
            <v>Marketing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</row>
        <row r="1160">
          <cell r="A1160" t="str">
            <v>6262045071</v>
          </cell>
          <cell r="B1160">
            <v>62620</v>
          </cell>
          <cell r="C1160">
            <v>45071</v>
          </cell>
          <cell r="D1160" t="str">
            <v>Termination Fee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</row>
        <row r="1161">
          <cell r="A1161" t="str">
            <v>6262045010</v>
          </cell>
          <cell r="B1161">
            <v>62620</v>
          </cell>
          <cell r="C1161">
            <v>45010</v>
          </cell>
          <cell r="D1161" t="str">
            <v>Bad Debt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</row>
        <row r="1162">
          <cell r="A1162" t="str">
            <v>6262045046</v>
          </cell>
          <cell r="B1162">
            <v>62620</v>
          </cell>
          <cell r="C1162">
            <v>45046</v>
          </cell>
          <cell r="D1162" t="str">
            <v>Mgmt/Consult Fee Income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</row>
        <row r="1163">
          <cell r="A1163" t="str">
            <v>6262045070</v>
          </cell>
          <cell r="B1163">
            <v>62620</v>
          </cell>
          <cell r="C1163">
            <v>45070</v>
          </cell>
          <cell r="D1163" t="str">
            <v>Other Income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</row>
        <row r="1164">
          <cell r="A1164" t="str">
            <v>6262041060</v>
          </cell>
          <cell r="B1164">
            <v>62620</v>
          </cell>
          <cell r="C1164">
            <v>41060</v>
          </cell>
          <cell r="D1164" t="str">
            <v>Rental Income - Vacancy</v>
          </cell>
          <cell r="E1164">
            <v>0</v>
          </cell>
          <cell r="F1164">
            <v>920.67</v>
          </cell>
          <cell r="G1164">
            <v>-920.67</v>
          </cell>
          <cell r="H1164">
            <v>11048</v>
          </cell>
          <cell r="I1164">
            <v>11048</v>
          </cell>
          <cell r="J1164">
            <v>0</v>
          </cell>
        </row>
        <row r="1165">
          <cell r="A1165" t="str">
            <v>6262044870</v>
          </cell>
          <cell r="B1165">
            <v>62620</v>
          </cell>
          <cell r="C1165">
            <v>44870</v>
          </cell>
          <cell r="D1165" t="str">
            <v>Late Fees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</row>
        <row r="1166">
          <cell r="A1166" t="str">
            <v>6262052542</v>
          </cell>
          <cell r="B1166">
            <v>62620</v>
          </cell>
          <cell r="C1166">
            <v>52542</v>
          </cell>
          <cell r="D1166" t="str">
            <v>Cost of Tenant Services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</row>
        <row r="1167">
          <cell r="A1167" t="str">
            <v>6262072710</v>
          </cell>
          <cell r="B1167">
            <v>62620</v>
          </cell>
          <cell r="C1167">
            <v>72710</v>
          </cell>
          <cell r="D1167" t="str">
            <v>Utilities - Electricity</v>
          </cell>
          <cell r="E1167">
            <v>1746.93</v>
          </cell>
          <cell r="F1167">
            <v>1428</v>
          </cell>
          <cell r="G1167">
            <v>318.93</v>
          </cell>
          <cell r="H1167">
            <v>30880.05</v>
          </cell>
          <cell r="I1167">
            <v>30880.05</v>
          </cell>
          <cell r="J1167">
            <v>0</v>
          </cell>
        </row>
        <row r="1168">
          <cell r="A1168" t="str">
            <v>6262072740</v>
          </cell>
          <cell r="B1168">
            <v>62620</v>
          </cell>
          <cell r="C1168">
            <v>72740</v>
          </cell>
          <cell r="D1168" t="str">
            <v>Utilities - Gas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</row>
        <row r="1169">
          <cell r="A1169" t="str">
            <v>6262072770</v>
          </cell>
          <cell r="B1169">
            <v>62620</v>
          </cell>
          <cell r="C1169">
            <v>72770</v>
          </cell>
          <cell r="D1169" t="str">
            <v>Utilities - Water</v>
          </cell>
          <cell r="E1169">
            <v>327.14999999999998</v>
          </cell>
          <cell r="F1169">
            <v>119.6</v>
          </cell>
          <cell r="G1169">
            <v>207.55</v>
          </cell>
          <cell r="H1169">
            <v>3933.75</v>
          </cell>
          <cell r="I1169">
            <v>3933.75</v>
          </cell>
          <cell r="J1169">
            <v>0</v>
          </cell>
        </row>
        <row r="1170">
          <cell r="A1170" t="str">
            <v>6262076000</v>
          </cell>
          <cell r="B1170">
            <v>62620</v>
          </cell>
          <cell r="C1170">
            <v>76000</v>
          </cell>
          <cell r="D1170" t="str">
            <v>Bldg Maintenance &amp; Repair</v>
          </cell>
          <cell r="E1170">
            <v>1228.74</v>
          </cell>
          <cell r="F1170">
            <v>485.91</v>
          </cell>
          <cell r="G1170">
            <v>742.83</v>
          </cell>
          <cell r="H1170">
            <v>27872.87</v>
          </cell>
          <cell r="I1170">
            <v>27872.87</v>
          </cell>
          <cell r="J1170">
            <v>0</v>
          </cell>
        </row>
        <row r="1171">
          <cell r="A1171" t="str">
            <v>6262076020</v>
          </cell>
          <cell r="B1171">
            <v>62620</v>
          </cell>
          <cell r="C1171">
            <v>76020</v>
          </cell>
          <cell r="D1171" t="str">
            <v>Food Court Expense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</row>
        <row r="1172">
          <cell r="A1172" t="str">
            <v>6262076034</v>
          </cell>
          <cell r="B1172">
            <v>62620</v>
          </cell>
          <cell r="C1172">
            <v>76034</v>
          </cell>
          <cell r="D1172" t="str">
            <v>Bldg. - General Repair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</row>
        <row r="1173">
          <cell r="A1173" t="str">
            <v>6262076050</v>
          </cell>
          <cell r="B1173">
            <v>62620</v>
          </cell>
          <cell r="C1173">
            <v>76050</v>
          </cell>
          <cell r="D1173" t="str">
            <v>Cleaning Expense</v>
          </cell>
          <cell r="E1173">
            <v>2408.0700000000002</v>
          </cell>
          <cell r="F1173">
            <v>2116.4</v>
          </cell>
          <cell r="G1173">
            <v>291.67</v>
          </cell>
          <cell r="H1173">
            <v>27501.15</v>
          </cell>
          <cell r="I1173">
            <v>27501.15</v>
          </cell>
          <cell r="J1173">
            <v>0</v>
          </cell>
        </row>
        <row r="1174">
          <cell r="A1174" t="str">
            <v>6262076056</v>
          </cell>
          <cell r="B1174">
            <v>62620</v>
          </cell>
          <cell r="C1174">
            <v>76056</v>
          </cell>
          <cell r="D1174" t="str">
            <v>Maintenance - Reimb Reimaging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</row>
        <row r="1175">
          <cell r="A1175" t="str">
            <v>6262076070</v>
          </cell>
          <cell r="B1175">
            <v>62620</v>
          </cell>
          <cell r="C1175">
            <v>76070</v>
          </cell>
          <cell r="D1175" t="str">
            <v>Reimaging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</row>
        <row r="1176">
          <cell r="A1176" t="str">
            <v>6262076091</v>
          </cell>
          <cell r="B1176">
            <v>62620</v>
          </cell>
          <cell r="C1176">
            <v>76091</v>
          </cell>
          <cell r="D1176" t="str">
            <v>Parking Maintenance</v>
          </cell>
          <cell r="E1176">
            <v>1200</v>
          </cell>
          <cell r="F1176">
            <v>890.95</v>
          </cell>
          <cell r="G1176">
            <v>309.05</v>
          </cell>
          <cell r="H1176">
            <v>16184.9</v>
          </cell>
          <cell r="I1176">
            <v>16184.9</v>
          </cell>
          <cell r="J1176">
            <v>0</v>
          </cell>
        </row>
        <row r="1177">
          <cell r="A1177" t="str">
            <v>6262077000</v>
          </cell>
          <cell r="B1177">
            <v>62620</v>
          </cell>
          <cell r="C1177">
            <v>77000</v>
          </cell>
          <cell r="D1177" t="str">
            <v>Grounds Maintenance</v>
          </cell>
          <cell r="E1177">
            <v>219.19</v>
          </cell>
          <cell r="F1177">
            <v>4504.34</v>
          </cell>
          <cell r="G1177">
            <v>-4285.1499999999996</v>
          </cell>
          <cell r="H1177">
            <v>57487.64</v>
          </cell>
          <cell r="I1177">
            <v>57487.64</v>
          </cell>
          <cell r="J1177">
            <v>0</v>
          </cell>
        </row>
        <row r="1178">
          <cell r="A1178" t="str">
            <v>6262077053</v>
          </cell>
          <cell r="B1178">
            <v>62620</v>
          </cell>
          <cell r="C1178">
            <v>77053</v>
          </cell>
          <cell r="D1178" t="str">
            <v>Landscaping</v>
          </cell>
          <cell r="E1178">
            <v>1976</v>
          </cell>
          <cell r="F1178">
            <v>1540.1</v>
          </cell>
          <cell r="G1178">
            <v>435.9</v>
          </cell>
          <cell r="H1178">
            <v>52824.76</v>
          </cell>
          <cell r="I1178">
            <v>52824.76</v>
          </cell>
          <cell r="J1178">
            <v>0</v>
          </cell>
        </row>
        <row r="1179">
          <cell r="A1179" t="str">
            <v>6262078020</v>
          </cell>
          <cell r="B1179">
            <v>62620</v>
          </cell>
          <cell r="C1179">
            <v>78020</v>
          </cell>
          <cell r="D1179" t="str">
            <v>Amortized CAM Exp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</row>
        <row r="1180">
          <cell r="A1180" t="str">
            <v>6262084264</v>
          </cell>
          <cell r="B1180">
            <v>62620</v>
          </cell>
          <cell r="C1180">
            <v>84264</v>
          </cell>
          <cell r="D1180" t="str">
            <v>Mktg-Tenant Relations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</row>
        <row r="1181">
          <cell r="A1181" t="str">
            <v>6262085555</v>
          </cell>
          <cell r="B1181">
            <v>62620</v>
          </cell>
          <cell r="C1181">
            <v>85555</v>
          </cell>
          <cell r="D1181" t="str">
            <v>Management Fee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</row>
        <row r="1182">
          <cell r="A1182" t="str">
            <v>6262085584</v>
          </cell>
          <cell r="B1182">
            <v>62620</v>
          </cell>
          <cell r="C1182">
            <v>85584</v>
          </cell>
          <cell r="D1182" t="str">
            <v>Bldg Admin-Office Costs</v>
          </cell>
          <cell r="E1182">
            <v>194.03</v>
          </cell>
          <cell r="F1182">
            <v>178.33</v>
          </cell>
          <cell r="G1182">
            <v>15.7</v>
          </cell>
          <cell r="H1182">
            <v>2140</v>
          </cell>
          <cell r="I1182">
            <v>2140</v>
          </cell>
          <cell r="J1182">
            <v>0</v>
          </cell>
        </row>
        <row r="1183">
          <cell r="A1183" t="str">
            <v>6262085582</v>
          </cell>
          <cell r="B1183">
            <v>62620</v>
          </cell>
          <cell r="C1183">
            <v>85582</v>
          </cell>
          <cell r="D1183" t="str">
            <v>Bldg Admin-Salaries</v>
          </cell>
          <cell r="E1183">
            <v>879.4</v>
          </cell>
          <cell r="F1183">
            <v>879.58</v>
          </cell>
          <cell r="G1183">
            <v>-0.180000000000064</v>
          </cell>
          <cell r="H1183">
            <v>11252.8</v>
          </cell>
          <cell r="I1183">
            <v>11252.8</v>
          </cell>
          <cell r="J1183">
            <v>0</v>
          </cell>
        </row>
        <row r="1184">
          <cell r="A1184" t="str">
            <v>6262086564</v>
          </cell>
          <cell r="B1184">
            <v>62620</v>
          </cell>
          <cell r="C1184">
            <v>86564</v>
          </cell>
          <cell r="D1184" t="str">
            <v>Insurance</v>
          </cell>
          <cell r="E1184">
            <v>643</v>
          </cell>
          <cell r="F1184">
            <v>642.91</v>
          </cell>
          <cell r="G1184">
            <v>9.0000000000031805E-2</v>
          </cell>
          <cell r="H1184">
            <v>7715</v>
          </cell>
          <cell r="I1184">
            <v>7715</v>
          </cell>
          <cell r="J1184">
            <v>0</v>
          </cell>
        </row>
        <row r="1185">
          <cell r="A1185" t="str">
            <v>6262088846</v>
          </cell>
          <cell r="B1185">
            <v>62620</v>
          </cell>
          <cell r="C1185">
            <v>88846</v>
          </cell>
          <cell r="D1185" t="str">
            <v>Expenses -Other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</row>
        <row r="1186">
          <cell r="A1186" t="str">
            <v>6262088890</v>
          </cell>
          <cell r="B1186">
            <v>62620</v>
          </cell>
          <cell r="C1186">
            <v>88890</v>
          </cell>
          <cell r="D1186" t="str">
            <v>Security/Safety</v>
          </cell>
          <cell r="E1186">
            <v>1000.02</v>
          </cell>
          <cell r="F1186">
            <v>210.02</v>
          </cell>
          <cell r="G1186">
            <v>790</v>
          </cell>
          <cell r="H1186">
            <v>3664.52</v>
          </cell>
          <cell r="I1186">
            <v>3664.52</v>
          </cell>
          <cell r="J1186">
            <v>0</v>
          </cell>
        </row>
        <row r="1187">
          <cell r="A1187" t="str">
            <v>6262089775</v>
          </cell>
          <cell r="B1187">
            <v>62620</v>
          </cell>
          <cell r="C1187">
            <v>89775</v>
          </cell>
          <cell r="D1187" t="str">
            <v>Assmt Dist Taxes- Reimb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</row>
        <row r="1188">
          <cell r="A1188" t="str">
            <v>6262089729</v>
          </cell>
          <cell r="B1188">
            <v>62620</v>
          </cell>
          <cell r="C1188">
            <v>89729</v>
          </cell>
          <cell r="D1188" t="str">
            <v>Taxes - Miscellaneous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</row>
        <row r="1189">
          <cell r="A1189" t="str">
            <v>6262089786</v>
          </cell>
          <cell r="B1189">
            <v>62620</v>
          </cell>
          <cell r="C1189">
            <v>89786</v>
          </cell>
          <cell r="D1189" t="str">
            <v>Property Tax Exp</v>
          </cell>
          <cell r="E1189">
            <v>4372.67</v>
          </cell>
          <cell r="F1189">
            <v>4372.67</v>
          </cell>
          <cell r="G1189">
            <v>0</v>
          </cell>
          <cell r="H1189">
            <v>52472</v>
          </cell>
          <cell r="I1189">
            <v>52472</v>
          </cell>
          <cell r="J1189">
            <v>0</v>
          </cell>
        </row>
        <row r="1190">
          <cell r="A1190" t="str">
            <v>6262071040</v>
          </cell>
          <cell r="B1190">
            <v>62620</v>
          </cell>
          <cell r="C1190">
            <v>71040</v>
          </cell>
          <cell r="D1190" t="str">
            <v>Office Supplies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</row>
        <row r="1191">
          <cell r="A1191" t="str">
            <v>6262072701</v>
          </cell>
          <cell r="B1191">
            <v>62620</v>
          </cell>
          <cell r="C1191">
            <v>72701</v>
          </cell>
          <cell r="D1191" t="str">
            <v>Utilities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</row>
        <row r="1192">
          <cell r="A1192" t="str">
            <v>6262072855</v>
          </cell>
          <cell r="B1192">
            <v>62620</v>
          </cell>
          <cell r="C1192">
            <v>72855</v>
          </cell>
          <cell r="D1192" t="str">
            <v>Rent Expense-Ground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</row>
        <row r="1193">
          <cell r="A1193" t="str">
            <v>6262072870</v>
          </cell>
          <cell r="B1193">
            <v>62620</v>
          </cell>
          <cell r="C1193">
            <v>72870</v>
          </cell>
          <cell r="D1193" t="str">
            <v>Office Rent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</row>
        <row r="1194">
          <cell r="A1194" t="str">
            <v>6262076010</v>
          </cell>
          <cell r="B1194">
            <v>62620</v>
          </cell>
          <cell r="C1194">
            <v>76010</v>
          </cell>
          <cell r="D1194" t="str">
            <v>Tenant Alterations</v>
          </cell>
          <cell r="E1194">
            <v>0</v>
          </cell>
          <cell r="F1194">
            <v>0</v>
          </cell>
          <cell r="G1194">
            <v>0</v>
          </cell>
          <cell r="H1194">
            <v>6165.09</v>
          </cell>
          <cell r="I1194">
            <v>6165.09</v>
          </cell>
          <cell r="J1194">
            <v>0</v>
          </cell>
        </row>
        <row r="1195">
          <cell r="A1195" t="str">
            <v>6262076040</v>
          </cell>
          <cell r="B1195">
            <v>62620</v>
          </cell>
          <cell r="C1195">
            <v>76040</v>
          </cell>
          <cell r="D1195" t="str">
            <v>HVAC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</row>
        <row r="1196">
          <cell r="A1196" t="str">
            <v>6262076051</v>
          </cell>
          <cell r="B1196">
            <v>62620</v>
          </cell>
          <cell r="C1196">
            <v>76051</v>
          </cell>
          <cell r="D1196" t="str">
            <v>Cleaning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</row>
        <row r="1197">
          <cell r="A1197" t="str">
            <v>6262076054</v>
          </cell>
          <cell r="B1197">
            <v>62620</v>
          </cell>
          <cell r="C1197">
            <v>76054</v>
          </cell>
          <cell r="D1197" t="str">
            <v>Bldg Maintenance &amp; Repair</v>
          </cell>
          <cell r="E1197">
            <v>0</v>
          </cell>
          <cell r="F1197">
            <v>30000</v>
          </cell>
          <cell r="G1197">
            <v>-30000</v>
          </cell>
          <cell r="H1197">
            <v>84120.02</v>
          </cell>
          <cell r="I1197">
            <v>84120.02</v>
          </cell>
          <cell r="J1197">
            <v>0</v>
          </cell>
        </row>
        <row r="1198">
          <cell r="A1198" t="str">
            <v>6262076060</v>
          </cell>
          <cell r="B1198">
            <v>62620</v>
          </cell>
          <cell r="C1198">
            <v>76060</v>
          </cell>
          <cell r="D1198" t="str">
            <v>Asbestos Abatement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</row>
        <row r="1199">
          <cell r="A1199" t="str">
            <v>6262076071</v>
          </cell>
          <cell r="B1199">
            <v>62620</v>
          </cell>
          <cell r="C1199">
            <v>76071</v>
          </cell>
          <cell r="D1199" t="str">
            <v>Reimaging Maintenance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</row>
        <row r="1200">
          <cell r="A1200" t="str">
            <v>6262076090</v>
          </cell>
          <cell r="B1200">
            <v>62620</v>
          </cell>
          <cell r="C1200">
            <v>76090</v>
          </cell>
          <cell r="D1200" t="str">
            <v>Parking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</row>
        <row r="1201">
          <cell r="A1201" t="str">
            <v>6262077001</v>
          </cell>
          <cell r="B1201">
            <v>62620</v>
          </cell>
          <cell r="C1201">
            <v>77001</v>
          </cell>
          <cell r="D1201" t="str">
            <v>Grounds Maintenance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</row>
        <row r="1202">
          <cell r="A1202" t="str">
            <v>6262077022</v>
          </cell>
          <cell r="B1202">
            <v>62620</v>
          </cell>
          <cell r="C1202">
            <v>77022</v>
          </cell>
          <cell r="D1202" t="str">
            <v>Landscaping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</row>
        <row r="1203">
          <cell r="A1203" t="str">
            <v>6262084200</v>
          </cell>
          <cell r="B1203">
            <v>62620</v>
          </cell>
          <cell r="C1203">
            <v>84200</v>
          </cell>
          <cell r="D1203" t="str">
            <v>Marketing-Other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</row>
        <row r="1204">
          <cell r="A1204" t="str">
            <v>6262084240</v>
          </cell>
          <cell r="B1204">
            <v>62620</v>
          </cell>
          <cell r="C1204">
            <v>84240</v>
          </cell>
          <cell r="D1204" t="str">
            <v>Marketing Leasing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</row>
        <row r="1205">
          <cell r="A1205" t="str">
            <v>6262084242</v>
          </cell>
          <cell r="B1205">
            <v>62620</v>
          </cell>
          <cell r="C1205">
            <v>84242</v>
          </cell>
          <cell r="D1205" t="str">
            <v>Marketing-Subsidy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</row>
        <row r="1206">
          <cell r="A1206" t="str">
            <v>6262084243</v>
          </cell>
          <cell r="B1206">
            <v>62620</v>
          </cell>
          <cell r="C1206">
            <v>84243</v>
          </cell>
          <cell r="D1206" t="str">
            <v>Marketing Coordination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</row>
        <row r="1207">
          <cell r="A1207" t="str">
            <v>6262084244</v>
          </cell>
          <cell r="B1207">
            <v>62620</v>
          </cell>
          <cell r="C1207">
            <v>84244</v>
          </cell>
          <cell r="D1207" t="str">
            <v>Marketing-Net Required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</row>
        <row r="1208">
          <cell r="A1208" t="str">
            <v>6262084265</v>
          </cell>
          <cell r="B1208">
            <v>62620</v>
          </cell>
          <cell r="C1208">
            <v>84265</v>
          </cell>
          <cell r="D1208" t="str">
            <v>Marketing -TR-Non-Reimb.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</row>
        <row r="1209">
          <cell r="A1209" t="str">
            <v>6262088037</v>
          </cell>
          <cell r="B1209">
            <v>62620</v>
          </cell>
          <cell r="C1209">
            <v>88037</v>
          </cell>
          <cell r="D1209" t="str">
            <v>Marketing - Leasing Office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</row>
        <row r="1210">
          <cell r="A1210" t="str">
            <v>6262085016</v>
          </cell>
          <cell r="B1210">
            <v>62620</v>
          </cell>
          <cell r="C1210">
            <v>85016</v>
          </cell>
          <cell r="D1210" t="str">
            <v>Prof Svc-Attorney Outside</v>
          </cell>
          <cell r="E1210">
            <v>171.12</v>
          </cell>
          <cell r="F1210">
            <v>0</v>
          </cell>
          <cell r="G1210">
            <v>171.12</v>
          </cell>
          <cell r="H1210">
            <v>1456.94</v>
          </cell>
          <cell r="I1210">
            <v>1456.94</v>
          </cell>
          <cell r="J1210">
            <v>0</v>
          </cell>
        </row>
        <row r="1211">
          <cell r="A1211" t="str">
            <v>6262085022</v>
          </cell>
          <cell r="B1211">
            <v>62620</v>
          </cell>
          <cell r="C1211">
            <v>85022</v>
          </cell>
          <cell r="D1211" t="str">
            <v>Prof Svc-Audit/Acctng</v>
          </cell>
          <cell r="E1211">
            <v>0</v>
          </cell>
          <cell r="F1211">
            <v>0</v>
          </cell>
          <cell r="G1211">
            <v>0</v>
          </cell>
          <cell r="H1211">
            <v>357.77</v>
          </cell>
          <cell r="I1211">
            <v>357.77</v>
          </cell>
          <cell r="J1211">
            <v>0</v>
          </cell>
        </row>
        <row r="1212">
          <cell r="A1212" t="str">
            <v>6262085065</v>
          </cell>
          <cell r="B1212">
            <v>62620</v>
          </cell>
          <cell r="C1212">
            <v>85065</v>
          </cell>
          <cell r="D1212" t="str">
            <v>Professional Services Other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</row>
        <row r="1213">
          <cell r="A1213" t="str">
            <v>6262085500</v>
          </cell>
          <cell r="B1213">
            <v>62620</v>
          </cell>
          <cell r="C1213">
            <v>85500</v>
          </cell>
          <cell r="D1213" t="str">
            <v>Consulting Services</v>
          </cell>
          <cell r="E1213">
            <v>0</v>
          </cell>
          <cell r="F1213">
            <v>227.08</v>
          </cell>
          <cell r="G1213">
            <v>-227.08</v>
          </cell>
          <cell r="H1213">
            <v>2725</v>
          </cell>
          <cell r="I1213">
            <v>2725</v>
          </cell>
          <cell r="J1213">
            <v>0</v>
          </cell>
        </row>
        <row r="1214">
          <cell r="A1214" t="str">
            <v>6262085566</v>
          </cell>
          <cell r="B1214">
            <v>62620</v>
          </cell>
          <cell r="C1214">
            <v>85566</v>
          </cell>
          <cell r="D1214" t="str">
            <v>Management Fee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</row>
        <row r="1215">
          <cell r="A1215" t="str">
            <v>6262085581</v>
          </cell>
          <cell r="B1215">
            <v>62620</v>
          </cell>
          <cell r="C1215">
            <v>85581</v>
          </cell>
          <cell r="D1215" t="str">
            <v>Bldg Admin- Salaries</v>
          </cell>
          <cell r="E1215">
            <v>860.11</v>
          </cell>
          <cell r="F1215">
            <v>859.83</v>
          </cell>
          <cell r="G1215">
            <v>0.27999999999997299</v>
          </cell>
          <cell r="H1215">
            <v>10734.3</v>
          </cell>
          <cell r="I1215">
            <v>10734.3</v>
          </cell>
          <cell r="J1215">
            <v>0</v>
          </cell>
        </row>
        <row r="1216">
          <cell r="A1216" t="str">
            <v>6262085583</v>
          </cell>
          <cell r="B1216">
            <v>62620</v>
          </cell>
          <cell r="C1216">
            <v>85583</v>
          </cell>
          <cell r="D1216" t="str">
            <v>Bldg Admin-Office Exp.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</row>
        <row r="1217">
          <cell r="A1217" t="str">
            <v>6262085530</v>
          </cell>
          <cell r="B1217">
            <v>62620</v>
          </cell>
          <cell r="C1217">
            <v>85530</v>
          </cell>
          <cell r="D1217" t="str">
            <v>Bldg Admin - Office Exp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</row>
        <row r="1218">
          <cell r="A1218" t="str">
            <v>6262086012</v>
          </cell>
          <cell r="B1218">
            <v>62620</v>
          </cell>
          <cell r="C1218">
            <v>86012</v>
          </cell>
          <cell r="D1218" t="str">
            <v>Regional Employee Parking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</row>
        <row r="1219">
          <cell r="A1219" t="str">
            <v>6262086037</v>
          </cell>
          <cell r="B1219">
            <v>62620</v>
          </cell>
          <cell r="C1219">
            <v>86037</v>
          </cell>
          <cell r="D1219" t="str">
            <v>Travel &amp; Entertainment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</row>
        <row r="1220">
          <cell r="A1220" t="str">
            <v>6262083050</v>
          </cell>
          <cell r="B1220">
            <v>62620</v>
          </cell>
          <cell r="C1220">
            <v>83050</v>
          </cell>
          <cell r="D1220" t="str">
            <v>Regional Employee Travel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</row>
        <row r="1221">
          <cell r="A1221" t="str">
            <v>6262086510</v>
          </cell>
          <cell r="B1221">
            <v>62620</v>
          </cell>
          <cell r="C1221">
            <v>86510</v>
          </cell>
          <cell r="D1221" t="str">
            <v>Leasing Admin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</row>
        <row r="1222">
          <cell r="A1222" t="str">
            <v>6262086537</v>
          </cell>
          <cell r="B1222">
            <v>62620</v>
          </cell>
          <cell r="C1222">
            <v>86537</v>
          </cell>
          <cell r="D1222" t="str">
            <v>Fees-Credit Reports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</row>
        <row r="1223">
          <cell r="A1223" t="str">
            <v>6262086566</v>
          </cell>
          <cell r="B1223">
            <v>62620</v>
          </cell>
          <cell r="C1223">
            <v>86566</v>
          </cell>
          <cell r="D1223" t="str">
            <v>Insurance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</row>
        <row r="1224">
          <cell r="A1224" t="str">
            <v>6262086955</v>
          </cell>
          <cell r="B1224">
            <v>62620</v>
          </cell>
          <cell r="C1224">
            <v>86955</v>
          </cell>
          <cell r="D1224" t="str">
            <v>Regional Temporary Labor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</row>
        <row r="1225">
          <cell r="A1225" t="str">
            <v>6262086985</v>
          </cell>
          <cell r="B1225">
            <v>62620</v>
          </cell>
          <cell r="C1225">
            <v>86985</v>
          </cell>
          <cell r="D1225" t="str">
            <v>Purchased Svcs _ Other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</row>
        <row r="1226">
          <cell r="A1226" t="str">
            <v>6262086880</v>
          </cell>
          <cell r="B1226">
            <v>62620</v>
          </cell>
          <cell r="C1226">
            <v>86880</v>
          </cell>
          <cell r="D1226" t="str">
            <v>Telephone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</row>
        <row r="1227">
          <cell r="A1227" t="str">
            <v>6262088710</v>
          </cell>
          <cell r="B1227">
            <v>62620</v>
          </cell>
          <cell r="C1227">
            <v>88710</v>
          </cell>
          <cell r="D1227" t="str">
            <v>Losses-Bad Debts</v>
          </cell>
          <cell r="E1227">
            <v>0</v>
          </cell>
          <cell r="F1227">
            <v>0.08</v>
          </cell>
          <cell r="G1227">
            <v>-0.08</v>
          </cell>
          <cell r="H1227">
            <v>11048.64</v>
          </cell>
          <cell r="I1227">
            <v>11048.64</v>
          </cell>
          <cell r="J1227">
            <v>0</v>
          </cell>
        </row>
        <row r="1228">
          <cell r="A1228" t="str">
            <v>6262088711</v>
          </cell>
          <cell r="B1228">
            <v>62620</v>
          </cell>
          <cell r="C1228">
            <v>88711</v>
          </cell>
          <cell r="D1228" t="str">
            <v>Losses-Bad Debts- FASB 13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</row>
        <row r="1229">
          <cell r="A1229" t="str">
            <v>6262088785</v>
          </cell>
          <cell r="B1229">
            <v>62620</v>
          </cell>
          <cell r="C1229">
            <v>88785</v>
          </cell>
          <cell r="D1229" t="str">
            <v>Losses-Uninsured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</row>
        <row r="1230">
          <cell r="A1230" t="str">
            <v>6262088847</v>
          </cell>
          <cell r="B1230">
            <v>62620</v>
          </cell>
          <cell r="C1230">
            <v>88847</v>
          </cell>
          <cell r="D1230" t="str">
            <v>Expenses - Other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</row>
        <row r="1231">
          <cell r="A1231" t="str">
            <v>6262088866</v>
          </cell>
          <cell r="B1231">
            <v>62620</v>
          </cell>
          <cell r="C1231">
            <v>88866</v>
          </cell>
          <cell r="D1231" t="str">
            <v>Legal Settlements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</row>
        <row r="1232">
          <cell r="A1232" t="str">
            <v>6262088870</v>
          </cell>
          <cell r="B1232">
            <v>62620</v>
          </cell>
          <cell r="C1232">
            <v>88870</v>
          </cell>
          <cell r="D1232" t="str">
            <v>Backside Dist-O/S Partner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</row>
        <row r="1233">
          <cell r="A1233" t="str">
            <v>6262088889</v>
          </cell>
          <cell r="B1233">
            <v>62620</v>
          </cell>
          <cell r="C1233">
            <v>88889</v>
          </cell>
          <cell r="D1233" t="str">
            <v>Security/Safety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</row>
        <row r="1234">
          <cell r="A1234" t="str">
            <v>6262089776</v>
          </cell>
          <cell r="B1234">
            <v>62620</v>
          </cell>
          <cell r="C1234">
            <v>89776</v>
          </cell>
          <cell r="D1234" t="str">
            <v>Assmt Dist Taxes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</row>
        <row r="1235">
          <cell r="A1235" t="str">
            <v>6262089787</v>
          </cell>
          <cell r="B1235">
            <v>62620</v>
          </cell>
          <cell r="C1235">
            <v>89787</v>
          </cell>
          <cell r="D1235" t="str">
            <v>Property Tax Exp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</row>
        <row r="1236">
          <cell r="A1236" t="str">
            <v>6262089510</v>
          </cell>
          <cell r="B1236">
            <v>62620</v>
          </cell>
          <cell r="C1236">
            <v>89510</v>
          </cell>
          <cell r="D1236" t="str">
            <v>Interest Expense - General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</row>
        <row r="1237">
          <cell r="A1237" t="str">
            <v>6262089511</v>
          </cell>
          <cell r="B1237">
            <v>62620</v>
          </cell>
          <cell r="C1237">
            <v>89511</v>
          </cell>
          <cell r="D1237" t="str">
            <v>Interest Expense - Swap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</row>
        <row r="1238">
          <cell r="A1238" t="str">
            <v>6262089512</v>
          </cell>
          <cell r="B1238">
            <v>62620</v>
          </cell>
          <cell r="C1238">
            <v>89512</v>
          </cell>
          <cell r="D1238" t="str">
            <v>Interest Expense - Accrual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</row>
        <row r="1239">
          <cell r="A1239" t="str">
            <v>6262089528</v>
          </cell>
          <cell r="B1239">
            <v>62620</v>
          </cell>
          <cell r="C1239">
            <v>89528</v>
          </cell>
          <cell r="D1239" t="str">
            <v>Interest Expense - Loan Fees-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</row>
        <row r="1240">
          <cell r="A1240" t="str">
            <v>6262089529</v>
          </cell>
          <cell r="B1240">
            <v>62620</v>
          </cell>
          <cell r="C1240">
            <v>89529</v>
          </cell>
          <cell r="D1240" t="str">
            <v>Interest Expense - Loan Fee A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</row>
        <row r="1241">
          <cell r="A1241" t="str">
            <v>6262089567</v>
          </cell>
          <cell r="B1241">
            <v>62620</v>
          </cell>
          <cell r="C1241">
            <v>89567</v>
          </cell>
          <cell r="D1241" t="str">
            <v>Interest Expense - TIC/Partne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</row>
        <row r="1242">
          <cell r="A1242" t="str">
            <v>6262085058</v>
          </cell>
          <cell r="B1242">
            <v>62620</v>
          </cell>
          <cell r="C1242">
            <v>85058</v>
          </cell>
          <cell r="D1242" t="str">
            <v>Legal Fee Amort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</row>
        <row r="1243">
          <cell r="A1243" t="str">
            <v>6262086513</v>
          </cell>
          <cell r="B1243">
            <v>62620</v>
          </cell>
          <cell r="C1243">
            <v>86513</v>
          </cell>
          <cell r="D1243" t="str">
            <v>Leasing Commission Amort</v>
          </cell>
          <cell r="E1243">
            <v>0</v>
          </cell>
          <cell r="F1243">
            <v>0</v>
          </cell>
          <cell r="G1243">
            <v>0</v>
          </cell>
          <cell r="H1243">
            <v>774.79</v>
          </cell>
          <cell r="I1243">
            <v>774.79</v>
          </cell>
          <cell r="J1243">
            <v>0</v>
          </cell>
        </row>
        <row r="1244">
          <cell r="A1244" t="str">
            <v>6262086519</v>
          </cell>
          <cell r="B1244">
            <v>62620</v>
          </cell>
          <cell r="C1244">
            <v>86519</v>
          </cell>
          <cell r="D1244" t="str">
            <v>Fees-Appraisal Amort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</row>
        <row r="1245">
          <cell r="A1245" t="str">
            <v>6262088770</v>
          </cell>
          <cell r="B1245">
            <v>62620</v>
          </cell>
          <cell r="C1245">
            <v>88770</v>
          </cell>
          <cell r="D1245" t="str">
            <v>Losses-Prop Abandon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</row>
        <row r="1246">
          <cell r="A1246" t="str">
            <v>6262088862</v>
          </cell>
          <cell r="B1246">
            <v>62620</v>
          </cell>
          <cell r="C1246">
            <v>88862</v>
          </cell>
          <cell r="D1246" t="str">
            <v>Lease Buy-Out Amort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</row>
        <row r="1247">
          <cell r="A1247" t="str">
            <v>6262088874</v>
          </cell>
          <cell r="B1247">
            <v>62620</v>
          </cell>
          <cell r="C1247">
            <v>88874</v>
          </cell>
          <cell r="D1247" t="str">
            <v>Organization Cost Amort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</row>
        <row r="1248">
          <cell r="A1248" t="str">
            <v>6262089910</v>
          </cell>
          <cell r="B1248">
            <v>62620</v>
          </cell>
          <cell r="C1248">
            <v>89910</v>
          </cell>
          <cell r="D1248" t="str">
            <v>Depreciation</v>
          </cell>
          <cell r="E1248">
            <v>0</v>
          </cell>
          <cell r="F1248">
            <v>1124.3900000000001</v>
          </cell>
          <cell r="G1248">
            <v>-1124.3900000000001</v>
          </cell>
          <cell r="H1248">
            <v>14432.22</v>
          </cell>
          <cell r="I1248">
            <v>14432.22</v>
          </cell>
          <cell r="J1248">
            <v>0</v>
          </cell>
        </row>
        <row r="1249">
          <cell r="A1249" t="str">
            <v>6262089548</v>
          </cell>
          <cell r="B1249">
            <v>62620</v>
          </cell>
          <cell r="C1249">
            <v>89548</v>
          </cell>
          <cell r="D1249" t="str">
            <v>Other Amortized Cost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 Bluffs"/>
      <sheetName val="Cherry Orchard"/>
      <sheetName val="Commons"/>
      <sheetName val="Crossroads"/>
      <sheetName val="Culver Plaza"/>
      <sheetName val="Executive Park"/>
      <sheetName val="The Square"/>
      <sheetName val="Lakeside"/>
      <sheetName val="Sand Canyon"/>
      <sheetName val="University Center"/>
      <sheetName val="Walnut Village"/>
      <sheetName val="Westpark"/>
      <sheetName val="Woodbridge"/>
      <sheetName val="IRPC"/>
      <sheetName val="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2">
          <cell r="A2" t="str">
            <v>6211541010</v>
          </cell>
          <cell r="B2">
            <v>62115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6211541040</v>
          </cell>
          <cell r="B3">
            <v>62115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6211541050</v>
          </cell>
          <cell r="B4">
            <v>62115</v>
          </cell>
          <cell r="C4">
            <v>41050</v>
          </cell>
          <cell r="D4" t="str">
            <v>Rental Income - Fixed</v>
          </cell>
          <cell r="E4">
            <v>-32833.660000000003</v>
          </cell>
          <cell r="F4">
            <v>-32833.660000000003</v>
          </cell>
          <cell r="G4">
            <v>0</v>
          </cell>
          <cell r="H4">
            <v>-503389.97</v>
          </cell>
          <cell r="I4">
            <v>-503389.97</v>
          </cell>
          <cell r="J4">
            <v>0</v>
          </cell>
        </row>
        <row r="5">
          <cell r="A5" t="str">
            <v>6211541074</v>
          </cell>
          <cell r="B5">
            <v>62115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6211541082</v>
          </cell>
          <cell r="B6">
            <v>62115</v>
          </cell>
          <cell r="C6">
            <v>41082</v>
          </cell>
          <cell r="D6" t="str">
            <v>Rental Income - Operating Exp</v>
          </cell>
          <cell r="E6">
            <v>-9283.9</v>
          </cell>
          <cell r="F6">
            <v>-15227.15</v>
          </cell>
          <cell r="G6">
            <v>5943.25</v>
          </cell>
          <cell r="H6">
            <v>-182725.8</v>
          </cell>
          <cell r="I6">
            <v>-182725.8</v>
          </cell>
          <cell r="J6">
            <v>0</v>
          </cell>
        </row>
        <row r="7">
          <cell r="A7" t="str">
            <v>6211544610</v>
          </cell>
          <cell r="B7">
            <v>62115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6211545071</v>
          </cell>
          <cell r="B8">
            <v>62115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6211545010</v>
          </cell>
          <cell r="B9">
            <v>62115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6211545046</v>
          </cell>
          <cell r="B10">
            <v>62115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6211545070</v>
          </cell>
          <cell r="B11">
            <v>62115</v>
          </cell>
          <cell r="C11">
            <v>45070</v>
          </cell>
          <cell r="D11" t="str">
            <v>Other Income</v>
          </cell>
          <cell r="E11">
            <v>0</v>
          </cell>
          <cell r="F11">
            <v>0</v>
          </cell>
          <cell r="G11">
            <v>0</v>
          </cell>
          <cell r="H11">
            <v>-547</v>
          </cell>
          <cell r="I11">
            <v>-547</v>
          </cell>
          <cell r="J11">
            <v>0</v>
          </cell>
        </row>
        <row r="12">
          <cell r="A12" t="str">
            <v>6211541060</v>
          </cell>
          <cell r="B12">
            <v>62115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1143.5</v>
          </cell>
          <cell r="G12">
            <v>-1143.5</v>
          </cell>
          <cell r="H12">
            <v>13722</v>
          </cell>
          <cell r="I12">
            <v>13722</v>
          </cell>
          <cell r="J12">
            <v>0</v>
          </cell>
        </row>
        <row r="13">
          <cell r="A13" t="str">
            <v>6211544870</v>
          </cell>
          <cell r="B13">
            <v>62115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-125</v>
          </cell>
          <cell r="I13">
            <v>-125</v>
          </cell>
          <cell r="J13">
            <v>0</v>
          </cell>
        </row>
        <row r="14">
          <cell r="A14" t="str">
            <v>6211552542</v>
          </cell>
          <cell r="B14">
            <v>62115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6211572710</v>
          </cell>
          <cell r="B15">
            <v>62115</v>
          </cell>
          <cell r="C15">
            <v>72710</v>
          </cell>
          <cell r="D15" t="str">
            <v>Utilities - Electricity</v>
          </cell>
          <cell r="E15">
            <v>300</v>
          </cell>
          <cell r="F15">
            <v>408</v>
          </cell>
          <cell r="G15">
            <v>-108</v>
          </cell>
          <cell r="H15">
            <v>5193.9399999999996</v>
          </cell>
          <cell r="I15">
            <v>5193.9399999999996</v>
          </cell>
          <cell r="J15">
            <v>0</v>
          </cell>
        </row>
        <row r="16">
          <cell r="A16" t="str">
            <v>6211572740</v>
          </cell>
          <cell r="B16">
            <v>62115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6211572770</v>
          </cell>
          <cell r="B17">
            <v>62115</v>
          </cell>
          <cell r="C17">
            <v>72770</v>
          </cell>
          <cell r="D17" t="str">
            <v>Utilities - Water</v>
          </cell>
          <cell r="E17">
            <v>161.78</v>
          </cell>
          <cell r="F17">
            <v>130</v>
          </cell>
          <cell r="G17">
            <v>31.78</v>
          </cell>
          <cell r="H17">
            <v>5249.98</v>
          </cell>
          <cell r="I17">
            <v>5249.98</v>
          </cell>
          <cell r="J17">
            <v>0</v>
          </cell>
        </row>
        <row r="18">
          <cell r="A18" t="str">
            <v>6211576000</v>
          </cell>
          <cell r="B18">
            <v>62115</v>
          </cell>
          <cell r="C18">
            <v>76000</v>
          </cell>
          <cell r="D18" t="str">
            <v>Bldg Maintenance &amp; Repair</v>
          </cell>
          <cell r="E18">
            <v>50</v>
          </cell>
          <cell r="F18">
            <v>82.4</v>
          </cell>
          <cell r="G18">
            <v>-32.4</v>
          </cell>
          <cell r="H18">
            <v>18606.27</v>
          </cell>
          <cell r="I18">
            <v>18606.27</v>
          </cell>
          <cell r="J18">
            <v>0</v>
          </cell>
        </row>
        <row r="19">
          <cell r="A19" t="str">
            <v>6211576020</v>
          </cell>
          <cell r="B19">
            <v>62115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6211576034</v>
          </cell>
          <cell r="B20">
            <v>62115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6211576050</v>
          </cell>
          <cell r="B21">
            <v>62115</v>
          </cell>
          <cell r="C21">
            <v>76050</v>
          </cell>
          <cell r="D21" t="str">
            <v>Cleaning Expense</v>
          </cell>
          <cell r="E21">
            <v>1196.71</v>
          </cell>
          <cell r="F21">
            <v>1186.21</v>
          </cell>
          <cell r="G21">
            <v>10.5</v>
          </cell>
          <cell r="H21">
            <v>16997.22</v>
          </cell>
          <cell r="I21">
            <v>16997.22</v>
          </cell>
          <cell r="J21">
            <v>0</v>
          </cell>
        </row>
        <row r="22">
          <cell r="A22" t="str">
            <v>6211576056</v>
          </cell>
          <cell r="B22">
            <v>62115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6211576070</v>
          </cell>
          <cell r="B23">
            <v>62115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6211576091</v>
          </cell>
          <cell r="B24">
            <v>62115</v>
          </cell>
          <cell r="C24">
            <v>76091</v>
          </cell>
          <cell r="D24" t="str">
            <v>Parking Maintenance</v>
          </cell>
          <cell r="E24">
            <v>1575</v>
          </cell>
          <cell r="F24">
            <v>1121.3699999999999</v>
          </cell>
          <cell r="G24">
            <v>453.63</v>
          </cell>
          <cell r="H24">
            <v>17721.939999999999</v>
          </cell>
          <cell r="I24">
            <v>17721.939999999999</v>
          </cell>
          <cell r="J24">
            <v>0</v>
          </cell>
        </row>
        <row r="25">
          <cell r="A25" t="str">
            <v>6211577000</v>
          </cell>
          <cell r="B25">
            <v>62115</v>
          </cell>
          <cell r="C25">
            <v>77000</v>
          </cell>
          <cell r="D25" t="str">
            <v>Grounds Maintenance</v>
          </cell>
          <cell r="E25">
            <v>232.09</v>
          </cell>
          <cell r="F25">
            <v>140.55000000000001</v>
          </cell>
          <cell r="G25">
            <v>91.54</v>
          </cell>
          <cell r="H25">
            <v>19704.419999999998</v>
          </cell>
          <cell r="I25">
            <v>19704.419999999998</v>
          </cell>
          <cell r="J25">
            <v>0</v>
          </cell>
        </row>
        <row r="26">
          <cell r="A26" t="str">
            <v>6211577053</v>
          </cell>
          <cell r="B26">
            <v>62115</v>
          </cell>
          <cell r="C26">
            <v>77053</v>
          </cell>
          <cell r="D26" t="str">
            <v>Landscaping</v>
          </cell>
          <cell r="E26">
            <v>1074</v>
          </cell>
          <cell r="F26">
            <v>1194.8599999999999</v>
          </cell>
          <cell r="G26">
            <v>-120.86</v>
          </cell>
          <cell r="H26">
            <v>25844.98</v>
          </cell>
          <cell r="I26">
            <v>25844.98</v>
          </cell>
          <cell r="J26">
            <v>0</v>
          </cell>
        </row>
        <row r="27">
          <cell r="A27" t="str">
            <v>6211578020</v>
          </cell>
          <cell r="B27">
            <v>62115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6211584264</v>
          </cell>
          <cell r="B28">
            <v>62115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6211585555</v>
          </cell>
          <cell r="B29">
            <v>62115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6211585584</v>
          </cell>
          <cell r="B30">
            <v>62115</v>
          </cell>
          <cell r="C30">
            <v>85584</v>
          </cell>
          <cell r="D30" t="str">
            <v>Bldg Admin-Office Costs</v>
          </cell>
          <cell r="E30">
            <v>169.04</v>
          </cell>
          <cell r="F30">
            <v>262.83</v>
          </cell>
          <cell r="G30">
            <v>-93.79</v>
          </cell>
          <cell r="H30">
            <v>3363.28</v>
          </cell>
          <cell r="I30">
            <v>3363.28</v>
          </cell>
          <cell r="J30">
            <v>0</v>
          </cell>
        </row>
        <row r="31">
          <cell r="A31" t="str">
            <v>6211585582</v>
          </cell>
          <cell r="B31">
            <v>62115</v>
          </cell>
          <cell r="C31">
            <v>85582</v>
          </cell>
          <cell r="D31" t="str">
            <v>Bldg Admin-Salaries</v>
          </cell>
          <cell r="E31">
            <v>1231.8599999999999</v>
          </cell>
          <cell r="F31">
            <v>1232.08</v>
          </cell>
          <cell r="G31">
            <v>-0.22000000000002701</v>
          </cell>
          <cell r="H31">
            <v>15723.8</v>
          </cell>
          <cell r="I31">
            <v>15723.8</v>
          </cell>
          <cell r="J31">
            <v>0</v>
          </cell>
        </row>
        <row r="32">
          <cell r="A32" t="str">
            <v>6211586564</v>
          </cell>
          <cell r="B32">
            <v>62115</v>
          </cell>
          <cell r="C32">
            <v>86564</v>
          </cell>
          <cell r="D32" t="str">
            <v>Insurance</v>
          </cell>
          <cell r="E32">
            <v>742</v>
          </cell>
          <cell r="F32">
            <v>741.25</v>
          </cell>
          <cell r="G32">
            <v>0.75</v>
          </cell>
          <cell r="H32">
            <v>8895</v>
          </cell>
          <cell r="I32">
            <v>8895</v>
          </cell>
          <cell r="J32">
            <v>0</v>
          </cell>
        </row>
        <row r="33">
          <cell r="A33" t="str">
            <v>6211588846</v>
          </cell>
          <cell r="B33">
            <v>62115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6211588890</v>
          </cell>
          <cell r="B34">
            <v>62115</v>
          </cell>
          <cell r="C34">
            <v>88890</v>
          </cell>
          <cell r="D34" t="str">
            <v>Security/Safety</v>
          </cell>
          <cell r="E34">
            <v>200.02</v>
          </cell>
          <cell r="F34">
            <v>210.02</v>
          </cell>
          <cell r="G34">
            <v>-10</v>
          </cell>
          <cell r="H34">
            <v>2828.29</v>
          </cell>
          <cell r="I34">
            <v>2828.29</v>
          </cell>
          <cell r="J34">
            <v>0</v>
          </cell>
        </row>
        <row r="35">
          <cell r="A35" t="str">
            <v>6211589775</v>
          </cell>
          <cell r="B35">
            <v>62115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6211589729</v>
          </cell>
          <cell r="B36">
            <v>62115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6211589786</v>
          </cell>
          <cell r="B37">
            <v>62115</v>
          </cell>
          <cell r="C37">
            <v>89786</v>
          </cell>
          <cell r="D37" t="str">
            <v>Property Tax Exp</v>
          </cell>
          <cell r="E37">
            <v>4020.66</v>
          </cell>
          <cell r="F37">
            <v>4020.66</v>
          </cell>
          <cell r="G37">
            <v>0</v>
          </cell>
          <cell r="H37">
            <v>48248</v>
          </cell>
          <cell r="I37">
            <v>48248</v>
          </cell>
          <cell r="J37">
            <v>0</v>
          </cell>
        </row>
        <row r="38">
          <cell r="A38" t="str">
            <v>6211571040</v>
          </cell>
          <cell r="B38">
            <v>62115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6211572701</v>
          </cell>
          <cell r="B39">
            <v>62115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283.62</v>
          </cell>
          <cell r="I39">
            <v>283.62</v>
          </cell>
          <cell r="J39">
            <v>0</v>
          </cell>
        </row>
        <row r="40">
          <cell r="A40" t="str">
            <v>6211572855</v>
          </cell>
          <cell r="B40">
            <v>62115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6211572870</v>
          </cell>
          <cell r="B41">
            <v>62115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6211576010</v>
          </cell>
          <cell r="B42">
            <v>62115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103</v>
          </cell>
          <cell r="I42">
            <v>103</v>
          </cell>
          <cell r="J42">
            <v>0</v>
          </cell>
        </row>
        <row r="43">
          <cell r="A43" t="str">
            <v>6211576040</v>
          </cell>
          <cell r="B43">
            <v>62115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6211576051</v>
          </cell>
          <cell r="B44">
            <v>62115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6211576054</v>
          </cell>
          <cell r="B45">
            <v>62115</v>
          </cell>
          <cell r="C45">
            <v>76054</v>
          </cell>
          <cell r="D45" t="str">
            <v>Bldg Maintenance &amp; Repair</v>
          </cell>
          <cell r="E45">
            <v>-200</v>
          </cell>
          <cell r="F45">
            <v>0</v>
          </cell>
          <cell r="G45">
            <v>-200</v>
          </cell>
          <cell r="H45">
            <v>5718.85</v>
          </cell>
          <cell r="I45">
            <v>5718.85</v>
          </cell>
          <cell r="J45">
            <v>0</v>
          </cell>
        </row>
        <row r="46">
          <cell r="A46" t="str">
            <v>6211576060</v>
          </cell>
          <cell r="B46">
            <v>62115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6211576071</v>
          </cell>
          <cell r="B47">
            <v>62115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392549</v>
          </cell>
          <cell r="I47">
            <v>392549</v>
          </cell>
          <cell r="J47">
            <v>0</v>
          </cell>
        </row>
        <row r="48">
          <cell r="A48" t="str">
            <v>6211576090</v>
          </cell>
          <cell r="B48">
            <v>62115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6211577001</v>
          </cell>
          <cell r="B49">
            <v>62115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6211577022</v>
          </cell>
          <cell r="B50">
            <v>62115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6211584200</v>
          </cell>
          <cell r="B51">
            <v>62115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6211584240</v>
          </cell>
          <cell r="B52">
            <v>62115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 t="str">
            <v>6211584242</v>
          </cell>
          <cell r="B53">
            <v>62115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6211584243</v>
          </cell>
          <cell r="B54">
            <v>62115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6211584244</v>
          </cell>
          <cell r="B55">
            <v>62115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6211584265</v>
          </cell>
          <cell r="B56">
            <v>62115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6211588037</v>
          </cell>
          <cell r="B57">
            <v>62115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6211585016</v>
          </cell>
          <cell r="B58">
            <v>62115</v>
          </cell>
          <cell r="C58">
            <v>85016</v>
          </cell>
          <cell r="D58" t="str">
            <v>Prof Svc-Attorney Outside</v>
          </cell>
          <cell r="E58">
            <v>1762.8</v>
          </cell>
          <cell r="F58">
            <v>0</v>
          </cell>
          <cell r="G58">
            <v>1762.8</v>
          </cell>
          <cell r="H58">
            <v>14548.75</v>
          </cell>
          <cell r="I58">
            <v>14548.75</v>
          </cell>
          <cell r="J58">
            <v>0</v>
          </cell>
        </row>
        <row r="59">
          <cell r="A59" t="str">
            <v>6211585022</v>
          </cell>
          <cell r="B59">
            <v>62115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1100.4000000000001</v>
          </cell>
          <cell r="I59">
            <v>1100.4000000000001</v>
          </cell>
          <cell r="J59">
            <v>0</v>
          </cell>
        </row>
        <row r="60">
          <cell r="A60" t="str">
            <v>6211585065</v>
          </cell>
          <cell r="B60">
            <v>62115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6211585500</v>
          </cell>
          <cell r="B61">
            <v>62115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6211585566</v>
          </cell>
          <cell r="B62">
            <v>62115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6211585581</v>
          </cell>
          <cell r="B63">
            <v>62115</v>
          </cell>
          <cell r="C63">
            <v>85581</v>
          </cell>
          <cell r="D63" t="str">
            <v>Bldg Admin- Salaries</v>
          </cell>
          <cell r="E63">
            <v>1078.95</v>
          </cell>
          <cell r="F63">
            <v>1079.17</v>
          </cell>
          <cell r="G63">
            <v>-0.22000000000002701</v>
          </cell>
          <cell r="H63">
            <v>13561.7</v>
          </cell>
          <cell r="I63">
            <v>13561.7</v>
          </cell>
          <cell r="J63">
            <v>0</v>
          </cell>
        </row>
        <row r="64">
          <cell r="A64" t="str">
            <v>6211585583</v>
          </cell>
          <cell r="B64">
            <v>62115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6211585530</v>
          </cell>
          <cell r="B65">
            <v>62115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6211586012</v>
          </cell>
          <cell r="B66">
            <v>62115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6211586037</v>
          </cell>
          <cell r="B67">
            <v>62115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6211583050</v>
          </cell>
          <cell r="B68">
            <v>62115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6211586510</v>
          </cell>
          <cell r="B69">
            <v>62115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6211586537</v>
          </cell>
          <cell r="B70">
            <v>62115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6211586566</v>
          </cell>
          <cell r="B71">
            <v>62115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6211586955</v>
          </cell>
          <cell r="B72">
            <v>62115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6211586985</v>
          </cell>
          <cell r="B73">
            <v>62115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6211586880</v>
          </cell>
          <cell r="B74">
            <v>62115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6211588710</v>
          </cell>
          <cell r="B75">
            <v>62115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1144.67</v>
          </cell>
          <cell r="G75">
            <v>-1144.67</v>
          </cell>
          <cell r="H75">
            <v>13736</v>
          </cell>
          <cell r="I75">
            <v>13736</v>
          </cell>
          <cell r="J75">
            <v>0</v>
          </cell>
        </row>
        <row r="76">
          <cell r="A76" t="str">
            <v>6211588711</v>
          </cell>
          <cell r="B76">
            <v>62115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6211588785</v>
          </cell>
          <cell r="B77">
            <v>62115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6211588847</v>
          </cell>
          <cell r="B78">
            <v>62115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6211588866</v>
          </cell>
          <cell r="B79">
            <v>62115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6211588870</v>
          </cell>
          <cell r="B80">
            <v>62115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6211588889</v>
          </cell>
          <cell r="B81">
            <v>62115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6211589776</v>
          </cell>
          <cell r="B82">
            <v>62115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6211589787</v>
          </cell>
          <cell r="B83">
            <v>62115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6211589510</v>
          </cell>
          <cell r="B84">
            <v>62115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6211589511</v>
          </cell>
          <cell r="B85">
            <v>62115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6211589512</v>
          </cell>
          <cell r="B86">
            <v>62115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6211589528</v>
          </cell>
          <cell r="B87">
            <v>62115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6211589529</v>
          </cell>
          <cell r="B88">
            <v>62115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6211589567</v>
          </cell>
          <cell r="B89">
            <v>62115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6211585058</v>
          </cell>
          <cell r="B90">
            <v>62115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6211586513</v>
          </cell>
          <cell r="B91">
            <v>62115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4777.2</v>
          </cell>
          <cell r="I91">
            <v>4777.2</v>
          </cell>
          <cell r="J91">
            <v>0</v>
          </cell>
        </row>
        <row r="92">
          <cell r="A92" t="str">
            <v>6211586519</v>
          </cell>
          <cell r="B92">
            <v>62115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6211588770</v>
          </cell>
          <cell r="B93">
            <v>62115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6211588862</v>
          </cell>
          <cell r="B94">
            <v>62115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6211588874</v>
          </cell>
          <cell r="B95">
            <v>62115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6211589910</v>
          </cell>
          <cell r="B96">
            <v>62115</v>
          </cell>
          <cell r="C96">
            <v>89910</v>
          </cell>
          <cell r="D96" t="str">
            <v>Depreciation</v>
          </cell>
          <cell r="E96">
            <v>0</v>
          </cell>
          <cell r="F96">
            <v>3595.74</v>
          </cell>
          <cell r="G96">
            <v>-3595.74</v>
          </cell>
          <cell r="H96">
            <v>42637.23</v>
          </cell>
          <cell r="I96">
            <v>42637.23</v>
          </cell>
          <cell r="J96">
            <v>0</v>
          </cell>
        </row>
        <row r="97">
          <cell r="A97" t="str">
            <v>6211589548</v>
          </cell>
          <cell r="B97">
            <v>62115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6211641010</v>
          </cell>
          <cell r="B98">
            <v>62116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6211641040</v>
          </cell>
          <cell r="B99">
            <v>62116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6211641050</v>
          </cell>
          <cell r="B100">
            <v>62116</v>
          </cell>
          <cell r="C100">
            <v>41050</v>
          </cell>
          <cell r="D100" t="str">
            <v>Rental Income - Fixed</v>
          </cell>
          <cell r="E100">
            <v>-14039.2</v>
          </cell>
          <cell r="F100">
            <v>0</v>
          </cell>
          <cell r="G100">
            <v>-14039.2</v>
          </cell>
          <cell r="H100">
            <v>-430670.04</v>
          </cell>
          <cell r="I100">
            <v>-430670.04</v>
          </cell>
          <cell r="J100">
            <v>0</v>
          </cell>
        </row>
        <row r="101">
          <cell r="A101" t="str">
            <v>6211641074</v>
          </cell>
          <cell r="B101">
            <v>62116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 t="str">
            <v>6211641082</v>
          </cell>
          <cell r="B102">
            <v>62116</v>
          </cell>
          <cell r="C102">
            <v>41082</v>
          </cell>
          <cell r="D102" t="str">
            <v>Rental Income - Operating Exp</v>
          </cell>
          <cell r="E102">
            <v>-8184.25</v>
          </cell>
          <cell r="F102">
            <v>-9841.89</v>
          </cell>
          <cell r="G102">
            <v>1657.64</v>
          </cell>
          <cell r="H102">
            <v>-118102.68</v>
          </cell>
          <cell r="I102">
            <v>-118102.68</v>
          </cell>
          <cell r="J102">
            <v>0</v>
          </cell>
        </row>
        <row r="103">
          <cell r="A103" t="str">
            <v>6211644610</v>
          </cell>
          <cell r="B103">
            <v>62116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6211645071</v>
          </cell>
          <cell r="B104">
            <v>62116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6211645010</v>
          </cell>
          <cell r="B105">
            <v>62116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6211645046</v>
          </cell>
          <cell r="B106">
            <v>62116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6211645070</v>
          </cell>
          <cell r="B107">
            <v>62116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A108" t="str">
            <v>6211641060</v>
          </cell>
          <cell r="B108">
            <v>62116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914.58</v>
          </cell>
          <cell r="G108">
            <v>-914.58</v>
          </cell>
          <cell r="H108">
            <v>10975</v>
          </cell>
          <cell r="I108">
            <v>10975</v>
          </cell>
          <cell r="J108">
            <v>0</v>
          </cell>
        </row>
        <row r="109">
          <cell r="A109" t="str">
            <v>6211644870</v>
          </cell>
          <cell r="B109">
            <v>62116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6211652542</v>
          </cell>
          <cell r="B110">
            <v>62116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6211672710</v>
          </cell>
          <cell r="B111">
            <v>62116</v>
          </cell>
          <cell r="C111">
            <v>72710</v>
          </cell>
          <cell r="D111" t="str">
            <v>Utilities - Electricity</v>
          </cell>
          <cell r="E111">
            <v>419.98</v>
          </cell>
          <cell r="F111">
            <v>255</v>
          </cell>
          <cell r="G111">
            <v>164.98</v>
          </cell>
          <cell r="H111">
            <v>5600.01</v>
          </cell>
          <cell r="I111">
            <v>5600.01</v>
          </cell>
          <cell r="J111">
            <v>0</v>
          </cell>
        </row>
        <row r="112">
          <cell r="A112" t="str">
            <v>6211672740</v>
          </cell>
          <cell r="B112">
            <v>62116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6211672770</v>
          </cell>
          <cell r="B113">
            <v>62116</v>
          </cell>
          <cell r="C113">
            <v>72770</v>
          </cell>
          <cell r="D113" t="str">
            <v>Utilities - Water</v>
          </cell>
          <cell r="E113">
            <v>162.13999999999999</v>
          </cell>
          <cell r="F113">
            <v>93.6</v>
          </cell>
          <cell r="G113">
            <v>68.540000000000006</v>
          </cell>
          <cell r="H113">
            <v>2090.94</v>
          </cell>
          <cell r="I113">
            <v>2090.94</v>
          </cell>
          <cell r="J113">
            <v>0</v>
          </cell>
        </row>
        <row r="114">
          <cell r="A114" t="str">
            <v>6211676000</v>
          </cell>
          <cell r="B114">
            <v>62116</v>
          </cell>
          <cell r="C114">
            <v>76000</v>
          </cell>
          <cell r="D114" t="str">
            <v>Bldg Maintenance &amp; Repair</v>
          </cell>
          <cell r="E114">
            <v>10.82</v>
          </cell>
          <cell r="F114">
            <v>0</v>
          </cell>
          <cell r="G114">
            <v>10.82</v>
          </cell>
          <cell r="H114">
            <v>7136.41</v>
          </cell>
          <cell r="I114">
            <v>7136.41</v>
          </cell>
          <cell r="J114">
            <v>0</v>
          </cell>
        </row>
        <row r="115">
          <cell r="A115" t="str">
            <v>6211676020</v>
          </cell>
          <cell r="B115">
            <v>62116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6211676034</v>
          </cell>
          <cell r="B116">
            <v>62116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6211676050</v>
          </cell>
          <cell r="B117">
            <v>62116</v>
          </cell>
          <cell r="C117">
            <v>76050</v>
          </cell>
          <cell r="D117" t="str">
            <v>Cleaning Expense</v>
          </cell>
          <cell r="E117">
            <v>-1.52</v>
          </cell>
          <cell r="F117">
            <v>0</v>
          </cell>
          <cell r="G117">
            <v>-1.52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6211676056</v>
          </cell>
          <cell r="B118">
            <v>62116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6211676070</v>
          </cell>
          <cell r="B119">
            <v>62116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6211676091</v>
          </cell>
          <cell r="B120">
            <v>62116</v>
          </cell>
          <cell r="C120">
            <v>76091</v>
          </cell>
          <cell r="D120" t="str">
            <v>Parking Maintenance</v>
          </cell>
          <cell r="E120">
            <v>591.5</v>
          </cell>
          <cell r="F120">
            <v>609.25</v>
          </cell>
          <cell r="G120">
            <v>-17.75</v>
          </cell>
          <cell r="H120">
            <v>10511.06</v>
          </cell>
          <cell r="I120">
            <v>10511.06</v>
          </cell>
          <cell r="J120">
            <v>0</v>
          </cell>
        </row>
        <row r="121">
          <cell r="A121" t="str">
            <v>6211677000</v>
          </cell>
          <cell r="B121">
            <v>62116</v>
          </cell>
          <cell r="C121">
            <v>77000</v>
          </cell>
          <cell r="D121" t="str">
            <v>Grounds Maintenance</v>
          </cell>
          <cell r="E121">
            <v>365.36</v>
          </cell>
          <cell r="F121">
            <v>1968.86</v>
          </cell>
          <cell r="G121">
            <v>-1603.5</v>
          </cell>
          <cell r="H121">
            <v>15554.8</v>
          </cell>
          <cell r="I121">
            <v>15554.8</v>
          </cell>
          <cell r="J121">
            <v>0</v>
          </cell>
        </row>
        <row r="122">
          <cell r="A122" t="str">
            <v>6211677053</v>
          </cell>
          <cell r="B122">
            <v>62116</v>
          </cell>
          <cell r="C122">
            <v>77053</v>
          </cell>
          <cell r="D122" t="str">
            <v>Landscaping</v>
          </cell>
          <cell r="E122">
            <v>773.85</v>
          </cell>
          <cell r="F122">
            <v>823.86</v>
          </cell>
          <cell r="G122">
            <v>-50.01</v>
          </cell>
          <cell r="H122">
            <v>21854.77</v>
          </cell>
          <cell r="I122">
            <v>21854.77</v>
          </cell>
          <cell r="J122">
            <v>0</v>
          </cell>
        </row>
        <row r="123">
          <cell r="A123" t="str">
            <v>6211678020</v>
          </cell>
          <cell r="B123">
            <v>62116</v>
          </cell>
          <cell r="C123">
            <v>78020</v>
          </cell>
          <cell r="D123" t="str">
            <v>Amortized CAM Exp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</row>
        <row r="124">
          <cell r="A124" t="str">
            <v>6211684264</v>
          </cell>
          <cell r="B124">
            <v>62116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6211685555</v>
          </cell>
          <cell r="B125">
            <v>62116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6211685584</v>
          </cell>
          <cell r="B126">
            <v>62116</v>
          </cell>
          <cell r="C126">
            <v>85584</v>
          </cell>
          <cell r="D126" t="str">
            <v>Bldg Admin-Office Costs</v>
          </cell>
          <cell r="E126">
            <v>125.44</v>
          </cell>
          <cell r="F126">
            <v>195</v>
          </cell>
          <cell r="G126">
            <v>-69.56</v>
          </cell>
          <cell r="H126">
            <v>2340</v>
          </cell>
          <cell r="I126">
            <v>2340</v>
          </cell>
          <cell r="J126">
            <v>0</v>
          </cell>
        </row>
        <row r="127">
          <cell r="A127" t="str">
            <v>6211685582</v>
          </cell>
          <cell r="B127">
            <v>62116</v>
          </cell>
          <cell r="C127">
            <v>85582</v>
          </cell>
          <cell r="D127" t="str">
            <v>Bldg Admin-Salaries</v>
          </cell>
          <cell r="E127">
            <v>913.85</v>
          </cell>
          <cell r="F127">
            <v>914.17</v>
          </cell>
          <cell r="G127">
            <v>-0.319999999999936</v>
          </cell>
          <cell r="H127">
            <v>11666.7</v>
          </cell>
          <cell r="I127">
            <v>11666.7</v>
          </cell>
          <cell r="J127">
            <v>0</v>
          </cell>
        </row>
        <row r="128">
          <cell r="A128" t="str">
            <v>6211686564</v>
          </cell>
          <cell r="B128">
            <v>62116</v>
          </cell>
          <cell r="C128">
            <v>86564</v>
          </cell>
          <cell r="D128" t="str">
            <v>Insurance</v>
          </cell>
          <cell r="E128">
            <v>462</v>
          </cell>
          <cell r="F128">
            <v>462.34</v>
          </cell>
          <cell r="G128">
            <v>-0.33999999999997499</v>
          </cell>
          <cell r="H128">
            <v>5548</v>
          </cell>
          <cell r="I128">
            <v>5548</v>
          </cell>
          <cell r="J128">
            <v>0</v>
          </cell>
        </row>
        <row r="129">
          <cell r="A129" t="str">
            <v>6211688846</v>
          </cell>
          <cell r="B129">
            <v>62116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6211688890</v>
          </cell>
          <cell r="B130">
            <v>62116</v>
          </cell>
          <cell r="C130">
            <v>88890</v>
          </cell>
          <cell r="D130" t="str">
            <v>Security/Safety</v>
          </cell>
          <cell r="E130">
            <v>573.82000000000005</v>
          </cell>
          <cell r="F130">
            <v>210.02</v>
          </cell>
          <cell r="G130">
            <v>363.8</v>
          </cell>
          <cell r="H130">
            <v>2855.78</v>
          </cell>
          <cell r="I130">
            <v>2855.78</v>
          </cell>
          <cell r="J130">
            <v>0</v>
          </cell>
        </row>
        <row r="131">
          <cell r="A131" t="str">
            <v>6211689775</v>
          </cell>
          <cell r="B131">
            <v>62116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6211689729</v>
          </cell>
          <cell r="B132">
            <v>62116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6211689786</v>
          </cell>
          <cell r="B133">
            <v>62116</v>
          </cell>
          <cell r="C133">
            <v>89786</v>
          </cell>
          <cell r="D133" t="str">
            <v>Property Tax Exp</v>
          </cell>
          <cell r="E133">
            <v>5732.4</v>
          </cell>
          <cell r="F133">
            <v>5732.4</v>
          </cell>
          <cell r="G133">
            <v>0</v>
          </cell>
          <cell r="H133">
            <v>61008.24</v>
          </cell>
          <cell r="I133">
            <v>61008.24</v>
          </cell>
          <cell r="J133">
            <v>0</v>
          </cell>
        </row>
        <row r="134">
          <cell r="A134" t="str">
            <v>6211671040</v>
          </cell>
          <cell r="B134">
            <v>62116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6211672701</v>
          </cell>
          <cell r="B135">
            <v>62116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844</v>
          </cell>
          <cell r="I135">
            <v>844</v>
          </cell>
          <cell r="J135">
            <v>0</v>
          </cell>
        </row>
        <row r="136">
          <cell r="A136" t="str">
            <v>6211672855</v>
          </cell>
          <cell r="B136">
            <v>62116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6211672870</v>
          </cell>
          <cell r="B137">
            <v>62116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6211676010</v>
          </cell>
          <cell r="B138">
            <v>62116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6211676040</v>
          </cell>
          <cell r="B139">
            <v>62116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6211676051</v>
          </cell>
          <cell r="B140">
            <v>62116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6211676054</v>
          </cell>
          <cell r="B141">
            <v>62116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32087.97</v>
          </cell>
          <cell r="I141">
            <v>32087.97</v>
          </cell>
          <cell r="J141">
            <v>0</v>
          </cell>
        </row>
        <row r="142">
          <cell r="A142" t="str">
            <v>6211676060</v>
          </cell>
          <cell r="B142">
            <v>62116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6211676071</v>
          </cell>
          <cell r="B143">
            <v>62116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6211676090</v>
          </cell>
          <cell r="B144">
            <v>62116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6211677001</v>
          </cell>
          <cell r="B145">
            <v>62116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6211677022</v>
          </cell>
          <cell r="B146">
            <v>62116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6211684200</v>
          </cell>
          <cell r="B147">
            <v>62116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6211684240</v>
          </cell>
          <cell r="B148">
            <v>62116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6211684242</v>
          </cell>
          <cell r="B149">
            <v>62116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6211684243</v>
          </cell>
          <cell r="B150">
            <v>62116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6211684244</v>
          </cell>
          <cell r="B151">
            <v>62116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6211684265</v>
          </cell>
          <cell r="B152">
            <v>62116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6211688037</v>
          </cell>
          <cell r="B153">
            <v>62116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6211685016</v>
          </cell>
          <cell r="B154">
            <v>62116</v>
          </cell>
          <cell r="C154">
            <v>85016</v>
          </cell>
          <cell r="D154" t="str">
            <v>Prof Svc-Attorney Outside</v>
          </cell>
          <cell r="E154">
            <v>2541.5</v>
          </cell>
          <cell r="F154">
            <v>0</v>
          </cell>
          <cell r="G154">
            <v>2541.5</v>
          </cell>
          <cell r="H154">
            <v>6316</v>
          </cell>
          <cell r="I154">
            <v>6316</v>
          </cell>
          <cell r="J154">
            <v>0</v>
          </cell>
        </row>
        <row r="155">
          <cell r="A155" t="str">
            <v>6211685022</v>
          </cell>
          <cell r="B155">
            <v>62116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347</v>
          </cell>
          <cell r="I155">
            <v>347</v>
          </cell>
          <cell r="J155">
            <v>0</v>
          </cell>
        </row>
        <row r="156">
          <cell r="A156" t="str">
            <v>6211685065</v>
          </cell>
          <cell r="B156">
            <v>62116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6211685500</v>
          </cell>
          <cell r="B157">
            <v>62116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2575</v>
          </cell>
          <cell r="I157">
            <v>2575</v>
          </cell>
          <cell r="J157">
            <v>0</v>
          </cell>
        </row>
        <row r="158">
          <cell r="A158" t="str">
            <v>6211685566</v>
          </cell>
          <cell r="B158">
            <v>62116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6211685581</v>
          </cell>
          <cell r="B159">
            <v>62116</v>
          </cell>
          <cell r="C159">
            <v>85581</v>
          </cell>
          <cell r="D159" t="str">
            <v>Bldg Admin- Salaries</v>
          </cell>
          <cell r="E159">
            <v>826.69</v>
          </cell>
          <cell r="F159">
            <v>826.92</v>
          </cell>
          <cell r="G159">
            <v>-0.229999999999905</v>
          </cell>
          <cell r="H159">
            <v>10354.200000000001</v>
          </cell>
          <cell r="I159">
            <v>10354.200000000001</v>
          </cell>
          <cell r="J159">
            <v>0</v>
          </cell>
        </row>
        <row r="160">
          <cell r="A160" t="str">
            <v>6211685583</v>
          </cell>
          <cell r="B160">
            <v>62116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6211685530</v>
          </cell>
          <cell r="B161">
            <v>62116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6211686012</v>
          </cell>
          <cell r="B162">
            <v>62116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6211686037</v>
          </cell>
          <cell r="B163">
            <v>62116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6211683050</v>
          </cell>
          <cell r="B164">
            <v>62116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6211686510</v>
          </cell>
          <cell r="B165">
            <v>62116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6211686537</v>
          </cell>
          <cell r="B166">
            <v>62116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6211686566</v>
          </cell>
          <cell r="B167">
            <v>62116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6211686955</v>
          </cell>
          <cell r="B168">
            <v>62116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6211686985</v>
          </cell>
          <cell r="B169">
            <v>62116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6211686880</v>
          </cell>
          <cell r="B170">
            <v>62116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6211688710</v>
          </cell>
          <cell r="B171">
            <v>62116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0.08</v>
          </cell>
          <cell r="G171">
            <v>-0.08</v>
          </cell>
          <cell r="H171">
            <v>5488.64</v>
          </cell>
          <cell r="I171">
            <v>5488.64</v>
          </cell>
          <cell r="J171">
            <v>0</v>
          </cell>
        </row>
        <row r="172">
          <cell r="A172" t="str">
            <v>6211688711</v>
          </cell>
          <cell r="B172">
            <v>62116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6211688785</v>
          </cell>
          <cell r="B173">
            <v>62116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6211688847</v>
          </cell>
          <cell r="B174">
            <v>62116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6211688866</v>
          </cell>
          <cell r="B175">
            <v>62116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6211688870</v>
          </cell>
          <cell r="B176">
            <v>62116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6211688889</v>
          </cell>
          <cell r="B177">
            <v>62116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6211689776</v>
          </cell>
          <cell r="B178">
            <v>62116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6211689787</v>
          </cell>
          <cell r="B179">
            <v>62116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6211689510</v>
          </cell>
          <cell r="B180">
            <v>62116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6211689511</v>
          </cell>
          <cell r="B181">
            <v>62116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6211689512</v>
          </cell>
          <cell r="B182">
            <v>62116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6211689528</v>
          </cell>
          <cell r="B183">
            <v>62116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6211689529</v>
          </cell>
          <cell r="B184">
            <v>62116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6211689567</v>
          </cell>
          <cell r="B185">
            <v>62116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6211685058</v>
          </cell>
          <cell r="B186">
            <v>62116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6211686513</v>
          </cell>
          <cell r="B187">
            <v>62116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6211686519</v>
          </cell>
          <cell r="B188">
            <v>62116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6211688770</v>
          </cell>
          <cell r="B189">
            <v>62116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6211688862</v>
          </cell>
          <cell r="B190">
            <v>62116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6211688874</v>
          </cell>
          <cell r="B191">
            <v>62116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6211689910</v>
          </cell>
          <cell r="B192">
            <v>62116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4851.8999999999996</v>
          </cell>
          <cell r="G192">
            <v>-4851.8999999999996</v>
          </cell>
          <cell r="H192">
            <v>58222.84</v>
          </cell>
          <cell r="I192">
            <v>58222.84</v>
          </cell>
          <cell r="J192">
            <v>0</v>
          </cell>
        </row>
        <row r="193">
          <cell r="A193" t="str">
            <v>6211689548</v>
          </cell>
          <cell r="B193">
            <v>62116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6213141010</v>
          </cell>
          <cell r="B194">
            <v>62131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6213141040</v>
          </cell>
          <cell r="B195">
            <v>62131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6213141050</v>
          </cell>
          <cell r="B196">
            <v>62131</v>
          </cell>
          <cell r="C196">
            <v>41050</v>
          </cell>
          <cell r="D196" t="str">
            <v>Rental Income - Fixed</v>
          </cell>
          <cell r="E196">
            <v>-193311.28</v>
          </cell>
          <cell r="F196">
            <v>-184999.69</v>
          </cell>
          <cell r="G196">
            <v>-8311.59</v>
          </cell>
          <cell r="H196">
            <v>-2257036.69</v>
          </cell>
          <cell r="I196">
            <v>-2257036.69</v>
          </cell>
          <cell r="J196">
            <v>0</v>
          </cell>
        </row>
        <row r="197">
          <cell r="A197" t="str">
            <v>6213141074</v>
          </cell>
          <cell r="B197">
            <v>62131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0</v>
          </cell>
          <cell r="G197">
            <v>0</v>
          </cell>
          <cell r="H197">
            <v>-22163</v>
          </cell>
          <cell r="I197">
            <v>-22163</v>
          </cell>
          <cell r="J197">
            <v>0</v>
          </cell>
        </row>
        <row r="198">
          <cell r="A198" t="str">
            <v>6213141082</v>
          </cell>
          <cell r="B198">
            <v>62131</v>
          </cell>
          <cell r="C198">
            <v>41082</v>
          </cell>
          <cell r="D198" t="str">
            <v>Rental Income - Operating Exp</v>
          </cell>
          <cell r="E198">
            <v>-47964.05</v>
          </cell>
          <cell r="F198">
            <v>-56768.32</v>
          </cell>
          <cell r="G198">
            <v>8804.27</v>
          </cell>
          <cell r="H198">
            <v>-681219.84</v>
          </cell>
          <cell r="I198">
            <v>-681219.84</v>
          </cell>
          <cell r="J198">
            <v>0</v>
          </cell>
        </row>
        <row r="199">
          <cell r="A199" t="str">
            <v>6213144610</v>
          </cell>
          <cell r="B199">
            <v>62131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6213145071</v>
          </cell>
          <cell r="B200">
            <v>62131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6213145010</v>
          </cell>
          <cell r="B201">
            <v>62131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6213145046</v>
          </cell>
          <cell r="B202">
            <v>62131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6213145070</v>
          </cell>
          <cell r="B203">
            <v>62131</v>
          </cell>
          <cell r="C203">
            <v>45070</v>
          </cell>
          <cell r="D203" t="str">
            <v>Other Income</v>
          </cell>
          <cell r="E203">
            <v>-1205.9100000000001</v>
          </cell>
          <cell r="F203">
            <v>-1556.32</v>
          </cell>
          <cell r="G203">
            <v>350.41</v>
          </cell>
          <cell r="H203">
            <v>-5002.83</v>
          </cell>
          <cell r="I203">
            <v>-5002.83</v>
          </cell>
          <cell r="J203">
            <v>0</v>
          </cell>
        </row>
        <row r="204">
          <cell r="A204" t="str">
            <v>6213141060</v>
          </cell>
          <cell r="B204">
            <v>62131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4934</v>
          </cell>
          <cell r="G204">
            <v>-4934</v>
          </cell>
          <cell r="H204">
            <v>59208</v>
          </cell>
          <cell r="I204">
            <v>59208</v>
          </cell>
          <cell r="J204">
            <v>0</v>
          </cell>
        </row>
        <row r="205">
          <cell r="A205" t="str">
            <v>6213144870</v>
          </cell>
          <cell r="B205">
            <v>62131</v>
          </cell>
          <cell r="C205">
            <v>44870</v>
          </cell>
          <cell r="D205" t="str">
            <v>Late Fees</v>
          </cell>
          <cell r="E205">
            <v>-23.51</v>
          </cell>
          <cell r="F205">
            <v>-46.58</v>
          </cell>
          <cell r="G205">
            <v>23.07</v>
          </cell>
          <cell r="H205">
            <v>-527.63</v>
          </cell>
          <cell r="I205">
            <v>-527.63</v>
          </cell>
          <cell r="J205">
            <v>0</v>
          </cell>
        </row>
        <row r="206">
          <cell r="A206" t="str">
            <v>6213152542</v>
          </cell>
          <cell r="B206">
            <v>62131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6213172710</v>
          </cell>
          <cell r="B207">
            <v>62131</v>
          </cell>
          <cell r="C207">
            <v>72710</v>
          </cell>
          <cell r="D207" t="str">
            <v>Utilities - Electricity</v>
          </cell>
          <cell r="E207">
            <v>4496.58</v>
          </cell>
          <cell r="F207">
            <v>2550</v>
          </cell>
          <cell r="G207">
            <v>1946.58</v>
          </cell>
          <cell r="H207">
            <v>81026.44</v>
          </cell>
          <cell r="I207">
            <v>81026.44</v>
          </cell>
          <cell r="J207">
            <v>0</v>
          </cell>
        </row>
        <row r="208">
          <cell r="A208" t="str">
            <v>6213172740</v>
          </cell>
          <cell r="B208">
            <v>62131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6213172770</v>
          </cell>
          <cell r="B209">
            <v>62131</v>
          </cell>
          <cell r="C209">
            <v>72770</v>
          </cell>
          <cell r="D209" t="str">
            <v>Utilities - Water</v>
          </cell>
          <cell r="E209">
            <v>653.15</v>
          </cell>
          <cell r="F209">
            <v>728</v>
          </cell>
          <cell r="G209">
            <v>-74.849999999999994</v>
          </cell>
          <cell r="H209">
            <v>14199.93</v>
          </cell>
          <cell r="I209">
            <v>14199.93</v>
          </cell>
          <cell r="J209">
            <v>0</v>
          </cell>
        </row>
        <row r="210">
          <cell r="A210" t="str">
            <v>6213176000</v>
          </cell>
          <cell r="B210">
            <v>62131</v>
          </cell>
          <cell r="C210">
            <v>76000</v>
          </cell>
          <cell r="D210" t="str">
            <v>Bldg Maintenance &amp; Repair</v>
          </cell>
          <cell r="E210">
            <v>2651.83</v>
          </cell>
          <cell r="F210">
            <v>6570.76</v>
          </cell>
          <cell r="G210">
            <v>-3918.93</v>
          </cell>
          <cell r="H210">
            <v>84487.86</v>
          </cell>
          <cell r="I210">
            <v>84487.86</v>
          </cell>
          <cell r="J210">
            <v>0</v>
          </cell>
        </row>
        <row r="211">
          <cell r="A211" t="str">
            <v>6213176020</v>
          </cell>
          <cell r="B211">
            <v>62131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6213176034</v>
          </cell>
          <cell r="B212">
            <v>62131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6213176050</v>
          </cell>
          <cell r="B213">
            <v>62131</v>
          </cell>
          <cell r="C213">
            <v>76050</v>
          </cell>
          <cell r="D213" t="str">
            <v>Cleaning Expense</v>
          </cell>
          <cell r="E213">
            <v>6505.7</v>
          </cell>
          <cell r="F213">
            <v>6354.4</v>
          </cell>
          <cell r="G213">
            <v>151.30000000000001</v>
          </cell>
          <cell r="H213">
            <v>81361.86</v>
          </cell>
          <cell r="I213">
            <v>81361.86</v>
          </cell>
          <cell r="J213">
            <v>0</v>
          </cell>
        </row>
        <row r="214">
          <cell r="A214" t="str">
            <v>6213176056</v>
          </cell>
          <cell r="B214">
            <v>62131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6213176070</v>
          </cell>
          <cell r="B215">
            <v>62131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6213176091</v>
          </cell>
          <cell r="B216">
            <v>62131</v>
          </cell>
          <cell r="C216">
            <v>76091</v>
          </cell>
          <cell r="D216" t="str">
            <v>Parking Maintenance</v>
          </cell>
          <cell r="E216">
            <v>3160</v>
          </cell>
          <cell r="F216">
            <v>2724.35</v>
          </cell>
          <cell r="G216">
            <v>435.65</v>
          </cell>
          <cell r="H216">
            <v>44237.17</v>
          </cell>
          <cell r="I216">
            <v>44237.17</v>
          </cell>
          <cell r="J216">
            <v>0</v>
          </cell>
        </row>
        <row r="217">
          <cell r="A217" t="str">
            <v>6213177000</v>
          </cell>
          <cell r="B217">
            <v>62131</v>
          </cell>
          <cell r="C217">
            <v>77000</v>
          </cell>
          <cell r="D217" t="str">
            <v>Grounds Maintenance</v>
          </cell>
          <cell r="E217">
            <v>1682.44</v>
          </cell>
          <cell r="F217">
            <v>683.67</v>
          </cell>
          <cell r="G217">
            <v>998.77</v>
          </cell>
          <cell r="H217">
            <v>47823.83</v>
          </cell>
          <cell r="I217">
            <v>47823.83</v>
          </cell>
          <cell r="J217">
            <v>0</v>
          </cell>
        </row>
        <row r="218">
          <cell r="A218" t="str">
            <v>6213177053</v>
          </cell>
          <cell r="B218">
            <v>62131</v>
          </cell>
          <cell r="C218">
            <v>77053</v>
          </cell>
          <cell r="D218" t="str">
            <v>Landscaping</v>
          </cell>
          <cell r="E218">
            <v>3035</v>
          </cell>
          <cell r="F218">
            <v>2820.01</v>
          </cell>
          <cell r="G218">
            <v>214.99</v>
          </cell>
          <cell r="H218">
            <v>67995.839999999997</v>
          </cell>
          <cell r="I218">
            <v>67995.839999999997</v>
          </cell>
          <cell r="J218">
            <v>0</v>
          </cell>
        </row>
        <row r="219">
          <cell r="A219" t="str">
            <v>6213178020</v>
          </cell>
          <cell r="B219">
            <v>62131</v>
          </cell>
          <cell r="C219">
            <v>78020</v>
          </cell>
          <cell r="D219" t="str">
            <v>Amortized CAM Exp</v>
          </cell>
          <cell r="E219">
            <v>4999.67</v>
          </cell>
          <cell r="F219">
            <v>5000</v>
          </cell>
          <cell r="G219">
            <v>-0.32999999999992702</v>
          </cell>
          <cell r="H219">
            <v>60000</v>
          </cell>
          <cell r="I219">
            <v>60000</v>
          </cell>
          <cell r="J219">
            <v>0</v>
          </cell>
        </row>
        <row r="220">
          <cell r="A220" t="str">
            <v>6213184264</v>
          </cell>
          <cell r="B220">
            <v>62131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6213185555</v>
          </cell>
          <cell r="B221">
            <v>62131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6213185584</v>
          </cell>
          <cell r="B222">
            <v>62131</v>
          </cell>
          <cell r="C222">
            <v>85584</v>
          </cell>
          <cell r="D222" t="str">
            <v>Bldg Admin-Office Costs</v>
          </cell>
          <cell r="E222">
            <v>978.07</v>
          </cell>
          <cell r="F222">
            <v>1549.83</v>
          </cell>
          <cell r="G222">
            <v>-571.76</v>
          </cell>
          <cell r="H222">
            <v>18598</v>
          </cell>
          <cell r="I222">
            <v>18598</v>
          </cell>
          <cell r="J222">
            <v>0</v>
          </cell>
        </row>
        <row r="223">
          <cell r="A223" t="str">
            <v>6213185582</v>
          </cell>
          <cell r="B223">
            <v>62131</v>
          </cell>
          <cell r="C223">
            <v>85582</v>
          </cell>
          <cell r="D223" t="str">
            <v>Bldg Admin-Salaries</v>
          </cell>
          <cell r="E223">
            <v>7804.19</v>
          </cell>
          <cell r="F223">
            <v>7804.42</v>
          </cell>
          <cell r="G223">
            <v>-0.23000000000047299</v>
          </cell>
          <cell r="H223">
            <v>99713.2</v>
          </cell>
          <cell r="I223">
            <v>99713.2</v>
          </cell>
          <cell r="J223">
            <v>0</v>
          </cell>
        </row>
        <row r="224">
          <cell r="A224" t="str">
            <v>6213186564</v>
          </cell>
          <cell r="B224">
            <v>62131</v>
          </cell>
          <cell r="C224">
            <v>86564</v>
          </cell>
          <cell r="D224" t="str">
            <v>Insurance</v>
          </cell>
          <cell r="E224">
            <v>4158</v>
          </cell>
          <cell r="F224">
            <v>4157.84</v>
          </cell>
          <cell r="G224">
            <v>0.15999999999985401</v>
          </cell>
          <cell r="H224">
            <v>49894</v>
          </cell>
          <cell r="I224">
            <v>49894</v>
          </cell>
          <cell r="J224">
            <v>0</v>
          </cell>
        </row>
        <row r="225">
          <cell r="A225" t="str">
            <v>6213188846</v>
          </cell>
          <cell r="B225">
            <v>62131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6213188890</v>
          </cell>
          <cell r="B226">
            <v>62131</v>
          </cell>
          <cell r="C226">
            <v>88890</v>
          </cell>
          <cell r="D226" t="str">
            <v>Security/Safety</v>
          </cell>
          <cell r="E226">
            <v>4671.24</v>
          </cell>
          <cell r="F226">
            <v>4371.42</v>
          </cell>
          <cell r="G226">
            <v>299.82</v>
          </cell>
          <cell r="H226">
            <v>53412.26</v>
          </cell>
          <cell r="I226">
            <v>53412.26</v>
          </cell>
          <cell r="J226">
            <v>0</v>
          </cell>
        </row>
        <row r="227">
          <cell r="A227" t="str">
            <v>6213189775</v>
          </cell>
          <cell r="B227">
            <v>62131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6213189729</v>
          </cell>
          <cell r="B228">
            <v>62131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6213189786</v>
          </cell>
          <cell r="B229">
            <v>62131</v>
          </cell>
          <cell r="C229">
            <v>89786</v>
          </cell>
          <cell r="D229" t="str">
            <v>Property Tax Exp</v>
          </cell>
          <cell r="E229">
            <v>18894.580000000002</v>
          </cell>
          <cell r="F229">
            <v>18894.580000000002</v>
          </cell>
          <cell r="G229">
            <v>0</v>
          </cell>
          <cell r="H229">
            <v>226735</v>
          </cell>
          <cell r="I229">
            <v>226735</v>
          </cell>
          <cell r="J229">
            <v>0</v>
          </cell>
        </row>
        <row r="230">
          <cell r="A230" t="str">
            <v>6213171040</v>
          </cell>
          <cell r="B230">
            <v>62131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6213172701</v>
          </cell>
          <cell r="B231">
            <v>62131</v>
          </cell>
          <cell r="C231">
            <v>72701</v>
          </cell>
          <cell r="D231" t="str">
            <v>Utilities</v>
          </cell>
          <cell r="E231">
            <v>1268.8499999999999</v>
          </cell>
          <cell r="F231">
            <v>0</v>
          </cell>
          <cell r="G231">
            <v>1268.8499999999999</v>
          </cell>
          <cell r="H231">
            <v>25988.86</v>
          </cell>
          <cell r="I231">
            <v>25988.86</v>
          </cell>
          <cell r="J231">
            <v>0</v>
          </cell>
        </row>
        <row r="232">
          <cell r="A232" t="str">
            <v>6213172855</v>
          </cell>
          <cell r="B232">
            <v>62131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6213172870</v>
          </cell>
          <cell r="B233">
            <v>62131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6213176010</v>
          </cell>
          <cell r="B234">
            <v>62131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2709.99</v>
          </cell>
          <cell r="I234">
            <v>2709.99</v>
          </cell>
          <cell r="J234">
            <v>0</v>
          </cell>
        </row>
        <row r="235">
          <cell r="A235" t="str">
            <v>6213176040</v>
          </cell>
          <cell r="B235">
            <v>62131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6213176051</v>
          </cell>
          <cell r="B236">
            <v>62131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6213176054</v>
          </cell>
          <cell r="B237">
            <v>62131</v>
          </cell>
          <cell r="C237">
            <v>76054</v>
          </cell>
          <cell r="D237" t="str">
            <v>Bldg Maintenance &amp; Repair</v>
          </cell>
          <cell r="E237">
            <v>1557.5</v>
          </cell>
          <cell r="F237">
            <v>5140.6000000000004</v>
          </cell>
          <cell r="G237">
            <v>-3583.1</v>
          </cell>
          <cell r="H237">
            <v>70324</v>
          </cell>
          <cell r="I237">
            <v>70324</v>
          </cell>
          <cell r="J237">
            <v>0</v>
          </cell>
        </row>
        <row r="238">
          <cell r="A238" t="str">
            <v>6213176060</v>
          </cell>
          <cell r="B238">
            <v>62131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6213176071</v>
          </cell>
          <cell r="B239">
            <v>62131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400000</v>
          </cell>
          <cell r="I239">
            <v>400000</v>
          </cell>
          <cell r="J239">
            <v>0</v>
          </cell>
        </row>
        <row r="240">
          <cell r="A240" t="str">
            <v>6213176090</v>
          </cell>
          <cell r="B240">
            <v>62131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6213177001</v>
          </cell>
          <cell r="B241">
            <v>62131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6213177022</v>
          </cell>
          <cell r="B242">
            <v>62131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6213184200</v>
          </cell>
          <cell r="B243">
            <v>62131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6213184240</v>
          </cell>
          <cell r="B244">
            <v>62131</v>
          </cell>
          <cell r="C244">
            <v>84240</v>
          </cell>
          <cell r="D244" t="str">
            <v>Marketing Leasing</v>
          </cell>
          <cell r="E244">
            <v>1206.1400000000001</v>
          </cell>
          <cell r="F244">
            <v>1544.5</v>
          </cell>
          <cell r="G244">
            <v>-338.36</v>
          </cell>
          <cell r="H244">
            <v>19380.3</v>
          </cell>
          <cell r="I244">
            <v>19380.3</v>
          </cell>
          <cell r="J244">
            <v>0</v>
          </cell>
        </row>
        <row r="245">
          <cell r="A245" t="str">
            <v>6213184242</v>
          </cell>
          <cell r="B245">
            <v>62131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6213184243</v>
          </cell>
          <cell r="B246">
            <v>62131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-18903</v>
          </cell>
          <cell r="I246">
            <v>-18903</v>
          </cell>
          <cell r="J246">
            <v>0</v>
          </cell>
        </row>
        <row r="247">
          <cell r="A247" t="str">
            <v>6213184244</v>
          </cell>
          <cell r="B247">
            <v>62131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6213184265</v>
          </cell>
          <cell r="B248">
            <v>62131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6213188037</v>
          </cell>
          <cell r="B249">
            <v>62131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6213185016</v>
          </cell>
          <cell r="B250">
            <v>62131</v>
          </cell>
          <cell r="C250">
            <v>85016</v>
          </cell>
          <cell r="D250" t="str">
            <v>Prof Svc-Attorney Outside</v>
          </cell>
          <cell r="E250">
            <v>48</v>
          </cell>
          <cell r="F250">
            <v>0</v>
          </cell>
          <cell r="G250">
            <v>48</v>
          </cell>
          <cell r="H250">
            <v>7718.1</v>
          </cell>
          <cell r="I250">
            <v>7718.1</v>
          </cell>
          <cell r="J250">
            <v>0</v>
          </cell>
        </row>
        <row r="251">
          <cell r="A251" t="str">
            <v>6213185022</v>
          </cell>
          <cell r="B251">
            <v>62131</v>
          </cell>
          <cell r="C251">
            <v>85022</v>
          </cell>
          <cell r="D251" t="str">
            <v>Prof Svc-Audit/Acctng</v>
          </cell>
          <cell r="E251">
            <v>0.02</v>
          </cell>
          <cell r="F251">
            <v>0</v>
          </cell>
          <cell r="G251">
            <v>0.02</v>
          </cell>
          <cell r="H251">
            <v>5499.69</v>
          </cell>
          <cell r="I251">
            <v>5499.69</v>
          </cell>
          <cell r="J251">
            <v>0</v>
          </cell>
        </row>
        <row r="252">
          <cell r="A252" t="str">
            <v>6213185065</v>
          </cell>
          <cell r="B252">
            <v>62131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6213185500</v>
          </cell>
          <cell r="B253">
            <v>62131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8621.2099999999991</v>
          </cell>
          <cell r="I253">
            <v>8621.2099999999991</v>
          </cell>
          <cell r="J253">
            <v>0</v>
          </cell>
        </row>
        <row r="254">
          <cell r="A254" t="str">
            <v>6213185566</v>
          </cell>
          <cell r="B254">
            <v>62131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6213185581</v>
          </cell>
          <cell r="B255">
            <v>62131</v>
          </cell>
          <cell r="C255">
            <v>85581</v>
          </cell>
          <cell r="D255" t="str">
            <v>Bldg Admin- Salaries</v>
          </cell>
          <cell r="E255">
            <v>5577.55</v>
          </cell>
          <cell r="F255">
            <v>5577.92</v>
          </cell>
          <cell r="G255">
            <v>-0.36999999999989103</v>
          </cell>
          <cell r="H255">
            <v>70865.2</v>
          </cell>
          <cell r="I255">
            <v>70865.2</v>
          </cell>
          <cell r="J255">
            <v>0</v>
          </cell>
        </row>
        <row r="256">
          <cell r="A256" t="str">
            <v>6213185583</v>
          </cell>
          <cell r="B256">
            <v>62131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6213185530</v>
          </cell>
          <cell r="B257">
            <v>62131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6213186012</v>
          </cell>
          <cell r="B258">
            <v>62131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6213186037</v>
          </cell>
          <cell r="B259">
            <v>62131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6213183050</v>
          </cell>
          <cell r="B260">
            <v>62131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6213186510</v>
          </cell>
          <cell r="B261">
            <v>62131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6213186537</v>
          </cell>
          <cell r="B262">
            <v>62131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6213186566</v>
          </cell>
          <cell r="B263">
            <v>62131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6213186955</v>
          </cell>
          <cell r="B264">
            <v>62131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6213186985</v>
          </cell>
          <cell r="B265">
            <v>62131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6213186880</v>
          </cell>
          <cell r="B266">
            <v>62131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6213188710</v>
          </cell>
          <cell r="B267">
            <v>62131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0.08</v>
          </cell>
          <cell r="G267">
            <v>-0.08</v>
          </cell>
          <cell r="H267">
            <v>59320.639999999999</v>
          </cell>
          <cell r="I267">
            <v>59320.639999999999</v>
          </cell>
          <cell r="J267">
            <v>0</v>
          </cell>
        </row>
        <row r="268">
          <cell r="A268" t="str">
            <v>6213188711</v>
          </cell>
          <cell r="B268">
            <v>62131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6213188785</v>
          </cell>
          <cell r="B269">
            <v>62131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6213188847</v>
          </cell>
          <cell r="B270">
            <v>62131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6213188866</v>
          </cell>
          <cell r="B271">
            <v>62131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6213188870</v>
          </cell>
          <cell r="B272">
            <v>62131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6213188889</v>
          </cell>
          <cell r="B273">
            <v>62131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6213189776</v>
          </cell>
          <cell r="B274">
            <v>62131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6213189787</v>
          </cell>
          <cell r="B275">
            <v>62131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6213189510</v>
          </cell>
          <cell r="B276">
            <v>62131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46166</v>
          </cell>
          <cell r="G276">
            <v>-46166</v>
          </cell>
          <cell r="H276">
            <v>533367</v>
          </cell>
          <cell r="I276">
            <v>533367</v>
          </cell>
          <cell r="J276">
            <v>0</v>
          </cell>
        </row>
        <row r="277">
          <cell r="A277" t="str">
            <v>6213189511</v>
          </cell>
          <cell r="B277">
            <v>62131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6213189512</v>
          </cell>
          <cell r="B278">
            <v>62131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6213189528</v>
          </cell>
          <cell r="B279">
            <v>62131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6213189529</v>
          </cell>
          <cell r="B280">
            <v>62131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1037</v>
          </cell>
          <cell r="G280">
            <v>-1037</v>
          </cell>
          <cell r="H280">
            <v>12444</v>
          </cell>
          <cell r="I280">
            <v>12444</v>
          </cell>
          <cell r="J280">
            <v>0</v>
          </cell>
        </row>
        <row r="281">
          <cell r="A281" t="str">
            <v>6213189567</v>
          </cell>
          <cell r="B281">
            <v>62131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6213185058</v>
          </cell>
          <cell r="B282">
            <v>62131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6213186513</v>
          </cell>
          <cell r="B283">
            <v>62131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64.33</v>
          </cell>
          <cell r="G283">
            <v>-64.33</v>
          </cell>
          <cell r="H283">
            <v>1364.96</v>
          </cell>
          <cell r="I283">
            <v>1364.96</v>
          </cell>
          <cell r="J283">
            <v>0</v>
          </cell>
        </row>
        <row r="284">
          <cell r="A284" t="str">
            <v>6213186519</v>
          </cell>
          <cell r="B284">
            <v>62131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6213188770</v>
          </cell>
          <cell r="B285">
            <v>62131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6213188862</v>
          </cell>
          <cell r="B286">
            <v>62131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6213188874</v>
          </cell>
          <cell r="B287">
            <v>62131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6213189910</v>
          </cell>
          <cell r="B288">
            <v>62131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29974.16</v>
          </cell>
          <cell r="G288">
            <v>-29974.16</v>
          </cell>
          <cell r="H288">
            <v>360842</v>
          </cell>
          <cell r="I288">
            <v>360842</v>
          </cell>
          <cell r="J288">
            <v>0</v>
          </cell>
        </row>
        <row r="289">
          <cell r="A289" t="str">
            <v>6213189548</v>
          </cell>
          <cell r="B289">
            <v>62131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6214541010</v>
          </cell>
          <cell r="B290">
            <v>62145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6214541040</v>
          </cell>
          <cell r="B291">
            <v>62145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6214541050</v>
          </cell>
          <cell r="B292">
            <v>62145</v>
          </cell>
          <cell r="C292">
            <v>41050</v>
          </cell>
          <cell r="D292" t="str">
            <v>Rental Income - Fixed</v>
          </cell>
          <cell r="E292">
            <v>-159090.45000000001</v>
          </cell>
          <cell r="F292">
            <v>-159090.45000000001</v>
          </cell>
          <cell r="G292">
            <v>0</v>
          </cell>
          <cell r="H292">
            <v>-1931406.42</v>
          </cell>
          <cell r="I292">
            <v>-1931406.42</v>
          </cell>
          <cell r="J292">
            <v>0</v>
          </cell>
        </row>
        <row r="293">
          <cell r="A293" t="str">
            <v>6214541074</v>
          </cell>
          <cell r="B293">
            <v>62145</v>
          </cell>
          <cell r="C293">
            <v>41074</v>
          </cell>
          <cell r="D293" t="str">
            <v>Rental Income - Percentage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A294" t="str">
            <v>6214541082</v>
          </cell>
          <cell r="B294">
            <v>62145</v>
          </cell>
          <cell r="C294">
            <v>41082</v>
          </cell>
          <cell r="D294" t="str">
            <v>Rental Income - Operating Exp</v>
          </cell>
          <cell r="E294">
            <v>-50449.53</v>
          </cell>
          <cell r="F294">
            <v>-54289.04</v>
          </cell>
          <cell r="G294">
            <v>3839.51</v>
          </cell>
          <cell r="H294">
            <v>-651468.48</v>
          </cell>
          <cell r="I294">
            <v>-651468.48</v>
          </cell>
          <cell r="J294">
            <v>0</v>
          </cell>
        </row>
        <row r="295">
          <cell r="A295" t="str">
            <v>6214544610</v>
          </cell>
          <cell r="B295">
            <v>62145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6214545071</v>
          </cell>
          <cell r="B296">
            <v>62145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6214545010</v>
          </cell>
          <cell r="B297">
            <v>62145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6214545046</v>
          </cell>
          <cell r="B298">
            <v>62145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6214545070</v>
          </cell>
          <cell r="B299">
            <v>62145</v>
          </cell>
          <cell r="C299">
            <v>45070</v>
          </cell>
          <cell r="D299" t="str">
            <v>Other Income</v>
          </cell>
          <cell r="E299">
            <v>0</v>
          </cell>
          <cell r="F299">
            <v>0</v>
          </cell>
          <cell r="G299">
            <v>0</v>
          </cell>
          <cell r="H299">
            <v>-106.09</v>
          </cell>
          <cell r="I299">
            <v>-106.09</v>
          </cell>
          <cell r="J299">
            <v>0</v>
          </cell>
        </row>
        <row r="300">
          <cell r="A300" t="str">
            <v>6214541060</v>
          </cell>
          <cell r="B300">
            <v>62145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2152.42</v>
          </cell>
          <cell r="G300">
            <v>-2152.42</v>
          </cell>
          <cell r="H300">
            <v>25829</v>
          </cell>
          <cell r="I300">
            <v>25829</v>
          </cell>
          <cell r="J300">
            <v>0</v>
          </cell>
        </row>
        <row r="301">
          <cell r="A301" t="str">
            <v>6214544870</v>
          </cell>
          <cell r="B301">
            <v>62145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6214552542</v>
          </cell>
          <cell r="B302">
            <v>62145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6214572710</v>
          </cell>
          <cell r="B303">
            <v>62145</v>
          </cell>
          <cell r="C303">
            <v>72710</v>
          </cell>
          <cell r="D303" t="str">
            <v>Utilities - Electricity</v>
          </cell>
          <cell r="E303">
            <v>2798.39</v>
          </cell>
          <cell r="F303">
            <v>2208</v>
          </cell>
          <cell r="G303">
            <v>590.39</v>
          </cell>
          <cell r="H303">
            <v>40804</v>
          </cell>
          <cell r="I303">
            <v>40804</v>
          </cell>
          <cell r="J303">
            <v>0</v>
          </cell>
        </row>
        <row r="304">
          <cell r="A304" t="str">
            <v>6214572740</v>
          </cell>
          <cell r="B304">
            <v>62145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6214572770</v>
          </cell>
          <cell r="B305">
            <v>62145</v>
          </cell>
          <cell r="C305">
            <v>72770</v>
          </cell>
          <cell r="D305" t="str">
            <v>Utilities - Water</v>
          </cell>
          <cell r="E305">
            <v>740.12</v>
          </cell>
          <cell r="F305">
            <v>76.61</v>
          </cell>
          <cell r="G305">
            <v>663.51</v>
          </cell>
          <cell r="H305">
            <v>6078.12</v>
          </cell>
          <cell r="I305">
            <v>6078.12</v>
          </cell>
          <cell r="J305">
            <v>0</v>
          </cell>
        </row>
        <row r="306">
          <cell r="A306" t="str">
            <v>6214576000</v>
          </cell>
          <cell r="B306">
            <v>62145</v>
          </cell>
          <cell r="C306">
            <v>76000</v>
          </cell>
          <cell r="D306" t="str">
            <v>Bldg Maintenance &amp; Repair</v>
          </cell>
          <cell r="E306">
            <v>7492.29</v>
          </cell>
          <cell r="F306">
            <v>2258.7399999999998</v>
          </cell>
          <cell r="G306">
            <v>5233.55</v>
          </cell>
          <cell r="H306">
            <v>44478.65</v>
          </cell>
          <cell r="I306">
            <v>44478.65</v>
          </cell>
          <cell r="J306">
            <v>0</v>
          </cell>
        </row>
        <row r="307">
          <cell r="A307" t="str">
            <v>6214576020</v>
          </cell>
          <cell r="B307">
            <v>62145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6214576034</v>
          </cell>
          <cell r="B308">
            <v>62145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6214576050</v>
          </cell>
          <cell r="B309">
            <v>62145</v>
          </cell>
          <cell r="C309">
            <v>76050</v>
          </cell>
          <cell r="D309" t="str">
            <v>Cleaning Expense</v>
          </cell>
          <cell r="E309">
            <v>6795.4</v>
          </cell>
          <cell r="F309">
            <v>6028.86</v>
          </cell>
          <cell r="G309">
            <v>766.54</v>
          </cell>
          <cell r="H309">
            <v>94059.72</v>
          </cell>
          <cell r="I309">
            <v>94059.72</v>
          </cell>
          <cell r="J309">
            <v>0</v>
          </cell>
        </row>
        <row r="310">
          <cell r="A310" t="str">
            <v>6214576056</v>
          </cell>
          <cell r="B310">
            <v>62145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6214576070</v>
          </cell>
          <cell r="B311">
            <v>62145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6214576091</v>
          </cell>
          <cell r="B312">
            <v>62145</v>
          </cell>
          <cell r="C312">
            <v>76091</v>
          </cell>
          <cell r="D312" t="str">
            <v>Parking Maintenance</v>
          </cell>
          <cell r="E312">
            <v>3090</v>
          </cell>
          <cell r="F312">
            <v>3166.22</v>
          </cell>
          <cell r="G312">
            <v>-76.2199999999998</v>
          </cell>
          <cell r="H312">
            <v>40012.32</v>
          </cell>
          <cell r="I312">
            <v>40012.32</v>
          </cell>
          <cell r="J312">
            <v>0</v>
          </cell>
        </row>
        <row r="313">
          <cell r="A313" t="str">
            <v>6214577000</v>
          </cell>
          <cell r="B313">
            <v>62145</v>
          </cell>
          <cell r="C313">
            <v>77000</v>
          </cell>
          <cell r="D313" t="str">
            <v>Grounds Maintenance</v>
          </cell>
          <cell r="E313">
            <v>1216.25</v>
          </cell>
          <cell r="F313">
            <v>14975.92</v>
          </cell>
          <cell r="G313">
            <v>-13759.67</v>
          </cell>
          <cell r="H313">
            <v>39821.07</v>
          </cell>
          <cell r="I313">
            <v>39821.07</v>
          </cell>
          <cell r="J313">
            <v>0</v>
          </cell>
        </row>
        <row r="314">
          <cell r="A314" t="str">
            <v>6214577053</v>
          </cell>
          <cell r="B314">
            <v>62145</v>
          </cell>
          <cell r="C314">
            <v>77053</v>
          </cell>
          <cell r="D314" t="str">
            <v>Landscaping</v>
          </cell>
          <cell r="E314">
            <v>3764</v>
          </cell>
          <cell r="F314">
            <v>3568.25</v>
          </cell>
          <cell r="G314">
            <v>195.75</v>
          </cell>
          <cell r="H314">
            <v>50163.77</v>
          </cell>
          <cell r="I314">
            <v>50163.77</v>
          </cell>
          <cell r="J314">
            <v>0</v>
          </cell>
        </row>
        <row r="315">
          <cell r="A315" t="str">
            <v>6214578020</v>
          </cell>
          <cell r="B315">
            <v>62145</v>
          </cell>
          <cell r="C315">
            <v>78020</v>
          </cell>
          <cell r="D315" t="str">
            <v>Amortized CAM Exp</v>
          </cell>
          <cell r="E315">
            <v>0</v>
          </cell>
          <cell r="F315">
            <v>0.08</v>
          </cell>
          <cell r="G315">
            <v>-0.08</v>
          </cell>
          <cell r="H315">
            <v>1</v>
          </cell>
          <cell r="I315">
            <v>1</v>
          </cell>
          <cell r="J315">
            <v>0</v>
          </cell>
        </row>
        <row r="316">
          <cell r="A316" t="str">
            <v>6214584264</v>
          </cell>
          <cell r="B316">
            <v>62145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6214585555</v>
          </cell>
          <cell r="B317">
            <v>62145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6214585584</v>
          </cell>
          <cell r="B318">
            <v>62145</v>
          </cell>
          <cell r="C318">
            <v>85584</v>
          </cell>
          <cell r="D318" t="str">
            <v>Bldg Admin-Office Costs</v>
          </cell>
          <cell r="E318">
            <v>327.20999999999998</v>
          </cell>
          <cell r="F318">
            <v>508.83</v>
          </cell>
          <cell r="G318">
            <v>-181.62</v>
          </cell>
          <cell r="H318">
            <v>6106</v>
          </cell>
          <cell r="I318">
            <v>6106</v>
          </cell>
          <cell r="J318">
            <v>0</v>
          </cell>
        </row>
        <row r="319">
          <cell r="A319" t="str">
            <v>6214585582</v>
          </cell>
          <cell r="B319">
            <v>62145</v>
          </cell>
          <cell r="C319">
            <v>85582</v>
          </cell>
          <cell r="D319" t="str">
            <v>Bldg Admin-Salaries</v>
          </cell>
          <cell r="E319">
            <v>2863.42</v>
          </cell>
          <cell r="F319">
            <v>2863.83</v>
          </cell>
          <cell r="G319">
            <v>-0.40999999999985398</v>
          </cell>
          <cell r="H319">
            <v>36631.300000000003</v>
          </cell>
          <cell r="I319">
            <v>36631.300000000003</v>
          </cell>
          <cell r="J319">
            <v>0</v>
          </cell>
        </row>
        <row r="320">
          <cell r="A320" t="str">
            <v>6214586564</v>
          </cell>
          <cell r="B320">
            <v>62145</v>
          </cell>
          <cell r="C320">
            <v>86564</v>
          </cell>
          <cell r="D320" t="str">
            <v>Insurance</v>
          </cell>
          <cell r="E320">
            <v>1918</v>
          </cell>
          <cell r="F320">
            <v>1917.08</v>
          </cell>
          <cell r="G320">
            <v>0.92000000000007298</v>
          </cell>
          <cell r="H320">
            <v>23005</v>
          </cell>
          <cell r="I320">
            <v>23005</v>
          </cell>
          <cell r="J320">
            <v>0</v>
          </cell>
        </row>
        <row r="321">
          <cell r="A321" t="str">
            <v>6214588846</v>
          </cell>
          <cell r="B321">
            <v>62145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6214588890</v>
          </cell>
          <cell r="B322">
            <v>62145</v>
          </cell>
          <cell r="C322">
            <v>88890</v>
          </cell>
          <cell r="D322" t="str">
            <v>Security/Safety</v>
          </cell>
          <cell r="E322">
            <v>3638.34</v>
          </cell>
          <cell r="F322">
            <v>5159.76</v>
          </cell>
          <cell r="G322">
            <v>-1521.42</v>
          </cell>
          <cell r="H322">
            <v>57415.98</v>
          </cell>
          <cell r="I322">
            <v>57415.98</v>
          </cell>
          <cell r="J322">
            <v>0</v>
          </cell>
        </row>
        <row r="323">
          <cell r="A323" t="str">
            <v>6214589775</v>
          </cell>
          <cell r="B323">
            <v>62145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6214589729</v>
          </cell>
          <cell r="B324">
            <v>62145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6214589786</v>
          </cell>
          <cell r="B325">
            <v>62145</v>
          </cell>
          <cell r="C325">
            <v>89786</v>
          </cell>
          <cell r="D325" t="str">
            <v>Property Tax Exp</v>
          </cell>
          <cell r="E325">
            <v>18679.830000000002</v>
          </cell>
          <cell r="F325">
            <v>18679.830000000002</v>
          </cell>
          <cell r="G325">
            <v>0</v>
          </cell>
          <cell r="H325">
            <v>224158</v>
          </cell>
          <cell r="I325">
            <v>224158</v>
          </cell>
          <cell r="J325">
            <v>0</v>
          </cell>
        </row>
        <row r="326">
          <cell r="A326" t="str">
            <v>6214571040</v>
          </cell>
          <cell r="B326">
            <v>62145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6214572701</v>
          </cell>
          <cell r="B327">
            <v>62145</v>
          </cell>
          <cell r="C327">
            <v>72701</v>
          </cell>
          <cell r="D327" t="str">
            <v>Utilities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6214572855</v>
          </cell>
          <cell r="B328">
            <v>62145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6214572870</v>
          </cell>
          <cell r="B329">
            <v>62145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6214576010</v>
          </cell>
          <cell r="B330">
            <v>62145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6214576040</v>
          </cell>
          <cell r="B331">
            <v>62145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6214576051</v>
          </cell>
          <cell r="B332">
            <v>62145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6214576054</v>
          </cell>
          <cell r="B333">
            <v>62145</v>
          </cell>
          <cell r="C333">
            <v>76054</v>
          </cell>
          <cell r="D333" t="str">
            <v>Bldg Maintenance &amp; Repair</v>
          </cell>
          <cell r="E333">
            <v>0</v>
          </cell>
          <cell r="F333">
            <v>0</v>
          </cell>
          <cell r="G333">
            <v>0</v>
          </cell>
          <cell r="H333">
            <v>776.64</v>
          </cell>
          <cell r="I333">
            <v>776.64</v>
          </cell>
          <cell r="J333">
            <v>0</v>
          </cell>
        </row>
        <row r="334">
          <cell r="A334" t="str">
            <v>6214576060</v>
          </cell>
          <cell r="B334">
            <v>62145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6214576071</v>
          </cell>
          <cell r="B335">
            <v>62145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6214576090</v>
          </cell>
          <cell r="B336">
            <v>62145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6214577001</v>
          </cell>
          <cell r="B337">
            <v>62145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6214577022</v>
          </cell>
          <cell r="B338">
            <v>62145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6214584200</v>
          </cell>
          <cell r="B339">
            <v>62145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6214584240</v>
          </cell>
          <cell r="B340">
            <v>62145</v>
          </cell>
          <cell r="C340">
            <v>84240</v>
          </cell>
          <cell r="D340" t="str">
            <v>Marketing Leasing</v>
          </cell>
          <cell r="E340">
            <v>9.8699999999999992</v>
          </cell>
          <cell r="F340">
            <v>121.33</v>
          </cell>
          <cell r="G340">
            <v>-111.46</v>
          </cell>
          <cell r="H340">
            <v>1456</v>
          </cell>
          <cell r="I340">
            <v>1456</v>
          </cell>
          <cell r="J340">
            <v>0</v>
          </cell>
        </row>
        <row r="341">
          <cell r="A341" t="str">
            <v>6214584242</v>
          </cell>
          <cell r="B341">
            <v>62145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6214584243</v>
          </cell>
          <cell r="B342">
            <v>62145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6214584244</v>
          </cell>
          <cell r="B343">
            <v>62145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6214584265</v>
          </cell>
          <cell r="B344">
            <v>62145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6214588037</v>
          </cell>
          <cell r="B345">
            <v>62145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6214585016</v>
          </cell>
          <cell r="B346">
            <v>62145</v>
          </cell>
          <cell r="C346">
            <v>85016</v>
          </cell>
          <cell r="D346" t="str">
            <v>Prof Svc-Attorney Outside</v>
          </cell>
          <cell r="E346">
            <v>0</v>
          </cell>
          <cell r="F346">
            <v>0</v>
          </cell>
          <cell r="G346">
            <v>0</v>
          </cell>
          <cell r="H346">
            <v>717.91</v>
          </cell>
          <cell r="I346">
            <v>717.91</v>
          </cell>
          <cell r="J346">
            <v>0</v>
          </cell>
        </row>
        <row r="347">
          <cell r="A347" t="str">
            <v>6214585022</v>
          </cell>
          <cell r="B347">
            <v>62145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642.04999999999995</v>
          </cell>
          <cell r="I347">
            <v>642.04999999999995</v>
          </cell>
          <cell r="J347">
            <v>0</v>
          </cell>
        </row>
        <row r="348">
          <cell r="A348" t="str">
            <v>6214585065</v>
          </cell>
          <cell r="B348">
            <v>62145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6214585500</v>
          </cell>
          <cell r="B349">
            <v>62145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1565</v>
          </cell>
          <cell r="I349">
            <v>1565</v>
          </cell>
          <cell r="J349">
            <v>0</v>
          </cell>
        </row>
        <row r="350">
          <cell r="A350" t="str">
            <v>6214585566</v>
          </cell>
          <cell r="B350">
            <v>62145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6214585581</v>
          </cell>
          <cell r="B351">
            <v>62145</v>
          </cell>
          <cell r="C351">
            <v>85581</v>
          </cell>
          <cell r="D351" t="str">
            <v>Bldg Admin- Salaries</v>
          </cell>
          <cell r="E351">
            <v>3013.84</v>
          </cell>
          <cell r="F351">
            <v>3013.58</v>
          </cell>
          <cell r="G351">
            <v>0.260000000000218</v>
          </cell>
          <cell r="H351">
            <v>37456.800000000003</v>
          </cell>
          <cell r="I351">
            <v>37456.800000000003</v>
          </cell>
          <cell r="J351">
            <v>0</v>
          </cell>
        </row>
        <row r="352">
          <cell r="A352" t="str">
            <v>6214585583</v>
          </cell>
          <cell r="B352">
            <v>62145</v>
          </cell>
          <cell r="C352">
            <v>85583</v>
          </cell>
          <cell r="D352" t="str">
            <v>Bldg Admin-Office Exp.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6214585530</v>
          </cell>
          <cell r="B353">
            <v>62145</v>
          </cell>
          <cell r="C353">
            <v>85530</v>
          </cell>
          <cell r="D353" t="str">
            <v>Bldg Admin - Office Exp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6214586012</v>
          </cell>
          <cell r="B354">
            <v>62145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6214586037</v>
          </cell>
          <cell r="B355">
            <v>62145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6214583050</v>
          </cell>
          <cell r="B356">
            <v>62145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6214586510</v>
          </cell>
          <cell r="B357">
            <v>62145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6214586537</v>
          </cell>
          <cell r="B358">
            <v>62145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6214586566</v>
          </cell>
          <cell r="B359">
            <v>62145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6214586955</v>
          </cell>
          <cell r="B360">
            <v>62145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6214586985</v>
          </cell>
          <cell r="B361">
            <v>62145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6214586880</v>
          </cell>
          <cell r="B362">
            <v>62145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6214588710</v>
          </cell>
          <cell r="B363">
            <v>62145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</v>
          </cell>
          <cell r="G363">
            <v>0</v>
          </cell>
          <cell r="H363">
            <v>25828</v>
          </cell>
          <cell r="I363">
            <v>25828</v>
          </cell>
          <cell r="J363">
            <v>0</v>
          </cell>
        </row>
        <row r="364">
          <cell r="A364" t="str">
            <v>6214588711</v>
          </cell>
          <cell r="B364">
            <v>62145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6214588785</v>
          </cell>
          <cell r="B365">
            <v>62145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6214588847</v>
          </cell>
          <cell r="B366">
            <v>62145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6214588866</v>
          </cell>
          <cell r="B367">
            <v>62145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6214588870</v>
          </cell>
          <cell r="B368">
            <v>62145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6214588889</v>
          </cell>
          <cell r="B369">
            <v>62145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6214589776</v>
          </cell>
          <cell r="B370">
            <v>62145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6214589787</v>
          </cell>
          <cell r="B371">
            <v>62145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6214589510</v>
          </cell>
          <cell r="B372">
            <v>62145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6214589511</v>
          </cell>
          <cell r="B373">
            <v>62145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6214589512</v>
          </cell>
          <cell r="B374">
            <v>62145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6214589528</v>
          </cell>
          <cell r="B375">
            <v>62145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6214589529</v>
          </cell>
          <cell r="B376">
            <v>62145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6214589567</v>
          </cell>
          <cell r="B377">
            <v>62145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6214585058</v>
          </cell>
          <cell r="B378">
            <v>62145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6214586513</v>
          </cell>
          <cell r="B379">
            <v>62145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91.32</v>
          </cell>
          <cell r="G379">
            <v>-91.32</v>
          </cell>
          <cell r="H379">
            <v>1624.29</v>
          </cell>
          <cell r="I379">
            <v>1624.29</v>
          </cell>
          <cell r="J379">
            <v>0</v>
          </cell>
        </row>
        <row r="380">
          <cell r="A380" t="str">
            <v>6214586519</v>
          </cell>
          <cell r="B380">
            <v>62145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6214588770</v>
          </cell>
          <cell r="B381">
            <v>62145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6214588862</v>
          </cell>
          <cell r="B382">
            <v>62145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6214588874</v>
          </cell>
          <cell r="B383">
            <v>62145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6214589910</v>
          </cell>
          <cell r="B384">
            <v>62145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37623.870000000003</v>
          </cell>
          <cell r="G384">
            <v>-37623.870000000003</v>
          </cell>
          <cell r="H384">
            <v>451881.63</v>
          </cell>
          <cell r="I384">
            <v>451881.63</v>
          </cell>
          <cell r="J384">
            <v>0</v>
          </cell>
        </row>
        <row r="385">
          <cell r="A385" t="str">
            <v>6214589548</v>
          </cell>
          <cell r="B385">
            <v>62145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6217041010</v>
          </cell>
          <cell r="B386">
            <v>62170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6217041040</v>
          </cell>
          <cell r="B387">
            <v>62170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6217041050</v>
          </cell>
          <cell r="B388">
            <v>62170</v>
          </cell>
          <cell r="C388">
            <v>41050</v>
          </cell>
          <cell r="D388" t="str">
            <v>Rental Income - Fixed</v>
          </cell>
          <cell r="E388">
            <v>-151442.62</v>
          </cell>
          <cell r="F388">
            <v>-151442.62</v>
          </cell>
          <cell r="G388">
            <v>0</v>
          </cell>
          <cell r="H388">
            <v>-1832336.32</v>
          </cell>
          <cell r="I388">
            <v>-1832336.32</v>
          </cell>
          <cell r="J388">
            <v>0</v>
          </cell>
        </row>
        <row r="389">
          <cell r="A389" t="str">
            <v>6217041074</v>
          </cell>
          <cell r="B389">
            <v>62170</v>
          </cell>
          <cell r="C389">
            <v>41074</v>
          </cell>
          <cell r="D389" t="str">
            <v>Rental Income - Percentage</v>
          </cell>
          <cell r="E389">
            <v>-40265</v>
          </cell>
          <cell r="F389">
            <v>-34004</v>
          </cell>
          <cell r="G389">
            <v>-6261</v>
          </cell>
          <cell r="H389">
            <v>-188491</v>
          </cell>
          <cell r="I389">
            <v>-188491</v>
          </cell>
          <cell r="J389">
            <v>0</v>
          </cell>
        </row>
        <row r="390">
          <cell r="A390" t="str">
            <v>6217041082</v>
          </cell>
          <cell r="B390">
            <v>62170</v>
          </cell>
          <cell r="C390">
            <v>41082</v>
          </cell>
          <cell r="D390" t="str">
            <v>Rental Income - Operating Exp</v>
          </cell>
          <cell r="E390">
            <v>-35415.370000000003</v>
          </cell>
          <cell r="F390">
            <v>-43922.34</v>
          </cell>
          <cell r="G390">
            <v>8506.9699999999903</v>
          </cell>
          <cell r="H390">
            <v>-527068.07999999996</v>
          </cell>
          <cell r="I390">
            <v>-527068.07999999996</v>
          </cell>
          <cell r="J390">
            <v>0</v>
          </cell>
        </row>
        <row r="391">
          <cell r="A391" t="str">
            <v>6217044610</v>
          </cell>
          <cell r="B391">
            <v>62170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6217045071</v>
          </cell>
          <cell r="B392">
            <v>62170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6217045010</v>
          </cell>
          <cell r="B393">
            <v>62170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6217045046</v>
          </cell>
          <cell r="B394">
            <v>62170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6217045070</v>
          </cell>
          <cell r="B395">
            <v>62170</v>
          </cell>
          <cell r="C395">
            <v>45070</v>
          </cell>
          <cell r="D395" t="str">
            <v>Other Income</v>
          </cell>
          <cell r="E395">
            <v>0</v>
          </cell>
          <cell r="F395">
            <v>-47.83</v>
          </cell>
          <cell r="G395">
            <v>47.83</v>
          </cell>
          <cell r="H395">
            <v>-812.33</v>
          </cell>
          <cell r="I395">
            <v>-812.33</v>
          </cell>
          <cell r="J395">
            <v>0</v>
          </cell>
        </row>
        <row r="396">
          <cell r="A396" t="str">
            <v>6217041060</v>
          </cell>
          <cell r="B396">
            <v>62170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3184.92</v>
          </cell>
          <cell r="G396">
            <v>-3184.92</v>
          </cell>
          <cell r="H396">
            <v>38219</v>
          </cell>
          <cell r="I396">
            <v>38219</v>
          </cell>
          <cell r="J396">
            <v>0</v>
          </cell>
        </row>
        <row r="397">
          <cell r="A397" t="str">
            <v>6217044870</v>
          </cell>
          <cell r="B397">
            <v>62170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-515</v>
          </cell>
          <cell r="I397">
            <v>-515</v>
          </cell>
          <cell r="J397">
            <v>0</v>
          </cell>
        </row>
        <row r="398">
          <cell r="A398" t="str">
            <v>6217052542</v>
          </cell>
          <cell r="B398">
            <v>62170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6217072710</v>
          </cell>
          <cell r="B399">
            <v>62170</v>
          </cell>
          <cell r="C399">
            <v>72710</v>
          </cell>
          <cell r="D399" t="str">
            <v>Utilities - Electricity</v>
          </cell>
          <cell r="E399">
            <v>1000</v>
          </cell>
          <cell r="F399">
            <v>816</v>
          </cell>
          <cell r="G399">
            <v>184</v>
          </cell>
          <cell r="H399">
            <v>11008.14</v>
          </cell>
          <cell r="I399">
            <v>11008.14</v>
          </cell>
          <cell r="J399">
            <v>0</v>
          </cell>
        </row>
        <row r="400">
          <cell r="A400" t="str">
            <v>6217072740</v>
          </cell>
          <cell r="B400">
            <v>62170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6217072770</v>
          </cell>
          <cell r="B401">
            <v>62170</v>
          </cell>
          <cell r="C401">
            <v>72770</v>
          </cell>
          <cell r="D401" t="str">
            <v>Utilities - Water</v>
          </cell>
          <cell r="E401">
            <v>100</v>
          </cell>
          <cell r="F401">
            <v>52</v>
          </cell>
          <cell r="G401">
            <v>48</v>
          </cell>
          <cell r="H401">
            <v>1292.06</v>
          </cell>
          <cell r="I401">
            <v>1292.06</v>
          </cell>
          <cell r="J401">
            <v>0</v>
          </cell>
        </row>
        <row r="402">
          <cell r="A402" t="str">
            <v>6217076000</v>
          </cell>
          <cell r="B402">
            <v>62170</v>
          </cell>
          <cell r="C402">
            <v>76000</v>
          </cell>
          <cell r="D402" t="str">
            <v>Bldg Maintenance &amp; Repair</v>
          </cell>
          <cell r="E402">
            <v>411.2</v>
          </cell>
          <cell r="F402">
            <v>1475.48</v>
          </cell>
          <cell r="G402">
            <v>-1064.28</v>
          </cell>
          <cell r="H402">
            <v>42662.37</v>
          </cell>
          <cell r="I402">
            <v>42662.37</v>
          </cell>
          <cell r="J402">
            <v>0</v>
          </cell>
        </row>
        <row r="403">
          <cell r="A403" t="str">
            <v>6217076020</v>
          </cell>
          <cell r="B403">
            <v>62170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-30.9</v>
          </cell>
          <cell r="G403">
            <v>30.9</v>
          </cell>
          <cell r="H403">
            <v>123.6</v>
          </cell>
          <cell r="I403">
            <v>123.6</v>
          </cell>
          <cell r="J403">
            <v>0</v>
          </cell>
        </row>
        <row r="404">
          <cell r="A404" t="str">
            <v>6217076034</v>
          </cell>
          <cell r="B404">
            <v>62170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6217076050</v>
          </cell>
          <cell r="B405">
            <v>62170</v>
          </cell>
          <cell r="C405">
            <v>76050</v>
          </cell>
          <cell r="D405" t="str">
            <v>Cleaning Expense</v>
          </cell>
          <cell r="E405">
            <v>5029.7</v>
          </cell>
          <cell r="F405">
            <v>5298.02</v>
          </cell>
          <cell r="G405">
            <v>-268.32000000000102</v>
          </cell>
          <cell r="H405">
            <v>62068.12</v>
          </cell>
          <cell r="I405">
            <v>62068.12</v>
          </cell>
          <cell r="J405">
            <v>0</v>
          </cell>
        </row>
        <row r="406">
          <cell r="A406" t="str">
            <v>6217076056</v>
          </cell>
          <cell r="B406">
            <v>62170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6217076070</v>
          </cell>
          <cell r="B407">
            <v>62170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6217076091</v>
          </cell>
          <cell r="B408">
            <v>62170</v>
          </cell>
          <cell r="C408">
            <v>76091</v>
          </cell>
          <cell r="D408" t="str">
            <v>Parking Maintenance</v>
          </cell>
          <cell r="E408">
            <v>2350</v>
          </cell>
          <cell r="F408">
            <v>2214.5</v>
          </cell>
          <cell r="G408">
            <v>135.5</v>
          </cell>
          <cell r="H408">
            <v>31680.09</v>
          </cell>
          <cell r="I408">
            <v>31680.09</v>
          </cell>
          <cell r="J408">
            <v>0</v>
          </cell>
        </row>
        <row r="409">
          <cell r="A409" t="str">
            <v>6217077000</v>
          </cell>
          <cell r="B409">
            <v>62170</v>
          </cell>
          <cell r="C409">
            <v>77000</v>
          </cell>
          <cell r="D409" t="str">
            <v>Grounds Maintenance</v>
          </cell>
          <cell r="E409">
            <v>776.95</v>
          </cell>
          <cell r="F409">
            <v>666.88</v>
          </cell>
          <cell r="G409">
            <v>110.07</v>
          </cell>
          <cell r="H409">
            <v>40478.29</v>
          </cell>
          <cell r="I409">
            <v>40478.29</v>
          </cell>
          <cell r="J409">
            <v>0</v>
          </cell>
        </row>
        <row r="410">
          <cell r="A410" t="str">
            <v>6217077053</v>
          </cell>
          <cell r="B410">
            <v>62170</v>
          </cell>
          <cell r="C410">
            <v>77053</v>
          </cell>
          <cell r="D410" t="str">
            <v>Landscaping</v>
          </cell>
          <cell r="E410">
            <v>1194</v>
          </cell>
          <cell r="F410">
            <v>1256.31</v>
          </cell>
          <cell r="G410">
            <v>-62.309999999999903</v>
          </cell>
          <cell r="H410">
            <v>37916.15</v>
          </cell>
          <cell r="I410">
            <v>37916.15</v>
          </cell>
          <cell r="J410">
            <v>0</v>
          </cell>
        </row>
        <row r="411">
          <cell r="A411" t="str">
            <v>6217078020</v>
          </cell>
          <cell r="B411">
            <v>62170</v>
          </cell>
          <cell r="C411">
            <v>78020</v>
          </cell>
          <cell r="D411" t="str">
            <v>Amortized CAM Exp</v>
          </cell>
          <cell r="E411">
            <v>4769</v>
          </cell>
          <cell r="F411">
            <v>4166.67</v>
          </cell>
          <cell r="G411">
            <v>602.33000000000004</v>
          </cell>
          <cell r="H411">
            <v>50000</v>
          </cell>
          <cell r="I411">
            <v>50000</v>
          </cell>
          <cell r="J411">
            <v>0</v>
          </cell>
        </row>
        <row r="412">
          <cell r="A412" t="str">
            <v>6217084264</v>
          </cell>
          <cell r="B412">
            <v>62170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6217085555</v>
          </cell>
          <cell r="B413">
            <v>62170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6217085584</v>
          </cell>
          <cell r="B414">
            <v>62170</v>
          </cell>
          <cell r="C414">
            <v>85584</v>
          </cell>
          <cell r="D414" t="str">
            <v>Bldg Admin-Office Costs</v>
          </cell>
          <cell r="E414">
            <v>456.7</v>
          </cell>
          <cell r="F414">
            <v>710.25</v>
          </cell>
          <cell r="G414">
            <v>-253.55</v>
          </cell>
          <cell r="H414">
            <v>8523</v>
          </cell>
          <cell r="I414">
            <v>8523</v>
          </cell>
          <cell r="J414">
            <v>0</v>
          </cell>
        </row>
        <row r="415">
          <cell r="A415" t="str">
            <v>6217085582</v>
          </cell>
          <cell r="B415">
            <v>62170</v>
          </cell>
          <cell r="C415">
            <v>85582</v>
          </cell>
          <cell r="D415" t="str">
            <v>Bldg Admin-Salaries</v>
          </cell>
          <cell r="E415">
            <v>3401.38</v>
          </cell>
          <cell r="F415">
            <v>3401.67</v>
          </cell>
          <cell r="G415">
            <v>-0.28999999999996401</v>
          </cell>
          <cell r="H415">
            <v>43357.03</v>
          </cell>
          <cell r="I415">
            <v>43357.03</v>
          </cell>
          <cell r="J415">
            <v>0</v>
          </cell>
        </row>
        <row r="416">
          <cell r="A416" t="str">
            <v>6217086564</v>
          </cell>
          <cell r="B416">
            <v>62170</v>
          </cell>
          <cell r="C416">
            <v>86564</v>
          </cell>
          <cell r="D416" t="str">
            <v>Insurance</v>
          </cell>
          <cell r="E416">
            <v>2437</v>
          </cell>
          <cell r="F416">
            <v>2436.91</v>
          </cell>
          <cell r="G416">
            <v>9.0000000000145505E-2</v>
          </cell>
          <cell r="H416">
            <v>29243</v>
          </cell>
          <cell r="I416">
            <v>29243</v>
          </cell>
          <cell r="J416">
            <v>0</v>
          </cell>
        </row>
        <row r="417">
          <cell r="A417" t="str">
            <v>6217088846</v>
          </cell>
          <cell r="B417">
            <v>62170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6217088890</v>
          </cell>
          <cell r="B418">
            <v>62170</v>
          </cell>
          <cell r="C418">
            <v>88890</v>
          </cell>
          <cell r="D418" t="str">
            <v>Security/Safety</v>
          </cell>
          <cell r="E418">
            <v>2969.49</v>
          </cell>
          <cell r="F418">
            <v>3272.08</v>
          </cell>
          <cell r="G418">
            <v>-302.58999999999997</v>
          </cell>
          <cell r="H418">
            <v>34554.35</v>
          </cell>
          <cell r="I418">
            <v>34554.35</v>
          </cell>
          <cell r="J418">
            <v>0</v>
          </cell>
        </row>
        <row r="419">
          <cell r="A419" t="str">
            <v>6217089775</v>
          </cell>
          <cell r="B419">
            <v>62170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6217089729</v>
          </cell>
          <cell r="B420">
            <v>62170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6217089786</v>
          </cell>
          <cell r="B421">
            <v>62170</v>
          </cell>
          <cell r="C421">
            <v>89786</v>
          </cell>
          <cell r="D421" t="str">
            <v>Property Tax Exp</v>
          </cell>
          <cell r="E421">
            <v>7776.58</v>
          </cell>
          <cell r="F421">
            <v>7776.58</v>
          </cell>
          <cell r="G421">
            <v>0</v>
          </cell>
          <cell r="H421">
            <v>93319</v>
          </cell>
          <cell r="I421">
            <v>93319</v>
          </cell>
          <cell r="J421">
            <v>0</v>
          </cell>
        </row>
        <row r="422">
          <cell r="A422" t="str">
            <v>6217071040</v>
          </cell>
          <cell r="B422">
            <v>62170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6217072701</v>
          </cell>
          <cell r="B423">
            <v>62170</v>
          </cell>
          <cell r="C423">
            <v>72701</v>
          </cell>
          <cell r="D423" t="str">
            <v>Utilities</v>
          </cell>
          <cell r="E423">
            <v>36.44</v>
          </cell>
          <cell r="F423">
            <v>0</v>
          </cell>
          <cell r="G423">
            <v>36.44</v>
          </cell>
          <cell r="H423">
            <v>257.5</v>
          </cell>
          <cell r="I423">
            <v>257.5</v>
          </cell>
          <cell r="J423">
            <v>0</v>
          </cell>
        </row>
        <row r="424">
          <cell r="A424" t="str">
            <v>6217072855</v>
          </cell>
          <cell r="B424">
            <v>62170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6217072870</v>
          </cell>
          <cell r="B425">
            <v>62170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6217076010</v>
          </cell>
          <cell r="B426">
            <v>62170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0</v>
          </cell>
          <cell r="G426">
            <v>0</v>
          </cell>
          <cell r="H426">
            <v>103</v>
          </cell>
          <cell r="I426">
            <v>103</v>
          </cell>
          <cell r="J426">
            <v>0</v>
          </cell>
        </row>
        <row r="427">
          <cell r="A427" t="str">
            <v>6217076040</v>
          </cell>
          <cell r="B427">
            <v>62170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6217076051</v>
          </cell>
          <cell r="B428">
            <v>62170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6217076054</v>
          </cell>
          <cell r="B429">
            <v>62170</v>
          </cell>
          <cell r="C429">
            <v>76054</v>
          </cell>
          <cell r="D429" t="str">
            <v>Bldg Maintenance &amp; Repair</v>
          </cell>
          <cell r="E429">
            <v>19.5</v>
          </cell>
          <cell r="F429">
            <v>6130.55</v>
          </cell>
          <cell r="G429">
            <v>-6111.05</v>
          </cell>
          <cell r="H429">
            <v>25344.65</v>
          </cell>
          <cell r="I429">
            <v>25344.65</v>
          </cell>
          <cell r="J429">
            <v>0</v>
          </cell>
        </row>
        <row r="430">
          <cell r="A430" t="str">
            <v>6217076060</v>
          </cell>
          <cell r="B430">
            <v>62170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6217076071</v>
          </cell>
          <cell r="B431">
            <v>62170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68618</v>
          </cell>
          <cell r="I431">
            <v>68618</v>
          </cell>
          <cell r="J431">
            <v>0</v>
          </cell>
        </row>
        <row r="432">
          <cell r="A432" t="str">
            <v>6217076090</v>
          </cell>
          <cell r="B432">
            <v>62170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6217077001</v>
          </cell>
          <cell r="B433">
            <v>62170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6217077022</v>
          </cell>
          <cell r="B434">
            <v>62170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6217084200</v>
          </cell>
          <cell r="B435">
            <v>62170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6217084240</v>
          </cell>
          <cell r="B436">
            <v>62170</v>
          </cell>
          <cell r="C436">
            <v>84240</v>
          </cell>
          <cell r="D436" t="str">
            <v>Marketing Leasing</v>
          </cell>
          <cell r="E436">
            <v>13.77</v>
          </cell>
          <cell r="F436">
            <v>169.42</v>
          </cell>
          <cell r="G436">
            <v>-155.65</v>
          </cell>
          <cell r="H436">
            <v>2033</v>
          </cell>
          <cell r="I436">
            <v>2033</v>
          </cell>
          <cell r="J436">
            <v>0</v>
          </cell>
        </row>
        <row r="437">
          <cell r="A437" t="str">
            <v>6217084242</v>
          </cell>
          <cell r="B437">
            <v>62170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6217084243</v>
          </cell>
          <cell r="B438">
            <v>62170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6217084244</v>
          </cell>
          <cell r="B439">
            <v>62170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6217084265</v>
          </cell>
          <cell r="B440">
            <v>62170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6217088037</v>
          </cell>
          <cell r="B441">
            <v>62170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6217085016</v>
          </cell>
          <cell r="B442">
            <v>62170</v>
          </cell>
          <cell r="C442">
            <v>85016</v>
          </cell>
          <cell r="D442" t="str">
            <v>Prof Svc-Attorney Outside</v>
          </cell>
          <cell r="E442">
            <v>48</v>
          </cell>
          <cell r="F442">
            <v>0</v>
          </cell>
          <cell r="G442">
            <v>48</v>
          </cell>
          <cell r="H442">
            <v>3284.31</v>
          </cell>
          <cell r="I442">
            <v>3284.31</v>
          </cell>
          <cell r="J442">
            <v>0</v>
          </cell>
        </row>
        <row r="443">
          <cell r="A443" t="str">
            <v>6217085022</v>
          </cell>
          <cell r="B443">
            <v>62170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2153.06</v>
          </cell>
          <cell r="I443">
            <v>2153.06</v>
          </cell>
          <cell r="J443">
            <v>0</v>
          </cell>
        </row>
        <row r="444">
          <cell r="A444" t="str">
            <v>6217085065</v>
          </cell>
          <cell r="B444">
            <v>62170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6217085500</v>
          </cell>
          <cell r="B445">
            <v>62170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0</v>
          </cell>
          <cell r="G445">
            <v>0</v>
          </cell>
          <cell r="H445">
            <v>13711.98</v>
          </cell>
          <cell r="I445">
            <v>13711.98</v>
          </cell>
          <cell r="J445">
            <v>0</v>
          </cell>
        </row>
        <row r="446">
          <cell r="A446" t="str">
            <v>6217085566</v>
          </cell>
          <cell r="B446">
            <v>62170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6217085581</v>
          </cell>
          <cell r="B447">
            <v>62170</v>
          </cell>
          <cell r="C447">
            <v>85581</v>
          </cell>
          <cell r="D447" t="str">
            <v>Bldg Admin- Salaries</v>
          </cell>
          <cell r="E447">
            <v>3241.6</v>
          </cell>
          <cell r="F447">
            <v>3242</v>
          </cell>
          <cell r="G447">
            <v>-0.400000000000091</v>
          </cell>
          <cell r="H447">
            <v>40675</v>
          </cell>
          <cell r="I447">
            <v>40675</v>
          </cell>
          <cell r="J447">
            <v>0</v>
          </cell>
        </row>
        <row r="448">
          <cell r="A448" t="str">
            <v>6217085583</v>
          </cell>
          <cell r="B448">
            <v>62170</v>
          </cell>
          <cell r="C448">
            <v>85583</v>
          </cell>
          <cell r="D448" t="str">
            <v>Bldg Admin-Office Exp.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6217085530</v>
          </cell>
          <cell r="B449">
            <v>62170</v>
          </cell>
          <cell r="C449">
            <v>85530</v>
          </cell>
          <cell r="D449" t="str">
            <v>Bldg Admin - Office Exp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6217086012</v>
          </cell>
          <cell r="B450">
            <v>62170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6217086037</v>
          </cell>
          <cell r="B451">
            <v>62170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6217083050</v>
          </cell>
          <cell r="B452">
            <v>62170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6217086510</v>
          </cell>
          <cell r="B453">
            <v>62170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6217086537</v>
          </cell>
          <cell r="B454">
            <v>62170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6217086566</v>
          </cell>
          <cell r="B455">
            <v>62170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6217086955</v>
          </cell>
          <cell r="B456">
            <v>62170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6217086985</v>
          </cell>
          <cell r="B457">
            <v>62170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6217086880</v>
          </cell>
          <cell r="B458">
            <v>62170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6217088710</v>
          </cell>
          <cell r="B459">
            <v>62170</v>
          </cell>
          <cell r="C459">
            <v>88710</v>
          </cell>
          <cell r="D459" t="str">
            <v>Losses-Bad Debts</v>
          </cell>
          <cell r="E459">
            <v>0</v>
          </cell>
          <cell r="F459">
            <v>0.08</v>
          </cell>
          <cell r="G459">
            <v>-0.08</v>
          </cell>
          <cell r="H459">
            <v>38240.639999999999</v>
          </cell>
          <cell r="I459">
            <v>38240.639999999999</v>
          </cell>
          <cell r="J459">
            <v>0</v>
          </cell>
        </row>
        <row r="460">
          <cell r="A460" t="str">
            <v>6217088711</v>
          </cell>
          <cell r="B460">
            <v>62170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6217088785</v>
          </cell>
          <cell r="B461">
            <v>62170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6217088847</v>
          </cell>
          <cell r="B462">
            <v>62170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6217088866</v>
          </cell>
          <cell r="B463">
            <v>62170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6217088870</v>
          </cell>
          <cell r="B464">
            <v>62170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6217088889</v>
          </cell>
          <cell r="B465">
            <v>62170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6217089776</v>
          </cell>
          <cell r="B466">
            <v>62170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6217089787</v>
          </cell>
          <cell r="B467">
            <v>62170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6217089510</v>
          </cell>
          <cell r="B468">
            <v>62170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34624</v>
          </cell>
          <cell r="G468">
            <v>-34624</v>
          </cell>
          <cell r="H468">
            <v>400024</v>
          </cell>
          <cell r="I468">
            <v>400024</v>
          </cell>
          <cell r="J468">
            <v>0</v>
          </cell>
        </row>
        <row r="469">
          <cell r="A469" t="str">
            <v>6217089511</v>
          </cell>
          <cell r="B469">
            <v>62170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6217089512</v>
          </cell>
          <cell r="B470">
            <v>62170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6217089528</v>
          </cell>
          <cell r="B471">
            <v>62170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6217089529</v>
          </cell>
          <cell r="B472">
            <v>62170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778</v>
          </cell>
          <cell r="G472">
            <v>-778</v>
          </cell>
          <cell r="H472">
            <v>9336</v>
          </cell>
          <cell r="I472">
            <v>9336</v>
          </cell>
          <cell r="J472">
            <v>0</v>
          </cell>
        </row>
        <row r="473">
          <cell r="A473" t="str">
            <v>6217089567</v>
          </cell>
          <cell r="B473">
            <v>62170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6217085058</v>
          </cell>
          <cell r="B474">
            <v>62170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6217086513</v>
          </cell>
          <cell r="B475">
            <v>62170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0</v>
          </cell>
          <cell r="G475">
            <v>0</v>
          </cell>
          <cell r="H475">
            <v>568.20000000000005</v>
          </cell>
          <cell r="I475">
            <v>568.20000000000005</v>
          </cell>
          <cell r="J475">
            <v>0</v>
          </cell>
        </row>
        <row r="476">
          <cell r="A476" t="str">
            <v>6217086519</v>
          </cell>
          <cell r="B476">
            <v>62170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6217088770</v>
          </cell>
          <cell r="B477">
            <v>62170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6217088862</v>
          </cell>
          <cell r="B478">
            <v>62170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6217088874</v>
          </cell>
          <cell r="B479">
            <v>62170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6217089910</v>
          </cell>
          <cell r="B480">
            <v>62170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13057.14</v>
          </cell>
          <cell r="G480">
            <v>-13057.14</v>
          </cell>
          <cell r="H480">
            <v>157224.95000000001</v>
          </cell>
          <cell r="I480">
            <v>157224.95000000001</v>
          </cell>
          <cell r="J480">
            <v>0</v>
          </cell>
        </row>
        <row r="481">
          <cell r="A481" t="str">
            <v>6217089548</v>
          </cell>
          <cell r="B481">
            <v>62170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6219541010</v>
          </cell>
          <cell r="B482">
            <v>62195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6219541040</v>
          </cell>
          <cell r="B483">
            <v>62195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6219541050</v>
          </cell>
          <cell r="B484">
            <v>62195</v>
          </cell>
          <cell r="C484">
            <v>41050</v>
          </cell>
          <cell r="D484" t="str">
            <v>Rental Income - Fixed</v>
          </cell>
          <cell r="E484">
            <v>-890517.86</v>
          </cell>
          <cell r="F484">
            <v>-944574.63</v>
          </cell>
          <cell r="G484">
            <v>54056.77</v>
          </cell>
          <cell r="H484">
            <v>-6034463.0899999999</v>
          </cell>
          <cell r="I484">
            <v>-6034463.0899999999</v>
          </cell>
          <cell r="J484">
            <v>0</v>
          </cell>
        </row>
        <row r="485">
          <cell r="A485" t="str">
            <v>6219541074</v>
          </cell>
          <cell r="B485">
            <v>62195</v>
          </cell>
          <cell r="C485">
            <v>41074</v>
          </cell>
          <cell r="D485" t="str">
            <v>Rental Income - Percentage</v>
          </cell>
          <cell r="E485">
            <v>0</v>
          </cell>
          <cell r="F485">
            <v>0</v>
          </cell>
          <cell r="G485">
            <v>0</v>
          </cell>
          <cell r="H485">
            <v>-5110</v>
          </cell>
          <cell r="I485">
            <v>-5110</v>
          </cell>
          <cell r="J485">
            <v>0</v>
          </cell>
        </row>
        <row r="486">
          <cell r="A486" t="str">
            <v>6219541082</v>
          </cell>
          <cell r="B486">
            <v>62195</v>
          </cell>
          <cell r="C486">
            <v>41082</v>
          </cell>
          <cell r="D486" t="str">
            <v>Rental Income - Operating Exp</v>
          </cell>
          <cell r="E486">
            <v>-195009.49</v>
          </cell>
          <cell r="F486">
            <v>-221312.26</v>
          </cell>
          <cell r="G486">
            <v>26302.77</v>
          </cell>
          <cell r="H486">
            <v>-1327873.56</v>
          </cell>
          <cell r="I486">
            <v>-1327873.56</v>
          </cell>
          <cell r="J486">
            <v>0</v>
          </cell>
        </row>
        <row r="487">
          <cell r="A487" t="str">
            <v>6219544610</v>
          </cell>
          <cell r="B487">
            <v>62195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6219545071</v>
          </cell>
          <cell r="B488">
            <v>62195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6219545010</v>
          </cell>
          <cell r="B489">
            <v>62195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6219545046</v>
          </cell>
          <cell r="B490">
            <v>62195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6219545070</v>
          </cell>
          <cell r="B491">
            <v>62195</v>
          </cell>
          <cell r="C491">
            <v>45070</v>
          </cell>
          <cell r="D491" t="str">
            <v>Other Income</v>
          </cell>
          <cell r="E491">
            <v>-0.42</v>
          </cell>
          <cell r="F491">
            <v>0</v>
          </cell>
          <cell r="G491">
            <v>-0.42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6219541060</v>
          </cell>
          <cell r="B492">
            <v>62195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24557.5</v>
          </cell>
          <cell r="G492">
            <v>-24557.5</v>
          </cell>
          <cell r="H492">
            <v>147345</v>
          </cell>
          <cell r="I492">
            <v>147345</v>
          </cell>
          <cell r="J492">
            <v>0</v>
          </cell>
        </row>
        <row r="493">
          <cell r="A493" t="str">
            <v>6219544870</v>
          </cell>
          <cell r="B493">
            <v>62195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6219552542</v>
          </cell>
          <cell r="B494">
            <v>62195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6219572710</v>
          </cell>
          <cell r="B495">
            <v>62195</v>
          </cell>
          <cell r="C495">
            <v>72710</v>
          </cell>
          <cell r="D495" t="str">
            <v>Utilities - Electricity</v>
          </cell>
          <cell r="E495">
            <v>10037.83</v>
          </cell>
          <cell r="F495">
            <v>3432.64</v>
          </cell>
          <cell r="G495">
            <v>6605.19</v>
          </cell>
          <cell r="H495">
            <v>56579.4</v>
          </cell>
          <cell r="I495">
            <v>56579.4</v>
          </cell>
          <cell r="J495">
            <v>0</v>
          </cell>
        </row>
        <row r="496">
          <cell r="A496" t="str">
            <v>6219572740</v>
          </cell>
          <cell r="B496">
            <v>62195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6219572770</v>
          </cell>
          <cell r="B497">
            <v>62195</v>
          </cell>
          <cell r="C497">
            <v>72770</v>
          </cell>
          <cell r="D497" t="str">
            <v>Utilities - Water</v>
          </cell>
          <cell r="E497">
            <v>2181.17</v>
          </cell>
          <cell r="F497">
            <v>3455.37</v>
          </cell>
          <cell r="G497">
            <v>-1274.2</v>
          </cell>
          <cell r="H497">
            <v>30590.59</v>
          </cell>
          <cell r="I497">
            <v>30590.59</v>
          </cell>
          <cell r="J497">
            <v>0</v>
          </cell>
        </row>
        <row r="498">
          <cell r="A498" t="str">
            <v>6219576000</v>
          </cell>
          <cell r="B498">
            <v>62195</v>
          </cell>
          <cell r="C498">
            <v>76000</v>
          </cell>
          <cell r="D498" t="str">
            <v>Bldg Maintenance &amp; Repair</v>
          </cell>
          <cell r="E498">
            <v>7823.56</v>
          </cell>
          <cell r="F498">
            <v>10403.049999999999</v>
          </cell>
          <cell r="G498">
            <v>-2579.4899999999998</v>
          </cell>
          <cell r="H498">
            <v>89863.53</v>
          </cell>
          <cell r="I498">
            <v>89863.53</v>
          </cell>
          <cell r="J498">
            <v>0</v>
          </cell>
        </row>
        <row r="499">
          <cell r="A499" t="str">
            <v>6219576020</v>
          </cell>
          <cell r="B499">
            <v>62195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6219576034</v>
          </cell>
          <cell r="B500">
            <v>62195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6219576050</v>
          </cell>
          <cell r="B501">
            <v>62195</v>
          </cell>
          <cell r="C501">
            <v>76050</v>
          </cell>
          <cell r="D501" t="str">
            <v>Cleaning Expense</v>
          </cell>
          <cell r="E501">
            <v>23703.62</v>
          </cell>
          <cell r="F501">
            <v>21376.82</v>
          </cell>
          <cell r="G501">
            <v>2326.8000000000002</v>
          </cell>
          <cell r="H501">
            <v>132954.41</v>
          </cell>
          <cell r="I501">
            <v>132954.41</v>
          </cell>
          <cell r="J501">
            <v>0</v>
          </cell>
        </row>
        <row r="502">
          <cell r="A502" t="str">
            <v>6219576056</v>
          </cell>
          <cell r="B502">
            <v>62195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6219576070</v>
          </cell>
          <cell r="B503">
            <v>62195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6219576091</v>
          </cell>
          <cell r="B504">
            <v>62195</v>
          </cell>
          <cell r="C504">
            <v>76091</v>
          </cell>
          <cell r="D504" t="str">
            <v>Parking Maintenance</v>
          </cell>
          <cell r="E504">
            <v>8781.44</v>
          </cell>
          <cell r="F504">
            <v>8260.6</v>
          </cell>
          <cell r="G504">
            <v>520.84</v>
          </cell>
          <cell r="H504">
            <v>75732.22</v>
          </cell>
          <cell r="I504">
            <v>75732.22</v>
          </cell>
          <cell r="J504">
            <v>0</v>
          </cell>
        </row>
        <row r="505">
          <cell r="A505" t="str">
            <v>6219577000</v>
          </cell>
          <cell r="B505">
            <v>62195</v>
          </cell>
          <cell r="C505">
            <v>77000</v>
          </cell>
          <cell r="D505" t="str">
            <v>Grounds Maintenance</v>
          </cell>
          <cell r="E505">
            <v>11209.04</v>
          </cell>
          <cell r="F505">
            <v>16206.09</v>
          </cell>
          <cell r="G505">
            <v>-4997.05</v>
          </cell>
          <cell r="H505">
            <v>63181.35</v>
          </cell>
          <cell r="I505">
            <v>63181.35</v>
          </cell>
          <cell r="J505">
            <v>0</v>
          </cell>
        </row>
        <row r="506">
          <cell r="A506" t="str">
            <v>6219577053</v>
          </cell>
          <cell r="B506">
            <v>62195</v>
          </cell>
          <cell r="C506">
            <v>77053</v>
          </cell>
          <cell r="D506" t="str">
            <v>Landscaping</v>
          </cell>
          <cell r="E506">
            <v>12700</v>
          </cell>
          <cell r="F506">
            <v>16588</v>
          </cell>
          <cell r="G506">
            <v>-3888</v>
          </cell>
          <cell r="H506">
            <v>162491</v>
          </cell>
          <cell r="I506">
            <v>162491</v>
          </cell>
          <cell r="J506">
            <v>0</v>
          </cell>
        </row>
        <row r="507">
          <cell r="A507" t="str">
            <v>6219578020</v>
          </cell>
          <cell r="B507">
            <v>62195</v>
          </cell>
          <cell r="C507">
            <v>78020</v>
          </cell>
          <cell r="D507" t="str">
            <v>Amortized CAM Exp</v>
          </cell>
          <cell r="E507">
            <v>2778</v>
          </cell>
          <cell r="F507">
            <v>2777.84</v>
          </cell>
          <cell r="G507">
            <v>0.15999999999985401</v>
          </cell>
          <cell r="H507">
            <v>16667</v>
          </cell>
          <cell r="I507">
            <v>16667</v>
          </cell>
          <cell r="J507">
            <v>0</v>
          </cell>
        </row>
        <row r="508">
          <cell r="A508" t="str">
            <v>6219584264</v>
          </cell>
          <cell r="B508">
            <v>62195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6219585555</v>
          </cell>
          <cell r="B509">
            <v>62195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6219585584</v>
          </cell>
          <cell r="B510">
            <v>62195</v>
          </cell>
          <cell r="C510">
            <v>85584</v>
          </cell>
          <cell r="D510" t="str">
            <v>Bldg Admin-Office Costs</v>
          </cell>
          <cell r="E510">
            <v>5301.49</v>
          </cell>
          <cell r="F510">
            <v>5301.16</v>
          </cell>
          <cell r="G510">
            <v>0.32999999999992702</v>
          </cell>
          <cell r="H510">
            <v>31807</v>
          </cell>
          <cell r="I510">
            <v>31807</v>
          </cell>
          <cell r="J510">
            <v>0</v>
          </cell>
        </row>
        <row r="511">
          <cell r="A511" t="str">
            <v>6219585582</v>
          </cell>
          <cell r="B511">
            <v>62195</v>
          </cell>
          <cell r="C511">
            <v>85582</v>
          </cell>
          <cell r="D511" t="str">
            <v>Bldg Admin-Salaries</v>
          </cell>
          <cell r="E511">
            <v>25352.13</v>
          </cell>
          <cell r="F511">
            <v>25389.5</v>
          </cell>
          <cell r="G511">
            <v>-37.369999999999003</v>
          </cell>
          <cell r="H511">
            <v>161802.5</v>
          </cell>
          <cell r="I511">
            <v>161802.5</v>
          </cell>
          <cell r="J511">
            <v>0</v>
          </cell>
        </row>
        <row r="512">
          <cell r="A512" t="str">
            <v>6219586564</v>
          </cell>
          <cell r="B512">
            <v>62195</v>
          </cell>
          <cell r="C512">
            <v>86564</v>
          </cell>
          <cell r="D512" t="str">
            <v>Insurance</v>
          </cell>
          <cell r="E512">
            <v>14244</v>
          </cell>
          <cell r="F512">
            <v>14244.32</v>
          </cell>
          <cell r="G512">
            <v>-0.31999999999970902</v>
          </cell>
          <cell r="H512">
            <v>85466</v>
          </cell>
          <cell r="I512">
            <v>85466</v>
          </cell>
          <cell r="J512">
            <v>0</v>
          </cell>
        </row>
        <row r="513">
          <cell r="A513" t="str">
            <v>6219588846</v>
          </cell>
          <cell r="B513">
            <v>62195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6219588890</v>
          </cell>
          <cell r="B514">
            <v>62195</v>
          </cell>
          <cell r="C514">
            <v>88890</v>
          </cell>
          <cell r="D514" t="str">
            <v>Security/Safety</v>
          </cell>
          <cell r="E514">
            <v>10578.34</v>
          </cell>
          <cell r="F514">
            <v>7765.92</v>
          </cell>
          <cell r="G514">
            <v>2812.42</v>
          </cell>
          <cell r="H514">
            <v>46998.15</v>
          </cell>
          <cell r="I514">
            <v>46998.15</v>
          </cell>
          <cell r="J514">
            <v>0</v>
          </cell>
        </row>
        <row r="515">
          <cell r="A515" t="str">
            <v>6219589775</v>
          </cell>
          <cell r="B515">
            <v>62195</v>
          </cell>
          <cell r="C515">
            <v>89775</v>
          </cell>
          <cell r="D515" t="str">
            <v>Assmt Dist Taxes- Reimb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6219589729</v>
          </cell>
          <cell r="B516">
            <v>62195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6219589786</v>
          </cell>
          <cell r="B517">
            <v>62195</v>
          </cell>
          <cell r="C517">
            <v>89786</v>
          </cell>
          <cell r="D517" t="str">
            <v>Property Tax Exp</v>
          </cell>
          <cell r="E517">
            <v>45707</v>
          </cell>
          <cell r="F517">
            <v>45707</v>
          </cell>
          <cell r="G517">
            <v>0</v>
          </cell>
          <cell r="H517">
            <v>274242</v>
          </cell>
          <cell r="I517">
            <v>274242</v>
          </cell>
          <cell r="J517">
            <v>0</v>
          </cell>
        </row>
        <row r="518">
          <cell r="A518" t="str">
            <v>6219571040</v>
          </cell>
          <cell r="B518">
            <v>62195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6219572701</v>
          </cell>
          <cell r="B519">
            <v>62195</v>
          </cell>
          <cell r="C519">
            <v>72701</v>
          </cell>
          <cell r="D519" t="str">
            <v>Utilities</v>
          </cell>
          <cell r="E519">
            <v>-33.9</v>
          </cell>
          <cell r="F519">
            <v>202</v>
          </cell>
          <cell r="G519">
            <v>-235.9</v>
          </cell>
          <cell r="H519">
            <v>1212</v>
          </cell>
          <cell r="I519">
            <v>1212</v>
          </cell>
          <cell r="J519">
            <v>0</v>
          </cell>
        </row>
        <row r="520">
          <cell r="A520" t="str">
            <v>6219572855</v>
          </cell>
          <cell r="B520">
            <v>62195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6219572870</v>
          </cell>
          <cell r="B521">
            <v>62195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6219576010</v>
          </cell>
          <cell r="B522">
            <v>62195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824</v>
          </cell>
          <cell r="I522">
            <v>824</v>
          </cell>
          <cell r="J522">
            <v>0</v>
          </cell>
        </row>
        <row r="523">
          <cell r="A523" t="str">
            <v>6219576040</v>
          </cell>
          <cell r="B523">
            <v>62195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6219576051</v>
          </cell>
          <cell r="B524">
            <v>62195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6219576054</v>
          </cell>
          <cell r="B525">
            <v>62195</v>
          </cell>
          <cell r="C525">
            <v>76054</v>
          </cell>
          <cell r="D525" t="str">
            <v>Bldg Maintenance &amp; Repair</v>
          </cell>
          <cell r="E525">
            <v>117</v>
          </cell>
          <cell r="F525">
            <v>171.31</v>
          </cell>
          <cell r="G525">
            <v>-54.31</v>
          </cell>
          <cell r="H525">
            <v>31902.05</v>
          </cell>
          <cell r="I525">
            <v>31902.05</v>
          </cell>
          <cell r="J525">
            <v>0</v>
          </cell>
        </row>
        <row r="526">
          <cell r="A526" t="str">
            <v>6219576060</v>
          </cell>
          <cell r="B526">
            <v>62195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6219576071</v>
          </cell>
          <cell r="B527">
            <v>62195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150190</v>
          </cell>
          <cell r="I527">
            <v>150190</v>
          </cell>
          <cell r="J527">
            <v>0</v>
          </cell>
        </row>
        <row r="528">
          <cell r="A528" t="str">
            <v>6219576090</v>
          </cell>
          <cell r="B528">
            <v>62195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6219577001</v>
          </cell>
          <cell r="B529">
            <v>62195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6219577022</v>
          </cell>
          <cell r="B530">
            <v>62195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6219584200</v>
          </cell>
          <cell r="B531">
            <v>62195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6219584240</v>
          </cell>
          <cell r="B532">
            <v>62195</v>
          </cell>
          <cell r="C532">
            <v>84240</v>
          </cell>
          <cell r="D532" t="str">
            <v>Marketing Leasing</v>
          </cell>
          <cell r="E532">
            <v>7882.65</v>
          </cell>
          <cell r="F532">
            <v>9096.84</v>
          </cell>
          <cell r="G532">
            <v>-1214.19</v>
          </cell>
          <cell r="H532">
            <v>57401.7</v>
          </cell>
          <cell r="I532">
            <v>57401.7</v>
          </cell>
          <cell r="J532">
            <v>0</v>
          </cell>
        </row>
        <row r="533">
          <cell r="A533" t="str">
            <v>6219584242</v>
          </cell>
          <cell r="B533">
            <v>62195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6219584243</v>
          </cell>
          <cell r="B534">
            <v>62195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-47820</v>
          </cell>
          <cell r="I534">
            <v>-47820</v>
          </cell>
          <cell r="J534">
            <v>0</v>
          </cell>
        </row>
        <row r="535">
          <cell r="A535" t="str">
            <v>6219584244</v>
          </cell>
          <cell r="B535">
            <v>62195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6219584265</v>
          </cell>
          <cell r="B536">
            <v>62195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6219588037</v>
          </cell>
          <cell r="B537">
            <v>62195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6219585016</v>
          </cell>
          <cell r="B538">
            <v>62195</v>
          </cell>
          <cell r="C538">
            <v>85016</v>
          </cell>
          <cell r="D538" t="str">
            <v>Prof Svc-Attorney Outside</v>
          </cell>
          <cell r="E538">
            <v>1914.5</v>
          </cell>
          <cell r="F538">
            <v>1000</v>
          </cell>
          <cell r="G538">
            <v>914.5</v>
          </cell>
          <cell r="H538">
            <v>6229</v>
          </cell>
          <cell r="I538">
            <v>6229</v>
          </cell>
          <cell r="J538">
            <v>0</v>
          </cell>
        </row>
        <row r="539">
          <cell r="A539" t="str">
            <v>6219585022</v>
          </cell>
          <cell r="B539">
            <v>62195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3148.04</v>
          </cell>
          <cell r="I539">
            <v>3148.04</v>
          </cell>
          <cell r="J539">
            <v>0</v>
          </cell>
        </row>
        <row r="540">
          <cell r="A540" t="str">
            <v>6219585065</v>
          </cell>
          <cell r="B540">
            <v>62195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6219585500</v>
          </cell>
          <cell r="B541">
            <v>62195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139.05000000000001</v>
          </cell>
          <cell r="G541">
            <v>-139.05000000000001</v>
          </cell>
          <cell r="H541">
            <v>139.05000000000001</v>
          </cell>
          <cell r="I541">
            <v>139.05000000000001</v>
          </cell>
          <cell r="J541">
            <v>0</v>
          </cell>
        </row>
        <row r="542">
          <cell r="A542" t="str">
            <v>6219585566</v>
          </cell>
          <cell r="B542">
            <v>62195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6219585581</v>
          </cell>
          <cell r="B543">
            <v>62195</v>
          </cell>
          <cell r="C543">
            <v>85581</v>
          </cell>
          <cell r="D543" t="str">
            <v>Bldg Admin- Salaries</v>
          </cell>
          <cell r="E543">
            <v>22795.54</v>
          </cell>
          <cell r="F543">
            <v>22794.66</v>
          </cell>
          <cell r="G543">
            <v>0.88000000000101897</v>
          </cell>
          <cell r="H543">
            <v>143325.29999999999</v>
          </cell>
          <cell r="I543">
            <v>143325.29999999999</v>
          </cell>
          <cell r="J543">
            <v>0</v>
          </cell>
        </row>
        <row r="544">
          <cell r="A544" t="str">
            <v>6219585583</v>
          </cell>
          <cell r="B544">
            <v>62195</v>
          </cell>
          <cell r="C544">
            <v>85583</v>
          </cell>
          <cell r="D544" t="str">
            <v>Bldg Admin-Office Exp.</v>
          </cell>
          <cell r="E544">
            <v>64.650000000000006</v>
          </cell>
          <cell r="F544">
            <v>0</v>
          </cell>
          <cell r="G544">
            <v>64.650000000000006</v>
          </cell>
          <cell r="H544">
            <v>304</v>
          </cell>
          <cell r="I544">
            <v>304</v>
          </cell>
          <cell r="J544">
            <v>0</v>
          </cell>
        </row>
        <row r="545">
          <cell r="A545" t="str">
            <v>6219585530</v>
          </cell>
          <cell r="B545">
            <v>62195</v>
          </cell>
          <cell r="C545">
            <v>85530</v>
          </cell>
          <cell r="D545" t="str">
            <v>Bldg Admin - Office Exp</v>
          </cell>
          <cell r="E545">
            <v>64.650000000000006</v>
          </cell>
          <cell r="F545">
            <v>0</v>
          </cell>
          <cell r="G545">
            <v>64.650000000000006</v>
          </cell>
          <cell r="H545">
            <v>304</v>
          </cell>
          <cell r="I545">
            <v>304</v>
          </cell>
          <cell r="J545">
            <v>0</v>
          </cell>
        </row>
        <row r="546">
          <cell r="A546" t="str">
            <v>6219586012</v>
          </cell>
          <cell r="B546">
            <v>62195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6219586037</v>
          </cell>
          <cell r="B547">
            <v>62195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6219583050</v>
          </cell>
          <cell r="B548">
            <v>62195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6219586510</v>
          </cell>
          <cell r="B549">
            <v>62195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37595</v>
          </cell>
          <cell r="I549">
            <v>37595</v>
          </cell>
          <cell r="J549">
            <v>0</v>
          </cell>
        </row>
        <row r="550">
          <cell r="A550" t="str">
            <v>6219586537</v>
          </cell>
          <cell r="B550">
            <v>62195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6219586566</v>
          </cell>
          <cell r="B551">
            <v>62195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6219586955</v>
          </cell>
          <cell r="B552">
            <v>62195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6219586985</v>
          </cell>
          <cell r="B553">
            <v>62195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6219586880</v>
          </cell>
          <cell r="B554">
            <v>62195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6219588710</v>
          </cell>
          <cell r="B555">
            <v>62195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</v>
          </cell>
          <cell r="G555">
            <v>0</v>
          </cell>
          <cell r="H555">
            <v>110508</v>
          </cell>
          <cell r="I555">
            <v>110508</v>
          </cell>
          <cell r="J555">
            <v>0</v>
          </cell>
        </row>
        <row r="556">
          <cell r="A556" t="str">
            <v>6219588711</v>
          </cell>
          <cell r="B556">
            <v>62195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6219588785</v>
          </cell>
          <cell r="B557">
            <v>62195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6219588847</v>
          </cell>
          <cell r="B558">
            <v>62195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6219588866</v>
          </cell>
          <cell r="B559">
            <v>62195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6219588870</v>
          </cell>
          <cell r="B560">
            <v>62195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6219588889</v>
          </cell>
          <cell r="B561">
            <v>62195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6219589776</v>
          </cell>
          <cell r="B562">
            <v>62195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6219589787</v>
          </cell>
          <cell r="B563">
            <v>62195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6219589510</v>
          </cell>
          <cell r="B564">
            <v>62195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170514</v>
          </cell>
          <cell r="G564">
            <v>-170514</v>
          </cell>
          <cell r="H564">
            <v>986727</v>
          </cell>
          <cell r="I564">
            <v>986727</v>
          </cell>
          <cell r="J564">
            <v>0</v>
          </cell>
        </row>
        <row r="565">
          <cell r="A565" t="str">
            <v>6219589511</v>
          </cell>
          <cell r="B565">
            <v>62195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6219589512</v>
          </cell>
          <cell r="B566">
            <v>62195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6219589528</v>
          </cell>
          <cell r="B567">
            <v>62195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6219589529</v>
          </cell>
          <cell r="B568">
            <v>62195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3838</v>
          </cell>
          <cell r="G568">
            <v>-3838</v>
          </cell>
          <cell r="H568">
            <v>23028</v>
          </cell>
          <cell r="I568">
            <v>23028</v>
          </cell>
          <cell r="J568">
            <v>0</v>
          </cell>
        </row>
        <row r="569">
          <cell r="A569" t="str">
            <v>6219589567</v>
          </cell>
          <cell r="B569">
            <v>62195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6219585058</v>
          </cell>
          <cell r="B570">
            <v>62195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6219586513</v>
          </cell>
          <cell r="B571">
            <v>62195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601.42999999999995</v>
          </cell>
          <cell r="G571">
            <v>-601.42999999999995</v>
          </cell>
          <cell r="H571">
            <v>5520.91</v>
          </cell>
          <cell r="I571">
            <v>5520.91</v>
          </cell>
          <cell r="J571">
            <v>0</v>
          </cell>
        </row>
        <row r="572">
          <cell r="A572" t="str">
            <v>6219586519</v>
          </cell>
          <cell r="B572">
            <v>62195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6219588770</v>
          </cell>
          <cell r="B573">
            <v>62195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6219588862</v>
          </cell>
          <cell r="B574">
            <v>62195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6219588874</v>
          </cell>
          <cell r="B575">
            <v>62195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6219589910</v>
          </cell>
          <cell r="B576">
            <v>62195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190582.06</v>
          </cell>
          <cell r="G576">
            <v>-190582.06</v>
          </cell>
          <cell r="H576">
            <v>1166239.81</v>
          </cell>
          <cell r="I576">
            <v>1166239.81</v>
          </cell>
          <cell r="J576">
            <v>0</v>
          </cell>
        </row>
        <row r="577">
          <cell r="A577" t="str">
            <v>6219589548</v>
          </cell>
          <cell r="B577">
            <v>62195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6219641010</v>
          </cell>
          <cell r="B578">
            <v>62196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6219641040</v>
          </cell>
          <cell r="B579">
            <v>62196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6219641050</v>
          </cell>
          <cell r="B580">
            <v>62196</v>
          </cell>
          <cell r="C580">
            <v>41050</v>
          </cell>
          <cell r="D580" t="str">
            <v>Rental Income - Fixed</v>
          </cell>
          <cell r="E580">
            <v>-289936.28000000003</v>
          </cell>
          <cell r="F580">
            <v>-300717.62</v>
          </cell>
          <cell r="G580">
            <v>10781.34</v>
          </cell>
          <cell r="H580">
            <v>-3793919.68</v>
          </cell>
          <cell r="I580">
            <v>-3793919.68</v>
          </cell>
          <cell r="J580">
            <v>0</v>
          </cell>
        </row>
        <row r="581">
          <cell r="A581" t="str">
            <v>6219641074</v>
          </cell>
          <cell r="B581">
            <v>62196</v>
          </cell>
          <cell r="C581">
            <v>41074</v>
          </cell>
          <cell r="D581" t="str">
            <v>Rental Income - Percentage</v>
          </cell>
          <cell r="E581">
            <v>-16614</v>
          </cell>
          <cell r="F581">
            <v>0</v>
          </cell>
          <cell r="G581">
            <v>-16614</v>
          </cell>
          <cell r="H581">
            <v>-86920</v>
          </cell>
          <cell r="I581">
            <v>-86920</v>
          </cell>
          <cell r="J581">
            <v>0</v>
          </cell>
        </row>
        <row r="582">
          <cell r="A582" t="str">
            <v>6219641082</v>
          </cell>
          <cell r="B582">
            <v>62196</v>
          </cell>
          <cell r="C582">
            <v>41082</v>
          </cell>
          <cell r="D582" t="str">
            <v>Rental Income - Operating Exp</v>
          </cell>
          <cell r="E582">
            <v>-114050.48</v>
          </cell>
          <cell r="F582">
            <v>-130571.59</v>
          </cell>
          <cell r="G582">
            <v>16521.11</v>
          </cell>
          <cell r="H582">
            <v>-1566859.08</v>
          </cell>
          <cell r="I582">
            <v>-1566859.08</v>
          </cell>
          <cell r="J582">
            <v>0</v>
          </cell>
        </row>
        <row r="583">
          <cell r="A583" t="str">
            <v>6219644610</v>
          </cell>
          <cell r="B583">
            <v>62196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6219645071</v>
          </cell>
          <cell r="B584">
            <v>62196</v>
          </cell>
          <cell r="C584">
            <v>45071</v>
          </cell>
          <cell r="D584" t="str">
            <v>Termination Fee</v>
          </cell>
          <cell r="E584">
            <v>-1167.46</v>
          </cell>
          <cell r="F584">
            <v>0</v>
          </cell>
          <cell r="G584">
            <v>-1167.46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6219645010</v>
          </cell>
          <cell r="B585">
            <v>62196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6219645046</v>
          </cell>
          <cell r="B586">
            <v>62196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6219645070</v>
          </cell>
          <cell r="B587">
            <v>62196</v>
          </cell>
          <cell r="C587">
            <v>45070</v>
          </cell>
          <cell r="D587" t="str">
            <v>Other Income</v>
          </cell>
          <cell r="E587">
            <v>-0.01</v>
          </cell>
          <cell r="F587">
            <v>-71.209999999999994</v>
          </cell>
          <cell r="G587">
            <v>71.2</v>
          </cell>
          <cell r="H587">
            <v>-1428.61</v>
          </cell>
          <cell r="I587">
            <v>-1428.61</v>
          </cell>
          <cell r="J587">
            <v>0</v>
          </cell>
        </row>
        <row r="588">
          <cell r="A588" t="str">
            <v>6219641060</v>
          </cell>
          <cell r="B588">
            <v>62196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9079.33</v>
          </cell>
          <cell r="G588">
            <v>-9079.33</v>
          </cell>
          <cell r="H588">
            <v>108952</v>
          </cell>
          <cell r="I588">
            <v>108952</v>
          </cell>
          <cell r="J588">
            <v>0</v>
          </cell>
        </row>
        <row r="589">
          <cell r="A589" t="str">
            <v>6219644870</v>
          </cell>
          <cell r="B589">
            <v>62196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1.00000000002183E-2</v>
          </cell>
          <cell r="I589">
            <v>1.00000000002183E-2</v>
          </cell>
          <cell r="J589">
            <v>0</v>
          </cell>
        </row>
        <row r="590">
          <cell r="A590" t="str">
            <v>6219652542</v>
          </cell>
          <cell r="B590">
            <v>62196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6219672710</v>
          </cell>
          <cell r="B591">
            <v>62196</v>
          </cell>
          <cell r="C591">
            <v>72710</v>
          </cell>
          <cell r="D591" t="str">
            <v>Utilities - Electricity</v>
          </cell>
          <cell r="E591">
            <v>3802.97</v>
          </cell>
          <cell r="F591">
            <v>3890.93</v>
          </cell>
          <cell r="G591">
            <v>-87.96</v>
          </cell>
          <cell r="H591">
            <v>64699.68</v>
          </cell>
          <cell r="I591">
            <v>64699.68</v>
          </cell>
          <cell r="J591">
            <v>0</v>
          </cell>
        </row>
        <row r="592">
          <cell r="A592" t="str">
            <v>6219672740</v>
          </cell>
          <cell r="B592">
            <v>62196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6219672770</v>
          </cell>
          <cell r="B593">
            <v>62196</v>
          </cell>
          <cell r="C593">
            <v>72770</v>
          </cell>
          <cell r="D593" t="str">
            <v>Utilities - Water</v>
          </cell>
          <cell r="E593">
            <v>4929.49</v>
          </cell>
          <cell r="F593">
            <v>2288</v>
          </cell>
          <cell r="G593">
            <v>2641.49</v>
          </cell>
          <cell r="H593">
            <v>33688.53</v>
          </cell>
          <cell r="I593">
            <v>33688.53</v>
          </cell>
          <cell r="J593">
            <v>0</v>
          </cell>
        </row>
        <row r="594">
          <cell r="A594" t="str">
            <v>6219676000</v>
          </cell>
          <cell r="B594">
            <v>62196</v>
          </cell>
          <cell r="C594">
            <v>76000</v>
          </cell>
          <cell r="D594" t="str">
            <v>Bldg Maintenance &amp; Repair</v>
          </cell>
          <cell r="E594">
            <v>5164.17</v>
          </cell>
          <cell r="F594">
            <v>3950.05</v>
          </cell>
          <cell r="G594">
            <v>1214.1199999999999</v>
          </cell>
          <cell r="H594">
            <v>143947.12</v>
          </cell>
          <cell r="I594">
            <v>143947.12</v>
          </cell>
          <cell r="J594">
            <v>0</v>
          </cell>
        </row>
        <row r="595">
          <cell r="A595" t="str">
            <v>6219676020</v>
          </cell>
          <cell r="B595">
            <v>62196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6219676034</v>
          </cell>
          <cell r="B596">
            <v>62196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6219676050</v>
          </cell>
          <cell r="B597">
            <v>62196</v>
          </cell>
          <cell r="C597">
            <v>76050</v>
          </cell>
          <cell r="D597" t="str">
            <v>Cleaning Expense</v>
          </cell>
          <cell r="E597">
            <v>13370</v>
          </cell>
          <cell r="F597">
            <v>14346.28</v>
          </cell>
          <cell r="G597">
            <v>-976.280000000001</v>
          </cell>
          <cell r="H597">
            <v>165355.85</v>
          </cell>
          <cell r="I597">
            <v>165355.85</v>
          </cell>
          <cell r="J597">
            <v>0</v>
          </cell>
        </row>
        <row r="598">
          <cell r="A598" t="str">
            <v>6219676056</v>
          </cell>
          <cell r="B598">
            <v>62196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6219676070</v>
          </cell>
          <cell r="B599">
            <v>62196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6219676091</v>
          </cell>
          <cell r="B600">
            <v>62196</v>
          </cell>
          <cell r="C600">
            <v>76091</v>
          </cell>
          <cell r="D600" t="str">
            <v>Parking Maintenance</v>
          </cell>
          <cell r="E600">
            <v>5193</v>
          </cell>
          <cell r="F600">
            <v>6059.02</v>
          </cell>
          <cell r="G600">
            <v>-866.02</v>
          </cell>
          <cell r="H600">
            <v>90323.98</v>
          </cell>
          <cell r="I600">
            <v>90323.98</v>
          </cell>
          <cell r="J600">
            <v>0</v>
          </cell>
        </row>
        <row r="601">
          <cell r="A601" t="str">
            <v>6219677000</v>
          </cell>
          <cell r="B601">
            <v>62196</v>
          </cell>
          <cell r="C601">
            <v>77000</v>
          </cell>
          <cell r="D601" t="str">
            <v>Grounds Maintenance</v>
          </cell>
          <cell r="E601">
            <v>4190.8900000000003</v>
          </cell>
          <cell r="F601">
            <v>16421.21</v>
          </cell>
          <cell r="G601">
            <v>-12230.32</v>
          </cell>
          <cell r="H601">
            <v>87962.54</v>
          </cell>
          <cell r="I601">
            <v>87962.54</v>
          </cell>
          <cell r="J601">
            <v>0</v>
          </cell>
        </row>
        <row r="602">
          <cell r="A602" t="str">
            <v>6219677053</v>
          </cell>
          <cell r="B602">
            <v>62196</v>
          </cell>
          <cell r="C602">
            <v>77053</v>
          </cell>
          <cell r="D602" t="str">
            <v>Landscaping</v>
          </cell>
          <cell r="E602">
            <v>7395</v>
          </cell>
          <cell r="F602">
            <v>8220.34</v>
          </cell>
          <cell r="G602">
            <v>-825.34</v>
          </cell>
          <cell r="H602">
            <v>132925.09</v>
          </cell>
          <cell r="I602">
            <v>132925.09</v>
          </cell>
          <cell r="J602">
            <v>0</v>
          </cell>
        </row>
        <row r="603">
          <cell r="A603" t="str">
            <v>6219678020</v>
          </cell>
          <cell r="B603">
            <v>62196</v>
          </cell>
          <cell r="C603">
            <v>78020</v>
          </cell>
          <cell r="D603" t="str">
            <v>Amortized CAM Exp</v>
          </cell>
          <cell r="E603">
            <v>10455.06</v>
          </cell>
          <cell r="F603">
            <v>10455.08</v>
          </cell>
          <cell r="G603">
            <v>-2.0000000000436599E-2</v>
          </cell>
          <cell r="H603">
            <v>125461</v>
          </cell>
          <cell r="I603">
            <v>125461</v>
          </cell>
          <cell r="J603">
            <v>0</v>
          </cell>
        </row>
        <row r="604">
          <cell r="A604" t="str">
            <v>6219684264</v>
          </cell>
          <cell r="B604">
            <v>62196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6219685555</v>
          </cell>
          <cell r="B605">
            <v>62196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6219685584</v>
          </cell>
          <cell r="B606">
            <v>62196</v>
          </cell>
          <cell r="C606">
            <v>85584</v>
          </cell>
          <cell r="D606" t="str">
            <v>Bldg Admin-Office Costs</v>
          </cell>
          <cell r="E606">
            <v>1054.6199999999999</v>
          </cell>
          <cell r="F606">
            <v>1701.25</v>
          </cell>
          <cell r="G606">
            <v>-646.63</v>
          </cell>
          <cell r="H606">
            <v>20415</v>
          </cell>
          <cell r="I606">
            <v>20415</v>
          </cell>
          <cell r="J606">
            <v>0</v>
          </cell>
        </row>
        <row r="607">
          <cell r="A607" t="str">
            <v>6219685582</v>
          </cell>
          <cell r="B607">
            <v>62196</v>
          </cell>
          <cell r="C607">
            <v>85582</v>
          </cell>
          <cell r="D607" t="str">
            <v>Bldg Admin-Salaries</v>
          </cell>
          <cell r="E607">
            <v>10511.94</v>
          </cell>
          <cell r="F607">
            <v>10512</v>
          </cell>
          <cell r="G607">
            <v>-5.9999999999490697E-2</v>
          </cell>
          <cell r="H607">
            <v>135254</v>
          </cell>
          <cell r="I607">
            <v>135254</v>
          </cell>
          <cell r="J607">
            <v>0</v>
          </cell>
        </row>
        <row r="608">
          <cell r="A608" t="str">
            <v>6219686564</v>
          </cell>
          <cell r="B608">
            <v>62196</v>
          </cell>
          <cell r="C608">
            <v>86564</v>
          </cell>
          <cell r="D608" t="str">
            <v>Insurance</v>
          </cell>
          <cell r="E608">
            <v>4913</v>
          </cell>
          <cell r="F608">
            <v>4912</v>
          </cell>
          <cell r="G608">
            <v>1</v>
          </cell>
          <cell r="H608">
            <v>58944</v>
          </cell>
          <cell r="I608">
            <v>58944</v>
          </cell>
          <cell r="J608">
            <v>0</v>
          </cell>
        </row>
        <row r="609">
          <cell r="A609" t="str">
            <v>6219688846</v>
          </cell>
          <cell r="B609">
            <v>62196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6219688890</v>
          </cell>
          <cell r="B610">
            <v>62196</v>
          </cell>
          <cell r="C610">
            <v>88890</v>
          </cell>
          <cell r="D610" t="str">
            <v>Security/Safety</v>
          </cell>
          <cell r="E610">
            <v>19030.25</v>
          </cell>
          <cell r="F610">
            <v>19045.45</v>
          </cell>
          <cell r="G610">
            <v>-15.200000000000699</v>
          </cell>
          <cell r="H610">
            <v>226801.67</v>
          </cell>
          <cell r="I610">
            <v>226801.67</v>
          </cell>
          <cell r="J610">
            <v>0</v>
          </cell>
        </row>
        <row r="611">
          <cell r="A611" t="str">
            <v>6219689775</v>
          </cell>
          <cell r="B611">
            <v>62196</v>
          </cell>
          <cell r="C611">
            <v>89775</v>
          </cell>
          <cell r="D611" t="str">
            <v>Assmt Dist Taxes- Reimb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</row>
        <row r="612">
          <cell r="A612" t="str">
            <v>6219689729</v>
          </cell>
          <cell r="B612">
            <v>62196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6219689786</v>
          </cell>
          <cell r="B613">
            <v>62196</v>
          </cell>
          <cell r="C613">
            <v>89786</v>
          </cell>
          <cell r="D613" t="str">
            <v>Property Tax Exp</v>
          </cell>
          <cell r="E613">
            <v>28299.5</v>
          </cell>
          <cell r="F613">
            <v>28299.5</v>
          </cell>
          <cell r="G613">
            <v>0</v>
          </cell>
          <cell r="H613">
            <v>339594</v>
          </cell>
          <cell r="I613">
            <v>339594</v>
          </cell>
          <cell r="J613">
            <v>0</v>
          </cell>
        </row>
        <row r="614">
          <cell r="A614" t="str">
            <v>6219671040</v>
          </cell>
          <cell r="B614">
            <v>62196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6219672701</v>
          </cell>
          <cell r="B615">
            <v>62196</v>
          </cell>
          <cell r="C615">
            <v>72701</v>
          </cell>
          <cell r="D615" t="str">
            <v>Utilities</v>
          </cell>
          <cell r="E615">
            <v>601.04</v>
          </cell>
          <cell r="F615">
            <v>0</v>
          </cell>
          <cell r="G615">
            <v>601.04</v>
          </cell>
          <cell r="H615">
            <v>8731.5300000000007</v>
          </cell>
          <cell r="I615">
            <v>8731.5300000000007</v>
          </cell>
          <cell r="J615">
            <v>0</v>
          </cell>
        </row>
        <row r="616">
          <cell r="A616" t="str">
            <v>6219672855</v>
          </cell>
          <cell r="B616">
            <v>62196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6219672870</v>
          </cell>
          <cell r="B617">
            <v>62196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6219676010</v>
          </cell>
          <cell r="B618">
            <v>62196</v>
          </cell>
          <cell r="C618">
            <v>76010</v>
          </cell>
          <cell r="D618" t="str">
            <v>Tenant Alterations</v>
          </cell>
          <cell r="E618">
            <v>327</v>
          </cell>
          <cell r="F618">
            <v>403.33</v>
          </cell>
          <cell r="G618">
            <v>-76.33</v>
          </cell>
          <cell r="H618">
            <v>4840</v>
          </cell>
          <cell r="I618">
            <v>4840</v>
          </cell>
          <cell r="J618">
            <v>0</v>
          </cell>
        </row>
        <row r="619">
          <cell r="A619" t="str">
            <v>6219676040</v>
          </cell>
          <cell r="B619">
            <v>62196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6219676051</v>
          </cell>
          <cell r="B620">
            <v>62196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6219676054</v>
          </cell>
          <cell r="B621">
            <v>62196</v>
          </cell>
          <cell r="C621">
            <v>76054</v>
          </cell>
          <cell r="D621" t="str">
            <v>Bldg Maintenance &amp; Repair</v>
          </cell>
          <cell r="E621">
            <v>200204.75</v>
          </cell>
          <cell r="F621">
            <v>200842.25</v>
          </cell>
          <cell r="G621">
            <v>-637.5</v>
          </cell>
          <cell r="H621">
            <v>410107</v>
          </cell>
          <cell r="I621">
            <v>410107</v>
          </cell>
          <cell r="J621">
            <v>0</v>
          </cell>
        </row>
        <row r="622">
          <cell r="A622" t="str">
            <v>6219676060</v>
          </cell>
          <cell r="B622">
            <v>62196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6219676071</v>
          </cell>
          <cell r="B623">
            <v>62196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6219676090</v>
          </cell>
          <cell r="B624">
            <v>62196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6219677001</v>
          </cell>
          <cell r="B625">
            <v>62196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6219677022</v>
          </cell>
          <cell r="B626">
            <v>62196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6219684200</v>
          </cell>
          <cell r="B627">
            <v>62196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6219684240</v>
          </cell>
          <cell r="B628">
            <v>62196</v>
          </cell>
          <cell r="C628">
            <v>84240</v>
          </cell>
          <cell r="D628" t="str">
            <v>Marketing Leasing</v>
          </cell>
          <cell r="E628">
            <v>2381.81</v>
          </cell>
          <cell r="F628">
            <v>2755.5</v>
          </cell>
          <cell r="G628">
            <v>-373.69</v>
          </cell>
          <cell r="H628">
            <v>34759.699999999997</v>
          </cell>
          <cell r="I628">
            <v>34759.699999999997</v>
          </cell>
          <cell r="J628">
            <v>0</v>
          </cell>
        </row>
        <row r="629">
          <cell r="A629" t="str">
            <v>6219684242</v>
          </cell>
          <cell r="B629">
            <v>62196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6219684243</v>
          </cell>
          <cell r="B630">
            <v>62196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-30966</v>
          </cell>
          <cell r="I630">
            <v>-30966</v>
          </cell>
          <cell r="J630">
            <v>0</v>
          </cell>
        </row>
        <row r="631">
          <cell r="A631" t="str">
            <v>6219684244</v>
          </cell>
          <cell r="B631">
            <v>62196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6219684265</v>
          </cell>
          <cell r="B632">
            <v>62196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6219688037</v>
          </cell>
          <cell r="B633">
            <v>62196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6219685016</v>
          </cell>
          <cell r="B634">
            <v>62196</v>
          </cell>
          <cell r="C634">
            <v>85016</v>
          </cell>
          <cell r="D634" t="str">
            <v>Prof Svc-Attorney Outside</v>
          </cell>
          <cell r="E634">
            <v>0</v>
          </cell>
          <cell r="F634">
            <v>0</v>
          </cell>
          <cell r="G634">
            <v>0</v>
          </cell>
          <cell r="H634">
            <v>17905.990000000002</v>
          </cell>
          <cell r="I634">
            <v>17905.990000000002</v>
          </cell>
          <cell r="J634">
            <v>0</v>
          </cell>
        </row>
        <row r="635">
          <cell r="A635" t="str">
            <v>6219685022</v>
          </cell>
          <cell r="B635">
            <v>62196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695.25</v>
          </cell>
          <cell r="G635">
            <v>-695.25</v>
          </cell>
          <cell r="H635">
            <v>4342.84</v>
          </cell>
          <cell r="I635">
            <v>4342.84</v>
          </cell>
          <cell r="J635">
            <v>0</v>
          </cell>
        </row>
        <row r="636">
          <cell r="A636" t="str">
            <v>6219685065</v>
          </cell>
          <cell r="B636">
            <v>62196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6219685500</v>
          </cell>
          <cell r="B637">
            <v>62196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10415.02</v>
          </cell>
          <cell r="I637">
            <v>10415.02</v>
          </cell>
          <cell r="J637">
            <v>0</v>
          </cell>
        </row>
        <row r="638">
          <cell r="A638" t="str">
            <v>6219685566</v>
          </cell>
          <cell r="B638">
            <v>62196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6219685581</v>
          </cell>
          <cell r="B639">
            <v>62196</v>
          </cell>
          <cell r="C639">
            <v>85581</v>
          </cell>
          <cell r="D639" t="str">
            <v>Bldg Admin- Salaries</v>
          </cell>
          <cell r="E639">
            <v>7800.99</v>
          </cell>
          <cell r="F639">
            <v>7794.83</v>
          </cell>
          <cell r="G639">
            <v>6.15999999999985</v>
          </cell>
          <cell r="H639">
            <v>98439.3</v>
          </cell>
          <cell r="I639">
            <v>98439.3</v>
          </cell>
          <cell r="J639">
            <v>0</v>
          </cell>
        </row>
        <row r="640">
          <cell r="A640" t="str">
            <v>6219685583</v>
          </cell>
          <cell r="B640">
            <v>62196</v>
          </cell>
          <cell r="C640">
            <v>85583</v>
          </cell>
          <cell r="D640" t="str">
            <v>Bldg Admin-Office Exp.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6219685530</v>
          </cell>
          <cell r="B641">
            <v>62196</v>
          </cell>
          <cell r="C641">
            <v>85530</v>
          </cell>
          <cell r="D641" t="str">
            <v>Bldg Admin - Office Exp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6219686012</v>
          </cell>
          <cell r="B642">
            <v>62196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6219686037</v>
          </cell>
          <cell r="B643">
            <v>62196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6219683050</v>
          </cell>
          <cell r="B644">
            <v>62196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6219686510</v>
          </cell>
          <cell r="B645">
            <v>62196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6219686537</v>
          </cell>
          <cell r="B646">
            <v>62196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6219686566</v>
          </cell>
          <cell r="B647">
            <v>62196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6219686955</v>
          </cell>
          <cell r="B648">
            <v>62196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6219686985</v>
          </cell>
          <cell r="B649">
            <v>62196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6219686880</v>
          </cell>
          <cell r="B650">
            <v>62196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6219688710</v>
          </cell>
          <cell r="B651">
            <v>62196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0.08</v>
          </cell>
          <cell r="G651">
            <v>-0.08</v>
          </cell>
          <cell r="H651">
            <v>108980.64</v>
          </cell>
          <cell r="I651">
            <v>108980.64</v>
          </cell>
          <cell r="J651">
            <v>0</v>
          </cell>
        </row>
        <row r="652">
          <cell r="A652" t="str">
            <v>6219688711</v>
          </cell>
          <cell r="B652">
            <v>62196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6219688785</v>
          </cell>
          <cell r="B653">
            <v>62196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6219688847</v>
          </cell>
          <cell r="B654">
            <v>62196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6219688866</v>
          </cell>
          <cell r="B655">
            <v>62196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6219688870</v>
          </cell>
          <cell r="B656">
            <v>62196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6219688889</v>
          </cell>
          <cell r="B657">
            <v>62196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6219689776</v>
          </cell>
          <cell r="B658">
            <v>62196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6219689787</v>
          </cell>
          <cell r="B659">
            <v>62196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6219689510</v>
          </cell>
          <cell r="B660">
            <v>62196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</row>
        <row r="661">
          <cell r="A661" t="str">
            <v>6219689511</v>
          </cell>
          <cell r="B661">
            <v>62196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6219689512</v>
          </cell>
          <cell r="B662">
            <v>62196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6219689528</v>
          </cell>
          <cell r="B663">
            <v>62196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6219689529</v>
          </cell>
          <cell r="B664">
            <v>62196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6219689567</v>
          </cell>
          <cell r="B665">
            <v>62196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6219685058</v>
          </cell>
          <cell r="B666">
            <v>62196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6219686513</v>
          </cell>
          <cell r="B667">
            <v>62196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327.93</v>
          </cell>
          <cell r="G667">
            <v>-327.93</v>
          </cell>
          <cell r="H667">
            <v>6248.58</v>
          </cell>
          <cell r="I667">
            <v>6248.58</v>
          </cell>
          <cell r="J667">
            <v>0</v>
          </cell>
        </row>
        <row r="668">
          <cell r="A668" t="str">
            <v>6219686519</v>
          </cell>
          <cell r="B668">
            <v>62196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6219688770</v>
          </cell>
          <cell r="B669">
            <v>62196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6219688862</v>
          </cell>
          <cell r="B670">
            <v>62196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6219688874</v>
          </cell>
          <cell r="B671">
            <v>62196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6219689910</v>
          </cell>
          <cell r="B672">
            <v>62196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74895.77</v>
          </cell>
          <cell r="G672">
            <v>-74895.77</v>
          </cell>
          <cell r="H672">
            <v>863578.01</v>
          </cell>
          <cell r="I672">
            <v>863578.01</v>
          </cell>
          <cell r="J672">
            <v>0</v>
          </cell>
        </row>
        <row r="673">
          <cell r="A673" t="str">
            <v>6219689548</v>
          </cell>
          <cell r="B673">
            <v>62196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6219741010</v>
          </cell>
          <cell r="B674">
            <v>62197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6219741040</v>
          </cell>
          <cell r="B675">
            <v>62197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6219741050</v>
          </cell>
          <cell r="B676">
            <v>62197</v>
          </cell>
          <cell r="C676">
            <v>41050</v>
          </cell>
          <cell r="D676" t="str">
            <v>Rental Income - Fixed</v>
          </cell>
          <cell r="E676">
            <v>-358751.95</v>
          </cell>
          <cell r="F676">
            <v>-350356.78</v>
          </cell>
          <cell r="G676">
            <v>-8395.1699999999801</v>
          </cell>
          <cell r="H676">
            <v>-4536471.82</v>
          </cell>
          <cell r="I676">
            <v>-4536471.82</v>
          </cell>
          <cell r="J676">
            <v>0</v>
          </cell>
        </row>
        <row r="677">
          <cell r="A677" t="str">
            <v>6219741074</v>
          </cell>
          <cell r="B677">
            <v>62197</v>
          </cell>
          <cell r="C677">
            <v>41074</v>
          </cell>
          <cell r="D677" t="str">
            <v>Rental Income - Percentage</v>
          </cell>
          <cell r="E677">
            <v>0</v>
          </cell>
          <cell r="F677">
            <v>-4431</v>
          </cell>
          <cell r="G677">
            <v>4431</v>
          </cell>
          <cell r="H677">
            <v>-53172</v>
          </cell>
          <cell r="I677">
            <v>-53172</v>
          </cell>
          <cell r="J677">
            <v>0</v>
          </cell>
        </row>
        <row r="678">
          <cell r="A678" t="str">
            <v>6219741082</v>
          </cell>
          <cell r="B678">
            <v>62197</v>
          </cell>
          <cell r="C678">
            <v>41082</v>
          </cell>
          <cell r="D678" t="str">
            <v>Rental Income - Operating Exp</v>
          </cell>
          <cell r="E678">
            <v>-108121.64</v>
          </cell>
          <cell r="F678">
            <v>-126857.74</v>
          </cell>
          <cell r="G678">
            <v>18736.099999999999</v>
          </cell>
          <cell r="H678">
            <v>-1522292.88</v>
          </cell>
          <cell r="I678">
            <v>-1522292.88</v>
          </cell>
          <cell r="J678">
            <v>0</v>
          </cell>
        </row>
        <row r="679">
          <cell r="A679" t="str">
            <v>6219744610</v>
          </cell>
          <cell r="B679">
            <v>62197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6219745071</v>
          </cell>
          <cell r="B680">
            <v>62197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6219745010</v>
          </cell>
          <cell r="B681">
            <v>62197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6219745046</v>
          </cell>
          <cell r="B682">
            <v>62197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6219745070</v>
          </cell>
          <cell r="B683">
            <v>62197</v>
          </cell>
          <cell r="C683">
            <v>45070</v>
          </cell>
          <cell r="D683" t="str">
            <v>Other Income</v>
          </cell>
          <cell r="E683">
            <v>-4221.1899999999996</v>
          </cell>
          <cell r="F683">
            <v>-6396.08</v>
          </cell>
          <cell r="G683">
            <v>2174.89</v>
          </cell>
          <cell r="H683">
            <v>-22072.07</v>
          </cell>
          <cell r="I683">
            <v>-22072.07</v>
          </cell>
          <cell r="J683">
            <v>0</v>
          </cell>
        </row>
        <row r="684">
          <cell r="A684" t="str">
            <v>6219741060</v>
          </cell>
          <cell r="B684">
            <v>62197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32640</v>
          </cell>
          <cell r="G684">
            <v>-32640</v>
          </cell>
          <cell r="H684">
            <v>391680</v>
          </cell>
          <cell r="I684">
            <v>391680</v>
          </cell>
          <cell r="J684">
            <v>0</v>
          </cell>
        </row>
        <row r="685">
          <cell r="A685" t="str">
            <v>6219744870</v>
          </cell>
          <cell r="B685">
            <v>62197</v>
          </cell>
          <cell r="C685">
            <v>44870</v>
          </cell>
          <cell r="D685" t="str">
            <v>Late Fees</v>
          </cell>
          <cell r="E685">
            <v>0</v>
          </cell>
          <cell r="F685">
            <v>0</v>
          </cell>
          <cell r="G685">
            <v>0</v>
          </cell>
          <cell r="H685">
            <v>-750</v>
          </cell>
          <cell r="I685">
            <v>-750</v>
          </cell>
          <cell r="J685">
            <v>0</v>
          </cell>
        </row>
        <row r="686">
          <cell r="A686" t="str">
            <v>6219752542</v>
          </cell>
          <cell r="B686">
            <v>62197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6219772710</v>
          </cell>
          <cell r="B687">
            <v>62197</v>
          </cell>
          <cell r="C687">
            <v>72710</v>
          </cell>
          <cell r="D687" t="str">
            <v>Utilities - Electricity</v>
          </cell>
          <cell r="E687">
            <v>3563.65</v>
          </cell>
          <cell r="F687">
            <v>5100</v>
          </cell>
          <cell r="G687">
            <v>-1536.35</v>
          </cell>
          <cell r="H687">
            <v>61652.97</v>
          </cell>
          <cell r="I687">
            <v>61652.97</v>
          </cell>
          <cell r="J687">
            <v>0</v>
          </cell>
        </row>
        <row r="688">
          <cell r="A688" t="str">
            <v>6219772740</v>
          </cell>
          <cell r="B688">
            <v>62197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6219772770</v>
          </cell>
          <cell r="B689">
            <v>62197</v>
          </cell>
          <cell r="C689">
            <v>72770</v>
          </cell>
          <cell r="D689" t="str">
            <v>Utilities - Water</v>
          </cell>
          <cell r="E689">
            <v>1103.07</v>
          </cell>
          <cell r="F689">
            <v>1352</v>
          </cell>
          <cell r="G689">
            <v>-248.93</v>
          </cell>
          <cell r="H689">
            <v>23078.89</v>
          </cell>
          <cell r="I689">
            <v>23078.89</v>
          </cell>
          <cell r="J689">
            <v>0</v>
          </cell>
        </row>
        <row r="690">
          <cell r="A690" t="str">
            <v>6219776000</v>
          </cell>
          <cell r="B690">
            <v>62197</v>
          </cell>
          <cell r="C690">
            <v>76000</v>
          </cell>
          <cell r="D690" t="str">
            <v>Bldg Maintenance &amp; Repair</v>
          </cell>
          <cell r="E690">
            <v>4215.12</v>
          </cell>
          <cell r="F690">
            <v>462.22</v>
          </cell>
          <cell r="G690">
            <v>3752.9</v>
          </cell>
          <cell r="H690">
            <v>93635.76</v>
          </cell>
          <cell r="I690">
            <v>93635.76</v>
          </cell>
          <cell r="J690">
            <v>0</v>
          </cell>
        </row>
        <row r="691">
          <cell r="A691" t="str">
            <v>6219776020</v>
          </cell>
          <cell r="B691">
            <v>62197</v>
          </cell>
          <cell r="C691">
            <v>76020</v>
          </cell>
          <cell r="D691" t="str">
            <v>Food Court Expense</v>
          </cell>
          <cell r="E691">
            <v>3168</v>
          </cell>
          <cell r="F691">
            <v>1600.62</v>
          </cell>
          <cell r="G691">
            <v>1567.38</v>
          </cell>
          <cell r="H691">
            <v>20340.439999999999</v>
          </cell>
          <cell r="I691">
            <v>20340.439999999999</v>
          </cell>
          <cell r="J691">
            <v>0</v>
          </cell>
        </row>
        <row r="692">
          <cell r="A692" t="str">
            <v>6219776034</v>
          </cell>
          <cell r="B692">
            <v>62197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6219776050</v>
          </cell>
          <cell r="B693">
            <v>62197</v>
          </cell>
          <cell r="C693">
            <v>76050</v>
          </cell>
          <cell r="D693" t="str">
            <v>Cleaning Expense</v>
          </cell>
          <cell r="E693">
            <v>9279</v>
          </cell>
          <cell r="F693">
            <v>8653.06</v>
          </cell>
          <cell r="G693">
            <v>625.94000000000096</v>
          </cell>
          <cell r="H693">
            <v>109484.91</v>
          </cell>
          <cell r="I693">
            <v>109484.91</v>
          </cell>
          <cell r="J693">
            <v>0</v>
          </cell>
        </row>
        <row r="694">
          <cell r="A694" t="str">
            <v>6219776056</v>
          </cell>
          <cell r="B694">
            <v>62197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6219776070</v>
          </cell>
          <cell r="B695">
            <v>62197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6219776091</v>
          </cell>
          <cell r="B696">
            <v>62197</v>
          </cell>
          <cell r="C696">
            <v>76091</v>
          </cell>
          <cell r="D696" t="str">
            <v>Parking Maintenance</v>
          </cell>
          <cell r="E696">
            <v>4985</v>
          </cell>
          <cell r="F696">
            <v>3791.66</v>
          </cell>
          <cell r="G696">
            <v>1193.3399999999999</v>
          </cell>
          <cell r="H696">
            <v>57426.7</v>
          </cell>
          <cell r="I696">
            <v>57426.7</v>
          </cell>
          <cell r="J696">
            <v>0</v>
          </cell>
        </row>
        <row r="697">
          <cell r="A697" t="str">
            <v>6219777000</v>
          </cell>
          <cell r="B697">
            <v>62197</v>
          </cell>
          <cell r="C697">
            <v>77000</v>
          </cell>
          <cell r="D697" t="str">
            <v>Grounds Maintenance</v>
          </cell>
          <cell r="E697">
            <v>1137.68</v>
          </cell>
          <cell r="F697">
            <v>2554.5100000000002</v>
          </cell>
          <cell r="G697">
            <v>-1416.83</v>
          </cell>
          <cell r="H697">
            <v>60496.83</v>
          </cell>
          <cell r="I697">
            <v>60496.83</v>
          </cell>
          <cell r="J697">
            <v>0</v>
          </cell>
        </row>
        <row r="698">
          <cell r="A698" t="str">
            <v>6219777053</v>
          </cell>
          <cell r="B698">
            <v>62197</v>
          </cell>
          <cell r="C698">
            <v>77053</v>
          </cell>
          <cell r="D698" t="str">
            <v>Landscaping</v>
          </cell>
          <cell r="E698">
            <v>4984</v>
          </cell>
          <cell r="F698">
            <v>5415.78</v>
          </cell>
          <cell r="G698">
            <v>-431.78</v>
          </cell>
          <cell r="H698">
            <v>122670.74</v>
          </cell>
          <cell r="I698">
            <v>122670.74</v>
          </cell>
          <cell r="J698">
            <v>0</v>
          </cell>
        </row>
        <row r="699">
          <cell r="A699" t="str">
            <v>6219778020</v>
          </cell>
          <cell r="B699">
            <v>62197</v>
          </cell>
          <cell r="C699">
            <v>78020</v>
          </cell>
          <cell r="D699" t="str">
            <v>Amortized CAM Exp</v>
          </cell>
          <cell r="E699">
            <v>5417</v>
          </cell>
          <cell r="F699">
            <v>5416.67</v>
          </cell>
          <cell r="G699">
            <v>0.32999999999992702</v>
          </cell>
          <cell r="H699">
            <v>65000</v>
          </cell>
          <cell r="I699">
            <v>65000</v>
          </cell>
          <cell r="J699">
            <v>0</v>
          </cell>
        </row>
        <row r="700">
          <cell r="A700" t="str">
            <v>6219784264</v>
          </cell>
          <cell r="B700">
            <v>62197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6219785555</v>
          </cell>
          <cell r="B701">
            <v>62197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6219785584</v>
          </cell>
          <cell r="B702">
            <v>62197</v>
          </cell>
          <cell r="C702">
            <v>85584</v>
          </cell>
          <cell r="D702" t="str">
            <v>Bldg Admin-Office Costs</v>
          </cell>
          <cell r="E702">
            <v>1967.42</v>
          </cell>
          <cell r="F702">
            <v>3074.25</v>
          </cell>
          <cell r="G702">
            <v>-1106.83</v>
          </cell>
          <cell r="H702">
            <v>36891</v>
          </cell>
          <cell r="I702">
            <v>36891</v>
          </cell>
          <cell r="J702">
            <v>0</v>
          </cell>
        </row>
        <row r="703">
          <cell r="A703" t="str">
            <v>6219785582</v>
          </cell>
          <cell r="B703">
            <v>62197</v>
          </cell>
          <cell r="C703">
            <v>85582</v>
          </cell>
          <cell r="D703" t="str">
            <v>Bldg Admin-Salaries</v>
          </cell>
          <cell r="E703">
            <v>14723.65</v>
          </cell>
          <cell r="F703">
            <v>14723.92</v>
          </cell>
          <cell r="G703">
            <v>-0.270000000000437</v>
          </cell>
          <cell r="H703">
            <v>187665.2</v>
          </cell>
          <cell r="I703">
            <v>187665.2</v>
          </cell>
          <cell r="J703">
            <v>0</v>
          </cell>
        </row>
        <row r="704">
          <cell r="A704" t="str">
            <v>6219786564</v>
          </cell>
          <cell r="B704">
            <v>62197</v>
          </cell>
          <cell r="C704">
            <v>86564</v>
          </cell>
          <cell r="D704" t="str">
            <v>Insurance</v>
          </cell>
          <cell r="E704">
            <v>6158</v>
          </cell>
          <cell r="F704">
            <v>6157.83</v>
          </cell>
          <cell r="G704">
            <v>0.17000000000007301</v>
          </cell>
          <cell r="H704">
            <v>73894</v>
          </cell>
          <cell r="I704">
            <v>73894</v>
          </cell>
          <cell r="J704">
            <v>0</v>
          </cell>
        </row>
        <row r="705">
          <cell r="A705" t="str">
            <v>6219788846</v>
          </cell>
          <cell r="B705">
            <v>62197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6219788890</v>
          </cell>
          <cell r="B706">
            <v>62197</v>
          </cell>
          <cell r="C706">
            <v>88890</v>
          </cell>
          <cell r="D706" t="str">
            <v>Security/Safety</v>
          </cell>
          <cell r="E706">
            <v>4069.49</v>
          </cell>
          <cell r="F706">
            <v>4214.8599999999997</v>
          </cell>
          <cell r="G706">
            <v>-145.37</v>
          </cell>
          <cell r="H706">
            <v>53626.86</v>
          </cell>
          <cell r="I706">
            <v>53626.86</v>
          </cell>
          <cell r="J706">
            <v>0</v>
          </cell>
        </row>
        <row r="707">
          <cell r="A707" t="str">
            <v>6219789775</v>
          </cell>
          <cell r="B707">
            <v>62197</v>
          </cell>
          <cell r="C707">
            <v>89775</v>
          </cell>
          <cell r="D707" t="str">
            <v>Assmt Dist Taxes- Reimb</v>
          </cell>
          <cell r="E707">
            <v>10344.92</v>
          </cell>
          <cell r="F707">
            <v>10344.92</v>
          </cell>
          <cell r="G707">
            <v>0</v>
          </cell>
          <cell r="H707">
            <v>124139</v>
          </cell>
          <cell r="I707">
            <v>124139</v>
          </cell>
          <cell r="J707">
            <v>0</v>
          </cell>
        </row>
        <row r="708">
          <cell r="A708" t="str">
            <v>6219789729</v>
          </cell>
          <cell r="B708">
            <v>62197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6219789786</v>
          </cell>
          <cell r="B709">
            <v>62197</v>
          </cell>
          <cell r="C709">
            <v>89786</v>
          </cell>
          <cell r="D709" t="str">
            <v>Property Tax Exp</v>
          </cell>
          <cell r="E709">
            <v>15590.67</v>
          </cell>
          <cell r="F709">
            <v>15590.67</v>
          </cell>
          <cell r="G709">
            <v>0</v>
          </cell>
          <cell r="H709">
            <v>187088</v>
          </cell>
          <cell r="I709">
            <v>187088</v>
          </cell>
          <cell r="J709">
            <v>0</v>
          </cell>
        </row>
        <row r="710">
          <cell r="A710" t="str">
            <v>6219771040</v>
          </cell>
          <cell r="B710">
            <v>62197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6219772701</v>
          </cell>
          <cell r="B711">
            <v>62197</v>
          </cell>
          <cell r="C711">
            <v>72701</v>
          </cell>
          <cell r="D711" t="str">
            <v>Utilities</v>
          </cell>
          <cell r="E711">
            <v>300</v>
          </cell>
          <cell r="F711">
            <v>0</v>
          </cell>
          <cell r="G711">
            <v>300</v>
          </cell>
          <cell r="H711">
            <v>2224</v>
          </cell>
          <cell r="I711">
            <v>2224</v>
          </cell>
          <cell r="J711">
            <v>0</v>
          </cell>
        </row>
        <row r="712">
          <cell r="A712" t="str">
            <v>6219772855</v>
          </cell>
          <cell r="B712">
            <v>62197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6219772870</v>
          </cell>
          <cell r="B713">
            <v>62197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6219776010</v>
          </cell>
          <cell r="B714">
            <v>62197</v>
          </cell>
          <cell r="C714">
            <v>76010</v>
          </cell>
          <cell r="D714" t="str">
            <v>Tenant Alterations</v>
          </cell>
          <cell r="E714">
            <v>0</v>
          </cell>
          <cell r="F714">
            <v>0</v>
          </cell>
          <cell r="G714">
            <v>0</v>
          </cell>
          <cell r="H714">
            <v>2305.14</v>
          </cell>
          <cell r="I714">
            <v>2305.14</v>
          </cell>
          <cell r="J714">
            <v>0</v>
          </cell>
        </row>
        <row r="715">
          <cell r="A715" t="str">
            <v>6219776040</v>
          </cell>
          <cell r="B715">
            <v>62197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6219776051</v>
          </cell>
          <cell r="B716">
            <v>62197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6219776054</v>
          </cell>
          <cell r="B717">
            <v>62197</v>
          </cell>
          <cell r="C717">
            <v>76054</v>
          </cell>
          <cell r="D717" t="str">
            <v>Bldg Maintenance &amp; Repair</v>
          </cell>
          <cell r="E717">
            <v>9199</v>
          </cell>
          <cell r="F717">
            <v>5000</v>
          </cell>
          <cell r="G717">
            <v>4199</v>
          </cell>
          <cell r="H717">
            <v>55152.24</v>
          </cell>
          <cell r="I717">
            <v>55152.24</v>
          </cell>
          <cell r="J717">
            <v>0</v>
          </cell>
        </row>
        <row r="718">
          <cell r="A718" t="str">
            <v>6219776060</v>
          </cell>
          <cell r="B718">
            <v>62197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6219776071</v>
          </cell>
          <cell r="B719">
            <v>62197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40250</v>
          </cell>
          <cell r="I719">
            <v>40250</v>
          </cell>
          <cell r="J719">
            <v>0</v>
          </cell>
        </row>
        <row r="720">
          <cell r="A720" t="str">
            <v>6219776090</v>
          </cell>
          <cell r="B720">
            <v>62197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6219777001</v>
          </cell>
          <cell r="B721">
            <v>62197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6219777022</v>
          </cell>
          <cell r="B722">
            <v>62197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6219784200</v>
          </cell>
          <cell r="B723">
            <v>62197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6219784240</v>
          </cell>
          <cell r="B724">
            <v>62197</v>
          </cell>
          <cell r="C724">
            <v>84240</v>
          </cell>
          <cell r="D724" t="str">
            <v>Marketing Leasing</v>
          </cell>
          <cell r="E724">
            <v>2017.34</v>
          </cell>
          <cell r="F724">
            <v>2691.41</v>
          </cell>
          <cell r="G724">
            <v>-674.07</v>
          </cell>
          <cell r="H724">
            <v>33706.800000000003</v>
          </cell>
          <cell r="I724">
            <v>33706.800000000003</v>
          </cell>
          <cell r="J724">
            <v>0</v>
          </cell>
        </row>
        <row r="725">
          <cell r="A725" t="str">
            <v>6219784242</v>
          </cell>
          <cell r="B725">
            <v>62197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6219784243</v>
          </cell>
          <cell r="B726">
            <v>62197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-24587.84</v>
          </cell>
          <cell r="I726">
            <v>-24587.84</v>
          </cell>
          <cell r="J726">
            <v>0</v>
          </cell>
        </row>
        <row r="727">
          <cell r="A727" t="str">
            <v>6219784244</v>
          </cell>
          <cell r="B727">
            <v>62197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6219784265</v>
          </cell>
          <cell r="B728">
            <v>62197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6219788037</v>
          </cell>
          <cell r="B729">
            <v>62197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6219785016</v>
          </cell>
          <cell r="B730">
            <v>62197</v>
          </cell>
          <cell r="C730">
            <v>85016</v>
          </cell>
          <cell r="D730" t="str">
            <v>Prof Svc-Attorney Outside</v>
          </cell>
          <cell r="E730">
            <v>2579.0500000000002</v>
          </cell>
          <cell r="F730">
            <v>0</v>
          </cell>
          <cell r="G730">
            <v>2579.0500000000002</v>
          </cell>
          <cell r="H730">
            <v>9508.3799999999992</v>
          </cell>
          <cell r="I730">
            <v>9508.3799999999992</v>
          </cell>
          <cell r="J730">
            <v>0</v>
          </cell>
        </row>
        <row r="731">
          <cell r="A731" t="str">
            <v>6219785022</v>
          </cell>
          <cell r="B731">
            <v>62197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6563.01</v>
          </cell>
          <cell r="I731">
            <v>6563.01</v>
          </cell>
          <cell r="J731">
            <v>0</v>
          </cell>
        </row>
        <row r="732">
          <cell r="A732" t="str">
            <v>6219785065</v>
          </cell>
          <cell r="B732">
            <v>62197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6219785500</v>
          </cell>
          <cell r="B733">
            <v>62197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2270.2399999999998</v>
          </cell>
          <cell r="I733">
            <v>2270.2399999999998</v>
          </cell>
          <cell r="J733">
            <v>0</v>
          </cell>
        </row>
        <row r="734">
          <cell r="A734" t="str">
            <v>6219785566</v>
          </cell>
          <cell r="B734">
            <v>62197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6219785581</v>
          </cell>
          <cell r="B735">
            <v>62197</v>
          </cell>
          <cell r="C735">
            <v>85581</v>
          </cell>
          <cell r="D735" t="str">
            <v>Bldg Admin- Salaries</v>
          </cell>
          <cell r="E735">
            <v>10952.17</v>
          </cell>
          <cell r="F735">
            <v>10951.67</v>
          </cell>
          <cell r="G735">
            <v>0.5</v>
          </cell>
          <cell r="H735">
            <v>138985.70000000001</v>
          </cell>
          <cell r="I735">
            <v>138985.70000000001</v>
          </cell>
          <cell r="J735">
            <v>0</v>
          </cell>
        </row>
        <row r="736">
          <cell r="A736" t="str">
            <v>6219785583</v>
          </cell>
          <cell r="B736">
            <v>62197</v>
          </cell>
          <cell r="C736">
            <v>85583</v>
          </cell>
          <cell r="D736" t="str">
            <v>Bldg Admin-Office Exp.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6219785530</v>
          </cell>
          <cell r="B737">
            <v>62197</v>
          </cell>
          <cell r="C737">
            <v>85530</v>
          </cell>
          <cell r="D737" t="str">
            <v>Bldg Admin - Office Exp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6219786012</v>
          </cell>
          <cell r="B738">
            <v>62197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6219786037</v>
          </cell>
          <cell r="B739">
            <v>62197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6219783050</v>
          </cell>
          <cell r="B740">
            <v>62197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6219786510</v>
          </cell>
          <cell r="B741">
            <v>62197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6219786537</v>
          </cell>
          <cell r="B742">
            <v>62197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6219786566</v>
          </cell>
          <cell r="B743">
            <v>62197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6219786955</v>
          </cell>
          <cell r="B744">
            <v>62197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6219786985</v>
          </cell>
          <cell r="B745">
            <v>62197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6219786880</v>
          </cell>
          <cell r="B746">
            <v>62197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6219788710</v>
          </cell>
          <cell r="B747">
            <v>62197</v>
          </cell>
          <cell r="C747">
            <v>88710</v>
          </cell>
          <cell r="D747" t="str">
            <v>Losses-Bad Debts</v>
          </cell>
          <cell r="E747">
            <v>0</v>
          </cell>
          <cell r="F747">
            <v>0</v>
          </cell>
          <cell r="G747">
            <v>0</v>
          </cell>
          <cell r="H747">
            <v>61348</v>
          </cell>
          <cell r="I747">
            <v>61348</v>
          </cell>
          <cell r="J747">
            <v>0</v>
          </cell>
        </row>
        <row r="748">
          <cell r="A748" t="str">
            <v>6219788711</v>
          </cell>
          <cell r="B748">
            <v>62197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6219788785</v>
          </cell>
          <cell r="B749">
            <v>62197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6219788847</v>
          </cell>
          <cell r="B750">
            <v>62197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6219788866</v>
          </cell>
          <cell r="B751">
            <v>62197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6219788870</v>
          </cell>
          <cell r="B752">
            <v>62197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6219788889</v>
          </cell>
          <cell r="B753">
            <v>62197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6219789776</v>
          </cell>
          <cell r="B754">
            <v>62197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6219789787</v>
          </cell>
          <cell r="B755">
            <v>62197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6219789510</v>
          </cell>
          <cell r="B756">
            <v>62197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103873</v>
          </cell>
          <cell r="G756">
            <v>-103873</v>
          </cell>
          <cell r="H756">
            <v>1200071</v>
          </cell>
          <cell r="I756">
            <v>1200071</v>
          </cell>
          <cell r="J756">
            <v>0</v>
          </cell>
        </row>
        <row r="757">
          <cell r="A757" t="str">
            <v>6219789511</v>
          </cell>
          <cell r="B757">
            <v>62197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6219789512</v>
          </cell>
          <cell r="B758">
            <v>62197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6219789528</v>
          </cell>
          <cell r="B759">
            <v>62197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6219789529</v>
          </cell>
          <cell r="B760">
            <v>62197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2334</v>
          </cell>
          <cell r="G760">
            <v>-2334</v>
          </cell>
          <cell r="H760">
            <v>28008</v>
          </cell>
          <cell r="I760">
            <v>28008</v>
          </cell>
          <cell r="J760">
            <v>0</v>
          </cell>
        </row>
        <row r="761">
          <cell r="A761" t="str">
            <v>6219789567</v>
          </cell>
          <cell r="B761">
            <v>62197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6219785058</v>
          </cell>
          <cell r="B762">
            <v>62197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6219786513</v>
          </cell>
          <cell r="B763">
            <v>62197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6344.69</v>
          </cell>
          <cell r="I763">
            <v>6344.69</v>
          </cell>
          <cell r="J763">
            <v>0</v>
          </cell>
        </row>
        <row r="764">
          <cell r="A764" t="str">
            <v>6219786519</v>
          </cell>
          <cell r="B764">
            <v>62197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6219788770</v>
          </cell>
          <cell r="B765">
            <v>62197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6219788862</v>
          </cell>
          <cell r="B766">
            <v>62197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6219788874</v>
          </cell>
          <cell r="B767">
            <v>62197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6219789910</v>
          </cell>
          <cell r="B768">
            <v>62197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32378.91</v>
          </cell>
          <cell r="G768">
            <v>-32378.91</v>
          </cell>
          <cell r="H768">
            <v>418959.38</v>
          </cell>
          <cell r="I768">
            <v>418959.38</v>
          </cell>
          <cell r="J768">
            <v>0</v>
          </cell>
        </row>
        <row r="769">
          <cell r="A769" t="str">
            <v>6219789548</v>
          </cell>
          <cell r="B769">
            <v>62197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6221541010</v>
          </cell>
          <cell r="B770">
            <v>62215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6221541040</v>
          </cell>
          <cell r="B771">
            <v>62215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6221541050</v>
          </cell>
          <cell r="B772">
            <v>62215</v>
          </cell>
          <cell r="C772">
            <v>41050</v>
          </cell>
          <cell r="D772" t="str">
            <v>Rental Income - Fixed</v>
          </cell>
          <cell r="E772">
            <v>-217686.88</v>
          </cell>
          <cell r="F772">
            <v>-213209.88</v>
          </cell>
          <cell r="G772">
            <v>-4477</v>
          </cell>
          <cell r="H772">
            <v>-1251329.3999999999</v>
          </cell>
          <cell r="I772">
            <v>-1251329.3999999999</v>
          </cell>
          <cell r="J772">
            <v>0</v>
          </cell>
        </row>
        <row r="773">
          <cell r="A773" t="str">
            <v>6221541074</v>
          </cell>
          <cell r="B773">
            <v>62215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6221541082</v>
          </cell>
          <cell r="B774">
            <v>62215</v>
          </cell>
          <cell r="C774">
            <v>41082</v>
          </cell>
          <cell r="D774" t="str">
            <v>Rental Income - Operating Exp</v>
          </cell>
          <cell r="E774">
            <v>-47439.19</v>
          </cell>
          <cell r="F774">
            <v>-60164.800000000003</v>
          </cell>
          <cell r="G774">
            <v>12725.61</v>
          </cell>
          <cell r="H774">
            <v>-360988.8</v>
          </cell>
          <cell r="I774">
            <v>-360988.8</v>
          </cell>
          <cell r="J774">
            <v>0</v>
          </cell>
        </row>
        <row r="775">
          <cell r="A775" t="str">
            <v>6221544610</v>
          </cell>
          <cell r="B775">
            <v>62215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6221545071</v>
          </cell>
          <cell r="B776">
            <v>62215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6221545010</v>
          </cell>
          <cell r="B777">
            <v>62215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6221545046</v>
          </cell>
          <cell r="B778">
            <v>62215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6221545070</v>
          </cell>
          <cell r="B779">
            <v>62215</v>
          </cell>
          <cell r="C779">
            <v>45070</v>
          </cell>
          <cell r="D779" t="str">
            <v>Other Income</v>
          </cell>
          <cell r="E779">
            <v>567.5</v>
          </cell>
          <cell r="F779">
            <v>0</v>
          </cell>
          <cell r="G779">
            <v>567.5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6221541060</v>
          </cell>
          <cell r="B780">
            <v>62215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5374.34</v>
          </cell>
          <cell r="G780">
            <v>-5374.34</v>
          </cell>
          <cell r="H780">
            <v>32246</v>
          </cell>
          <cell r="I780">
            <v>32246</v>
          </cell>
          <cell r="J780">
            <v>0</v>
          </cell>
        </row>
        <row r="781">
          <cell r="A781" t="str">
            <v>6221544870</v>
          </cell>
          <cell r="B781">
            <v>62215</v>
          </cell>
          <cell r="C781">
            <v>44870</v>
          </cell>
          <cell r="D781" t="str">
            <v>Late Fees</v>
          </cell>
          <cell r="E781">
            <v>-25</v>
          </cell>
          <cell r="F781">
            <v>0</v>
          </cell>
          <cell r="G781">
            <v>-25</v>
          </cell>
          <cell r="H781">
            <v>-515</v>
          </cell>
          <cell r="I781">
            <v>-515</v>
          </cell>
          <cell r="J781">
            <v>0</v>
          </cell>
        </row>
        <row r="782">
          <cell r="A782" t="str">
            <v>6221552542</v>
          </cell>
          <cell r="B782">
            <v>62215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6221572710</v>
          </cell>
          <cell r="B783">
            <v>62215</v>
          </cell>
          <cell r="C783">
            <v>72710</v>
          </cell>
          <cell r="D783" t="str">
            <v>Utilities - Electricity</v>
          </cell>
          <cell r="E783">
            <v>2296.64</v>
          </cell>
          <cell r="F783">
            <v>2401.9299999999998</v>
          </cell>
          <cell r="G783">
            <v>-105.29</v>
          </cell>
          <cell r="H783">
            <v>21606.82</v>
          </cell>
          <cell r="I783">
            <v>21606.82</v>
          </cell>
          <cell r="J783">
            <v>0</v>
          </cell>
        </row>
        <row r="784">
          <cell r="A784" t="str">
            <v>6221572740</v>
          </cell>
          <cell r="B784">
            <v>62215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6221572770</v>
          </cell>
          <cell r="B785">
            <v>62215</v>
          </cell>
          <cell r="C785">
            <v>72770</v>
          </cell>
          <cell r="D785" t="str">
            <v>Utilities - Water</v>
          </cell>
          <cell r="E785">
            <v>1937.51</v>
          </cell>
          <cell r="F785">
            <v>2848.85</v>
          </cell>
          <cell r="G785">
            <v>-911.34</v>
          </cell>
          <cell r="H785">
            <v>15774.93</v>
          </cell>
          <cell r="I785">
            <v>15774.93</v>
          </cell>
          <cell r="J785">
            <v>0</v>
          </cell>
        </row>
        <row r="786">
          <cell r="A786" t="str">
            <v>6221576000</v>
          </cell>
          <cell r="B786">
            <v>62215</v>
          </cell>
          <cell r="C786">
            <v>76000</v>
          </cell>
          <cell r="D786" t="str">
            <v>Bldg Maintenance &amp; Repair</v>
          </cell>
          <cell r="E786">
            <v>2501.79</v>
          </cell>
          <cell r="F786">
            <v>4795.58</v>
          </cell>
          <cell r="G786">
            <v>-2293.79</v>
          </cell>
          <cell r="H786">
            <v>39369.870000000003</v>
          </cell>
          <cell r="I786">
            <v>39369.870000000003</v>
          </cell>
          <cell r="J786">
            <v>0</v>
          </cell>
        </row>
        <row r="787">
          <cell r="A787" t="str">
            <v>6221576020</v>
          </cell>
          <cell r="B787">
            <v>62215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6221576034</v>
          </cell>
          <cell r="B788">
            <v>62215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6221576050</v>
          </cell>
          <cell r="B789">
            <v>62215</v>
          </cell>
          <cell r="C789">
            <v>76050</v>
          </cell>
          <cell r="D789" t="str">
            <v>Cleaning Expense</v>
          </cell>
          <cell r="E789">
            <v>3254</v>
          </cell>
          <cell r="F789">
            <v>3170.45</v>
          </cell>
          <cell r="G789">
            <v>83.550000000000196</v>
          </cell>
          <cell r="H789">
            <v>20212.259999999998</v>
          </cell>
          <cell r="I789">
            <v>20212.259999999998</v>
          </cell>
          <cell r="J789">
            <v>0</v>
          </cell>
        </row>
        <row r="790">
          <cell r="A790" t="str">
            <v>6221576056</v>
          </cell>
          <cell r="B790">
            <v>62215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6221576070</v>
          </cell>
          <cell r="B791">
            <v>62215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6221576091</v>
          </cell>
          <cell r="B792">
            <v>62215</v>
          </cell>
          <cell r="C792">
            <v>76091</v>
          </cell>
          <cell r="D792" t="str">
            <v>Parking Maintenance</v>
          </cell>
          <cell r="E792">
            <v>3150</v>
          </cell>
          <cell r="F792">
            <v>2901.4</v>
          </cell>
          <cell r="G792">
            <v>248.6</v>
          </cell>
          <cell r="H792">
            <v>25710.87</v>
          </cell>
          <cell r="I792">
            <v>25710.87</v>
          </cell>
          <cell r="J792">
            <v>0</v>
          </cell>
        </row>
        <row r="793">
          <cell r="A793" t="str">
            <v>6221577000</v>
          </cell>
          <cell r="B793">
            <v>62215</v>
          </cell>
          <cell r="C793">
            <v>77000</v>
          </cell>
          <cell r="D793" t="str">
            <v>Grounds Maintenance</v>
          </cell>
          <cell r="E793">
            <v>1541.43</v>
          </cell>
          <cell r="F793">
            <v>6539.34</v>
          </cell>
          <cell r="G793">
            <v>-4997.91</v>
          </cell>
          <cell r="H793">
            <v>26476.38</v>
          </cell>
          <cell r="I793">
            <v>26476.38</v>
          </cell>
          <cell r="J793">
            <v>0</v>
          </cell>
        </row>
        <row r="794">
          <cell r="A794" t="str">
            <v>6221577053</v>
          </cell>
          <cell r="B794">
            <v>62215</v>
          </cell>
          <cell r="C794">
            <v>77053</v>
          </cell>
          <cell r="D794" t="str">
            <v>Landscaping</v>
          </cell>
          <cell r="E794">
            <v>3935.1</v>
          </cell>
          <cell r="F794">
            <v>1602.12</v>
          </cell>
          <cell r="G794">
            <v>2332.98</v>
          </cell>
          <cell r="H794">
            <v>28967.4</v>
          </cell>
          <cell r="I794">
            <v>28967.4</v>
          </cell>
          <cell r="J794">
            <v>0</v>
          </cell>
        </row>
        <row r="795">
          <cell r="A795" t="str">
            <v>6221578020</v>
          </cell>
          <cell r="B795">
            <v>62215</v>
          </cell>
          <cell r="C795">
            <v>78020</v>
          </cell>
          <cell r="D795" t="str">
            <v>Amortized CAM Exp</v>
          </cell>
          <cell r="E795">
            <v>3611.16</v>
          </cell>
          <cell r="F795">
            <v>3611.16</v>
          </cell>
          <cell r="G795">
            <v>0</v>
          </cell>
          <cell r="H795">
            <v>21667</v>
          </cell>
          <cell r="I795">
            <v>21667</v>
          </cell>
          <cell r="J795">
            <v>0</v>
          </cell>
        </row>
        <row r="796">
          <cell r="A796" t="str">
            <v>6221584264</v>
          </cell>
          <cell r="B796">
            <v>62215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6221585555</v>
          </cell>
          <cell r="B797">
            <v>62215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6221585584</v>
          </cell>
          <cell r="B798">
            <v>62215</v>
          </cell>
          <cell r="C798">
            <v>85584</v>
          </cell>
          <cell r="D798" t="str">
            <v>Bldg Admin-Office Costs</v>
          </cell>
          <cell r="E798">
            <v>1006.84</v>
          </cell>
          <cell r="F798">
            <v>1006.84</v>
          </cell>
          <cell r="G798">
            <v>0</v>
          </cell>
          <cell r="H798">
            <v>6041</v>
          </cell>
          <cell r="I798">
            <v>6041</v>
          </cell>
          <cell r="J798">
            <v>0</v>
          </cell>
        </row>
        <row r="799">
          <cell r="A799" t="str">
            <v>6221585582</v>
          </cell>
          <cell r="B799">
            <v>62215</v>
          </cell>
          <cell r="C799">
            <v>85582</v>
          </cell>
          <cell r="D799" t="str">
            <v>Bldg Admin-Salaries</v>
          </cell>
          <cell r="E799">
            <v>5466.94</v>
          </cell>
          <cell r="F799">
            <v>5466.5</v>
          </cell>
          <cell r="G799">
            <v>0.43999999999959999</v>
          </cell>
          <cell r="H799">
            <v>34901.5</v>
          </cell>
          <cell r="I799">
            <v>34901.5</v>
          </cell>
          <cell r="J799">
            <v>0</v>
          </cell>
        </row>
        <row r="800">
          <cell r="A800" t="str">
            <v>6221586564</v>
          </cell>
          <cell r="B800">
            <v>62215</v>
          </cell>
          <cell r="C800">
            <v>86564</v>
          </cell>
          <cell r="D800" t="str">
            <v>Insurance</v>
          </cell>
          <cell r="E800">
            <v>2814</v>
          </cell>
          <cell r="F800">
            <v>2813.66</v>
          </cell>
          <cell r="G800">
            <v>0.34000000000014602</v>
          </cell>
          <cell r="H800">
            <v>16882</v>
          </cell>
          <cell r="I800">
            <v>16882</v>
          </cell>
          <cell r="J800">
            <v>0</v>
          </cell>
        </row>
        <row r="801">
          <cell r="A801" t="str">
            <v>6221588846</v>
          </cell>
          <cell r="B801">
            <v>62215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6221588890</v>
          </cell>
          <cell r="B802">
            <v>62215</v>
          </cell>
          <cell r="C802">
            <v>88890</v>
          </cell>
          <cell r="D802" t="str">
            <v>Security/Safety</v>
          </cell>
          <cell r="E802">
            <v>400.04</v>
          </cell>
          <cell r="F802">
            <v>489.8</v>
          </cell>
          <cell r="G802">
            <v>-89.76</v>
          </cell>
          <cell r="H802">
            <v>3299.61</v>
          </cell>
          <cell r="I802">
            <v>3299.61</v>
          </cell>
          <cell r="J802">
            <v>0</v>
          </cell>
        </row>
        <row r="803">
          <cell r="A803" t="str">
            <v>6221589775</v>
          </cell>
          <cell r="B803">
            <v>62215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6221589729</v>
          </cell>
          <cell r="B804">
            <v>62215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6221589786</v>
          </cell>
          <cell r="B805">
            <v>62215</v>
          </cell>
          <cell r="C805">
            <v>89786</v>
          </cell>
          <cell r="D805" t="str">
            <v>Property Tax Exp</v>
          </cell>
          <cell r="E805">
            <v>11210.34</v>
          </cell>
          <cell r="F805">
            <v>11210.34</v>
          </cell>
          <cell r="G805">
            <v>0</v>
          </cell>
          <cell r="H805">
            <v>67262</v>
          </cell>
          <cell r="I805">
            <v>67262</v>
          </cell>
          <cell r="J805">
            <v>0</v>
          </cell>
        </row>
        <row r="806">
          <cell r="A806" t="str">
            <v>6221571040</v>
          </cell>
          <cell r="B806">
            <v>62215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6221572701</v>
          </cell>
          <cell r="B807">
            <v>62215</v>
          </cell>
          <cell r="C807">
            <v>72701</v>
          </cell>
          <cell r="D807" t="str">
            <v>Utilities</v>
          </cell>
          <cell r="E807">
            <v>176.39</v>
          </cell>
          <cell r="F807">
            <v>0</v>
          </cell>
          <cell r="G807">
            <v>176.39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6221572855</v>
          </cell>
          <cell r="B808">
            <v>62215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</row>
        <row r="809">
          <cell r="A809" t="str">
            <v>6221572870</v>
          </cell>
          <cell r="B809">
            <v>62215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6221576010</v>
          </cell>
          <cell r="B810">
            <v>62215</v>
          </cell>
          <cell r="C810">
            <v>76010</v>
          </cell>
          <cell r="D810" t="str">
            <v>Tenant Alterations</v>
          </cell>
          <cell r="E810">
            <v>95.19</v>
          </cell>
          <cell r="F810">
            <v>200</v>
          </cell>
          <cell r="G810">
            <v>-104.81</v>
          </cell>
          <cell r="H810">
            <v>800</v>
          </cell>
          <cell r="I810">
            <v>800</v>
          </cell>
          <cell r="J810">
            <v>0</v>
          </cell>
        </row>
        <row r="811">
          <cell r="A811" t="str">
            <v>6221576040</v>
          </cell>
          <cell r="B811">
            <v>62215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6221576051</v>
          </cell>
          <cell r="B812">
            <v>62215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6221576054</v>
          </cell>
          <cell r="B813">
            <v>62215</v>
          </cell>
          <cell r="C813">
            <v>76054</v>
          </cell>
          <cell r="D813" t="str">
            <v>Bldg Maintenance &amp; Repair</v>
          </cell>
          <cell r="E813">
            <v>1725.75</v>
          </cell>
          <cell r="F813">
            <v>40.17</v>
          </cell>
          <cell r="G813">
            <v>1685.58</v>
          </cell>
          <cell r="H813">
            <v>1141.51</v>
          </cell>
          <cell r="I813">
            <v>1141.51</v>
          </cell>
          <cell r="J813">
            <v>0</v>
          </cell>
        </row>
        <row r="814">
          <cell r="A814" t="str">
            <v>6221576060</v>
          </cell>
          <cell r="B814">
            <v>62215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6221576071</v>
          </cell>
          <cell r="B815">
            <v>62215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6221576090</v>
          </cell>
          <cell r="B816">
            <v>62215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6221577001</v>
          </cell>
          <cell r="B817">
            <v>62215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6221577022</v>
          </cell>
          <cell r="B818">
            <v>62215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6221584200</v>
          </cell>
          <cell r="B819">
            <v>62215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6221584240</v>
          </cell>
          <cell r="B820">
            <v>62215</v>
          </cell>
          <cell r="C820">
            <v>84240</v>
          </cell>
          <cell r="D820" t="str">
            <v>Marketing Leasing</v>
          </cell>
          <cell r="E820">
            <v>2599.2199999999998</v>
          </cell>
          <cell r="F820">
            <v>2589.8200000000002</v>
          </cell>
          <cell r="G820">
            <v>9.3999999999996398</v>
          </cell>
          <cell r="H820">
            <v>16385.3</v>
          </cell>
          <cell r="I820">
            <v>16385.3</v>
          </cell>
          <cell r="J820">
            <v>0</v>
          </cell>
        </row>
        <row r="821">
          <cell r="A821" t="str">
            <v>6221584242</v>
          </cell>
          <cell r="B821">
            <v>62215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6221584243</v>
          </cell>
          <cell r="B822">
            <v>62215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-12767</v>
          </cell>
          <cell r="I822">
            <v>-12767</v>
          </cell>
          <cell r="J822">
            <v>0</v>
          </cell>
        </row>
        <row r="823">
          <cell r="A823" t="str">
            <v>6221584244</v>
          </cell>
          <cell r="B823">
            <v>62215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6221584265</v>
          </cell>
          <cell r="B824">
            <v>62215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6221588037</v>
          </cell>
          <cell r="B825">
            <v>62215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6221585016</v>
          </cell>
          <cell r="B826">
            <v>62215</v>
          </cell>
          <cell r="C826">
            <v>85016</v>
          </cell>
          <cell r="D826" t="str">
            <v>Prof Svc-Attorney Outside</v>
          </cell>
          <cell r="E826">
            <v>4700.97</v>
          </cell>
          <cell r="F826">
            <v>413.03</v>
          </cell>
          <cell r="G826">
            <v>4287.9399999999996</v>
          </cell>
          <cell r="H826">
            <v>4963.92</v>
          </cell>
          <cell r="I826">
            <v>4963.92</v>
          </cell>
          <cell r="J826">
            <v>0</v>
          </cell>
        </row>
        <row r="827">
          <cell r="A827" t="str">
            <v>6221585022</v>
          </cell>
          <cell r="B827">
            <v>62215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1306.4000000000001</v>
          </cell>
          <cell r="I827">
            <v>1306.4000000000001</v>
          </cell>
          <cell r="J827">
            <v>0</v>
          </cell>
        </row>
        <row r="828">
          <cell r="A828" t="str">
            <v>6221585065</v>
          </cell>
          <cell r="B828">
            <v>62215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6221585500</v>
          </cell>
          <cell r="B829">
            <v>62215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515</v>
          </cell>
          <cell r="I829">
            <v>515</v>
          </cell>
          <cell r="J829">
            <v>0</v>
          </cell>
        </row>
        <row r="830">
          <cell r="A830" t="str">
            <v>6221585566</v>
          </cell>
          <cell r="B830">
            <v>62215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6221585581</v>
          </cell>
          <cell r="B831">
            <v>62215</v>
          </cell>
          <cell r="C831">
            <v>85581</v>
          </cell>
          <cell r="D831" t="str">
            <v>Bldg Admin- Salaries</v>
          </cell>
          <cell r="E831">
            <v>4658.75</v>
          </cell>
          <cell r="F831">
            <v>4659</v>
          </cell>
          <cell r="G831">
            <v>-0.25</v>
          </cell>
          <cell r="H831">
            <v>29287</v>
          </cell>
          <cell r="I831">
            <v>29287</v>
          </cell>
          <cell r="J831">
            <v>0</v>
          </cell>
        </row>
        <row r="832">
          <cell r="A832" t="str">
            <v>6221585583</v>
          </cell>
          <cell r="B832">
            <v>62215</v>
          </cell>
          <cell r="C832">
            <v>85583</v>
          </cell>
          <cell r="D832" t="str">
            <v>Bldg Admin-Office Exp.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6221585530</v>
          </cell>
          <cell r="B833">
            <v>62215</v>
          </cell>
          <cell r="C833">
            <v>85530</v>
          </cell>
          <cell r="D833" t="str">
            <v>Bldg Admin - Office Exp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6221586012</v>
          </cell>
          <cell r="B834">
            <v>62215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6221586037</v>
          </cell>
          <cell r="B835">
            <v>62215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6221583050</v>
          </cell>
          <cell r="B836">
            <v>62215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6221586510</v>
          </cell>
          <cell r="B837">
            <v>62215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6221586537</v>
          </cell>
          <cell r="B838">
            <v>62215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6221586566</v>
          </cell>
          <cell r="B839">
            <v>62215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6221586955</v>
          </cell>
          <cell r="B840">
            <v>62215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6221586985</v>
          </cell>
          <cell r="B841">
            <v>62215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6221586880</v>
          </cell>
          <cell r="B842">
            <v>62215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6221588710</v>
          </cell>
          <cell r="B843">
            <v>62215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0.16</v>
          </cell>
          <cell r="G843">
            <v>-0.16</v>
          </cell>
          <cell r="H843">
            <v>32256.639999999999</v>
          </cell>
          <cell r="I843">
            <v>32256.639999999999</v>
          </cell>
          <cell r="J843">
            <v>0</v>
          </cell>
        </row>
        <row r="844">
          <cell r="A844" t="str">
            <v>6221588711</v>
          </cell>
          <cell r="B844">
            <v>62215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6221588785</v>
          </cell>
          <cell r="B845">
            <v>62215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6221588847</v>
          </cell>
          <cell r="B846">
            <v>62215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6221588866</v>
          </cell>
          <cell r="B847">
            <v>62215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6221588870</v>
          </cell>
          <cell r="B848">
            <v>62215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6221588889</v>
          </cell>
          <cell r="B849">
            <v>62215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6221589776</v>
          </cell>
          <cell r="B850">
            <v>62215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6221589787</v>
          </cell>
          <cell r="B851">
            <v>62215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6221589510</v>
          </cell>
          <cell r="B852">
            <v>62215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6221589511</v>
          </cell>
          <cell r="B853">
            <v>62215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6221589512</v>
          </cell>
          <cell r="B854">
            <v>62215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6221589528</v>
          </cell>
          <cell r="B855">
            <v>62215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6221589529</v>
          </cell>
          <cell r="B856">
            <v>62215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6221589567</v>
          </cell>
          <cell r="B857">
            <v>62215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6221585058</v>
          </cell>
          <cell r="B858">
            <v>62215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6221586513</v>
          </cell>
          <cell r="B859">
            <v>62215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0</v>
          </cell>
          <cell r="G859">
            <v>0</v>
          </cell>
          <cell r="H859">
            <v>821.59</v>
          </cell>
          <cell r="I859">
            <v>821.59</v>
          </cell>
          <cell r="J859">
            <v>0</v>
          </cell>
        </row>
        <row r="860">
          <cell r="A860" t="str">
            <v>6221586519</v>
          </cell>
          <cell r="B860">
            <v>62215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6221588770</v>
          </cell>
          <cell r="B861">
            <v>62215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6221588862</v>
          </cell>
          <cell r="B862">
            <v>62215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6221588874</v>
          </cell>
          <cell r="B863">
            <v>62215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6221589910</v>
          </cell>
          <cell r="B864">
            <v>62215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31379.73</v>
          </cell>
          <cell r="G864">
            <v>-31379.73</v>
          </cell>
          <cell r="H864">
            <v>188995.47</v>
          </cell>
          <cell r="I864">
            <v>188995.47</v>
          </cell>
          <cell r="J864">
            <v>0</v>
          </cell>
        </row>
        <row r="865">
          <cell r="A865" t="str">
            <v>6221589548</v>
          </cell>
          <cell r="B865">
            <v>62215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  <row r="866">
          <cell r="A866" t="str">
            <v>6221589548</v>
          </cell>
          <cell r="B866">
            <v>62215</v>
          </cell>
          <cell r="C866">
            <v>89548</v>
          </cell>
          <cell r="D866" t="str">
            <v>Other Amortized Cost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6225241010</v>
          </cell>
          <cell r="B867">
            <v>62252</v>
          </cell>
          <cell r="C867">
            <v>41010</v>
          </cell>
          <cell r="D867" t="str">
            <v>Parking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6225241040</v>
          </cell>
          <cell r="B868">
            <v>62252</v>
          </cell>
          <cell r="C868">
            <v>41040</v>
          </cell>
          <cell r="D868" t="str">
            <v>Rental Income FAS 13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6225241050</v>
          </cell>
          <cell r="B869">
            <v>62252</v>
          </cell>
          <cell r="C869">
            <v>41050</v>
          </cell>
          <cell r="D869" t="str">
            <v>Rental Income - Fixed</v>
          </cell>
          <cell r="E869">
            <v>-121109.54</v>
          </cell>
          <cell r="F869">
            <v>-110479.54</v>
          </cell>
          <cell r="G869">
            <v>-10630</v>
          </cell>
          <cell r="H869">
            <v>-1401830.11</v>
          </cell>
          <cell r="I869">
            <v>-1401830.11</v>
          </cell>
          <cell r="J869">
            <v>0</v>
          </cell>
        </row>
        <row r="870">
          <cell r="A870" t="str">
            <v>6225241074</v>
          </cell>
          <cell r="B870">
            <v>62252</v>
          </cell>
          <cell r="C870">
            <v>41074</v>
          </cell>
          <cell r="D870" t="str">
            <v>Rental Income - Percentage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6225241082</v>
          </cell>
          <cell r="B871">
            <v>62252</v>
          </cell>
          <cell r="C871">
            <v>41082</v>
          </cell>
          <cell r="D871" t="str">
            <v>Rental Income - Operating Exp</v>
          </cell>
          <cell r="E871">
            <v>-22030.01</v>
          </cell>
          <cell r="F871">
            <v>-32722.85</v>
          </cell>
          <cell r="G871">
            <v>10692.84</v>
          </cell>
          <cell r="H871">
            <v>-392674.2</v>
          </cell>
          <cell r="I871">
            <v>-392674.2</v>
          </cell>
          <cell r="J871">
            <v>0</v>
          </cell>
        </row>
        <row r="872">
          <cell r="A872" t="str">
            <v>6225244610</v>
          </cell>
          <cell r="B872">
            <v>62252</v>
          </cell>
          <cell r="C872">
            <v>44610</v>
          </cell>
          <cell r="D872" t="str">
            <v>Marketing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6225245071</v>
          </cell>
          <cell r="B873">
            <v>62252</v>
          </cell>
          <cell r="C873">
            <v>45071</v>
          </cell>
          <cell r="D873" t="str">
            <v>Termination Fee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6225245010</v>
          </cell>
          <cell r="B874">
            <v>62252</v>
          </cell>
          <cell r="C874">
            <v>45010</v>
          </cell>
          <cell r="D874" t="str">
            <v>Bad Debt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6225245046</v>
          </cell>
          <cell r="B875">
            <v>62252</v>
          </cell>
          <cell r="C875">
            <v>45046</v>
          </cell>
          <cell r="D875" t="str">
            <v>Mgmt/Consult Fee Income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6225245070</v>
          </cell>
          <cell r="B876">
            <v>62252</v>
          </cell>
          <cell r="C876">
            <v>45070</v>
          </cell>
          <cell r="D876" t="str">
            <v>Other Income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</row>
        <row r="877">
          <cell r="A877" t="str">
            <v>6225241060</v>
          </cell>
          <cell r="B877">
            <v>62252</v>
          </cell>
          <cell r="C877">
            <v>41060</v>
          </cell>
          <cell r="D877" t="str">
            <v>Rental Income - Vacancy</v>
          </cell>
          <cell r="E877">
            <v>0</v>
          </cell>
          <cell r="F877">
            <v>4486.25</v>
          </cell>
          <cell r="G877">
            <v>-4486.25</v>
          </cell>
          <cell r="H877">
            <v>53835</v>
          </cell>
          <cell r="I877">
            <v>53835</v>
          </cell>
          <cell r="J877">
            <v>0</v>
          </cell>
        </row>
        <row r="878">
          <cell r="A878" t="str">
            <v>6225244870</v>
          </cell>
          <cell r="B878">
            <v>62252</v>
          </cell>
          <cell r="C878">
            <v>44870</v>
          </cell>
          <cell r="D878" t="str">
            <v>Late Fees</v>
          </cell>
          <cell r="E878">
            <v>-175.02</v>
          </cell>
          <cell r="F878">
            <v>0</v>
          </cell>
          <cell r="G878">
            <v>-175.02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6225252542</v>
          </cell>
          <cell r="B879">
            <v>62252</v>
          </cell>
          <cell r="C879">
            <v>52542</v>
          </cell>
          <cell r="D879" t="str">
            <v>Cost of Tenant Services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6225272710</v>
          </cell>
          <cell r="B880">
            <v>62252</v>
          </cell>
          <cell r="C880">
            <v>72710</v>
          </cell>
          <cell r="D880" t="str">
            <v>Utilities - Electricity</v>
          </cell>
          <cell r="E880">
            <v>311.85000000000002</v>
          </cell>
          <cell r="F880">
            <v>759.42</v>
          </cell>
          <cell r="G880">
            <v>-447.57</v>
          </cell>
          <cell r="H880">
            <v>12463.2</v>
          </cell>
          <cell r="I880">
            <v>12463.2</v>
          </cell>
          <cell r="J880">
            <v>0</v>
          </cell>
        </row>
        <row r="881">
          <cell r="A881" t="str">
            <v>6225272740</v>
          </cell>
          <cell r="B881">
            <v>62252</v>
          </cell>
          <cell r="C881">
            <v>72740</v>
          </cell>
          <cell r="D881" t="str">
            <v>Utilities - Gas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6225272770</v>
          </cell>
          <cell r="B882">
            <v>62252</v>
          </cell>
          <cell r="C882">
            <v>72770</v>
          </cell>
          <cell r="D882" t="str">
            <v>Utilities - Water</v>
          </cell>
          <cell r="E882">
            <v>198.61</v>
          </cell>
          <cell r="F882">
            <v>1037.44</v>
          </cell>
          <cell r="G882">
            <v>-838.83</v>
          </cell>
          <cell r="H882">
            <v>11191.61</v>
          </cell>
          <cell r="I882">
            <v>11191.61</v>
          </cell>
          <cell r="J882">
            <v>0</v>
          </cell>
        </row>
        <row r="883">
          <cell r="A883" t="str">
            <v>6225276000</v>
          </cell>
          <cell r="B883">
            <v>62252</v>
          </cell>
          <cell r="C883">
            <v>76000</v>
          </cell>
          <cell r="D883" t="str">
            <v>Bldg Maintenance &amp; Repair</v>
          </cell>
          <cell r="E883">
            <v>1249.81</v>
          </cell>
          <cell r="F883">
            <v>1948.51</v>
          </cell>
          <cell r="G883">
            <v>-698.7</v>
          </cell>
          <cell r="H883">
            <v>36414.370000000003</v>
          </cell>
          <cell r="I883">
            <v>36414.370000000003</v>
          </cell>
          <cell r="J883">
            <v>0</v>
          </cell>
        </row>
        <row r="884">
          <cell r="A884" t="str">
            <v>6225276020</v>
          </cell>
          <cell r="B884">
            <v>62252</v>
          </cell>
          <cell r="C884">
            <v>76020</v>
          </cell>
          <cell r="D884" t="str">
            <v>Food Court Expense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6225276034</v>
          </cell>
          <cell r="B885">
            <v>62252</v>
          </cell>
          <cell r="C885">
            <v>76034</v>
          </cell>
          <cell r="D885" t="str">
            <v>Bldg. - General Repair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6225276050</v>
          </cell>
          <cell r="B886">
            <v>62252</v>
          </cell>
          <cell r="C886">
            <v>76050</v>
          </cell>
          <cell r="D886" t="str">
            <v>Cleaning Expense</v>
          </cell>
          <cell r="E886">
            <v>1288.46</v>
          </cell>
          <cell r="F886">
            <v>1415.45</v>
          </cell>
          <cell r="G886">
            <v>-126.99</v>
          </cell>
          <cell r="H886">
            <v>16897</v>
          </cell>
          <cell r="I886">
            <v>16897</v>
          </cell>
          <cell r="J886">
            <v>0</v>
          </cell>
        </row>
        <row r="887">
          <cell r="A887" t="str">
            <v>6225276056</v>
          </cell>
          <cell r="B887">
            <v>62252</v>
          </cell>
          <cell r="C887">
            <v>76056</v>
          </cell>
          <cell r="D887" t="str">
            <v>Maintenance - Reimb Reimaging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6225276070</v>
          </cell>
          <cell r="B888">
            <v>62252</v>
          </cell>
          <cell r="C888">
            <v>76070</v>
          </cell>
          <cell r="D888" t="str">
            <v>Reimaging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6225276091</v>
          </cell>
          <cell r="B889">
            <v>62252</v>
          </cell>
          <cell r="C889">
            <v>76091</v>
          </cell>
          <cell r="D889" t="str">
            <v>Parking Maintenance</v>
          </cell>
          <cell r="E889">
            <v>1315</v>
          </cell>
          <cell r="F889">
            <v>1328.95</v>
          </cell>
          <cell r="G889">
            <v>-13.95</v>
          </cell>
          <cell r="H889">
            <v>22592.01</v>
          </cell>
          <cell r="I889">
            <v>22592.01</v>
          </cell>
          <cell r="J889">
            <v>0</v>
          </cell>
        </row>
        <row r="890">
          <cell r="A890" t="str">
            <v>6225277000</v>
          </cell>
          <cell r="B890">
            <v>62252</v>
          </cell>
          <cell r="C890">
            <v>77000</v>
          </cell>
          <cell r="D890" t="str">
            <v>Grounds Maintenance</v>
          </cell>
          <cell r="E890">
            <v>300.29000000000002</v>
          </cell>
          <cell r="F890">
            <v>4285.7</v>
          </cell>
          <cell r="G890">
            <v>-3985.41</v>
          </cell>
          <cell r="H890">
            <v>21626.5</v>
          </cell>
          <cell r="I890">
            <v>21626.5</v>
          </cell>
          <cell r="J890">
            <v>0</v>
          </cell>
        </row>
        <row r="891">
          <cell r="A891" t="str">
            <v>6225277053</v>
          </cell>
          <cell r="B891">
            <v>62252</v>
          </cell>
          <cell r="C891">
            <v>77053</v>
          </cell>
          <cell r="D891" t="str">
            <v>Landscaping</v>
          </cell>
          <cell r="E891">
            <v>1701.51</v>
          </cell>
          <cell r="F891">
            <v>1056.32</v>
          </cell>
          <cell r="G891">
            <v>645.19000000000005</v>
          </cell>
          <cell r="H891">
            <v>69185.460000000006</v>
          </cell>
          <cell r="I891">
            <v>69185.460000000006</v>
          </cell>
          <cell r="J891">
            <v>0</v>
          </cell>
        </row>
        <row r="892">
          <cell r="A892" t="str">
            <v>6225278020</v>
          </cell>
          <cell r="B892">
            <v>62252</v>
          </cell>
          <cell r="C892">
            <v>78020</v>
          </cell>
          <cell r="D892" t="str">
            <v>Amortized CAM Exp</v>
          </cell>
          <cell r="E892">
            <v>1528</v>
          </cell>
          <cell r="F892">
            <v>1527.75</v>
          </cell>
          <cell r="G892">
            <v>0.25</v>
          </cell>
          <cell r="H892">
            <v>18333</v>
          </cell>
          <cell r="I892">
            <v>18333</v>
          </cell>
          <cell r="J892">
            <v>0</v>
          </cell>
        </row>
        <row r="893">
          <cell r="A893" t="str">
            <v>6225284264</v>
          </cell>
          <cell r="B893">
            <v>62252</v>
          </cell>
          <cell r="C893">
            <v>84264</v>
          </cell>
          <cell r="D893" t="str">
            <v>Mktg-Tenant Relations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6225285555</v>
          </cell>
          <cell r="B894">
            <v>62252</v>
          </cell>
          <cell r="C894">
            <v>85555</v>
          </cell>
          <cell r="D894" t="str">
            <v>Management Fee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6225285584</v>
          </cell>
          <cell r="B895">
            <v>62252</v>
          </cell>
          <cell r="C895">
            <v>85584</v>
          </cell>
          <cell r="D895" t="str">
            <v>Bldg Admin-Office Costs</v>
          </cell>
          <cell r="E895">
            <v>390.24</v>
          </cell>
          <cell r="F895">
            <v>598.58000000000004</v>
          </cell>
          <cell r="G895">
            <v>-208.34</v>
          </cell>
          <cell r="H895">
            <v>7183</v>
          </cell>
          <cell r="I895">
            <v>7183</v>
          </cell>
          <cell r="J895">
            <v>0</v>
          </cell>
        </row>
        <row r="896">
          <cell r="A896" t="str">
            <v>6225285582</v>
          </cell>
          <cell r="B896">
            <v>62252</v>
          </cell>
          <cell r="C896">
            <v>85582</v>
          </cell>
          <cell r="D896" t="str">
            <v>Bldg Admin-Salaries</v>
          </cell>
          <cell r="E896">
            <v>3249.84</v>
          </cell>
          <cell r="F896">
            <v>3250</v>
          </cell>
          <cell r="G896">
            <v>-0.15999999999985401</v>
          </cell>
          <cell r="H896">
            <v>41501</v>
          </cell>
          <cell r="I896">
            <v>41501</v>
          </cell>
          <cell r="J896">
            <v>0</v>
          </cell>
        </row>
        <row r="897">
          <cell r="A897" t="str">
            <v>6225286564</v>
          </cell>
          <cell r="B897">
            <v>62252</v>
          </cell>
          <cell r="C897">
            <v>86564</v>
          </cell>
          <cell r="D897" t="str">
            <v>Insurance</v>
          </cell>
          <cell r="E897">
            <v>1806</v>
          </cell>
          <cell r="F897">
            <v>1805.83</v>
          </cell>
          <cell r="G897">
            <v>0.17000000000007301</v>
          </cell>
          <cell r="H897">
            <v>21670</v>
          </cell>
          <cell r="I897">
            <v>21670</v>
          </cell>
          <cell r="J897">
            <v>0</v>
          </cell>
        </row>
        <row r="898">
          <cell r="A898" t="str">
            <v>6225288846</v>
          </cell>
          <cell r="B898">
            <v>62252</v>
          </cell>
          <cell r="C898">
            <v>88846</v>
          </cell>
          <cell r="D898" t="str">
            <v>Expenses -Other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6225288890</v>
          </cell>
          <cell r="B899">
            <v>62252</v>
          </cell>
          <cell r="C899">
            <v>88890</v>
          </cell>
          <cell r="D899" t="str">
            <v>Security/Safety</v>
          </cell>
          <cell r="E899">
            <v>200.02</v>
          </cell>
          <cell r="F899">
            <v>462.02</v>
          </cell>
          <cell r="G899">
            <v>-262</v>
          </cell>
          <cell r="H899">
            <v>4492</v>
          </cell>
          <cell r="I899">
            <v>4492</v>
          </cell>
          <cell r="J899">
            <v>0</v>
          </cell>
        </row>
        <row r="900">
          <cell r="A900" t="str">
            <v>6225289775</v>
          </cell>
          <cell r="B900">
            <v>62252</v>
          </cell>
          <cell r="C900">
            <v>89775</v>
          </cell>
          <cell r="D900" t="str">
            <v>Assmt Dist Taxes- Reimb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6225289729</v>
          </cell>
          <cell r="B901">
            <v>62252</v>
          </cell>
          <cell r="C901">
            <v>89729</v>
          </cell>
          <cell r="D901" t="str">
            <v>Taxes - Miscellaneous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6225289786</v>
          </cell>
          <cell r="B902">
            <v>62252</v>
          </cell>
          <cell r="C902">
            <v>89786</v>
          </cell>
          <cell r="D902" t="str">
            <v>Property Tax Exp</v>
          </cell>
          <cell r="E902">
            <v>5904.16</v>
          </cell>
          <cell r="F902">
            <v>5904.16</v>
          </cell>
          <cell r="G902">
            <v>0</v>
          </cell>
          <cell r="H902">
            <v>70850</v>
          </cell>
          <cell r="I902">
            <v>70850</v>
          </cell>
          <cell r="J902">
            <v>0</v>
          </cell>
        </row>
        <row r="903">
          <cell r="A903" t="str">
            <v>6225271040</v>
          </cell>
          <cell r="B903">
            <v>62252</v>
          </cell>
          <cell r="C903">
            <v>71040</v>
          </cell>
          <cell r="D903" t="str">
            <v>Office Supplies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6225272701</v>
          </cell>
          <cell r="B904">
            <v>62252</v>
          </cell>
          <cell r="C904">
            <v>72701</v>
          </cell>
          <cell r="D904" t="str">
            <v>Utilities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6225272855</v>
          </cell>
          <cell r="B905">
            <v>62252</v>
          </cell>
          <cell r="C905">
            <v>72855</v>
          </cell>
          <cell r="D905" t="str">
            <v>Rent Expense-Ground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</row>
        <row r="906">
          <cell r="A906" t="str">
            <v>6225272870</v>
          </cell>
          <cell r="B906">
            <v>62252</v>
          </cell>
          <cell r="C906">
            <v>72870</v>
          </cell>
          <cell r="D906" t="str">
            <v>Office Rent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6225276010</v>
          </cell>
          <cell r="B907">
            <v>62252</v>
          </cell>
          <cell r="C907">
            <v>76010</v>
          </cell>
          <cell r="D907" t="str">
            <v>Tenant Alterations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6225276040</v>
          </cell>
          <cell r="B908">
            <v>62252</v>
          </cell>
          <cell r="C908">
            <v>76040</v>
          </cell>
          <cell r="D908" t="str">
            <v>HVAC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6225276051</v>
          </cell>
          <cell r="B909">
            <v>62252</v>
          </cell>
          <cell r="C909">
            <v>76051</v>
          </cell>
          <cell r="D909" t="str">
            <v>Cleaning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6225276054</v>
          </cell>
          <cell r="B910">
            <v>62252</v>
          </cell>
          <cell r="C910">
            <v>76054</v>
          </cell>
          <cell r="D910" t="str">
            <v>Bldg Maintenance &amp; Repair</v>
          </cell>
          <cell r="E910">
            <v>0</v>
          </cell>
          <cell r="F910">
            <v>0</v>
          </cell>
          <cell r="G910">
            <v>0</v>
          </cell>
          <cell r="H910">
            <v>6.91</v>
          </cell>
          <cell r="I910">
            <v>6.91</v>
          </cell>
          <cell r="J910">
            <v>0</v>
          </cell>
        </row>
        <row r="911">
          <cell r="A911" t="str">
            <v>6225276060</v>
          </cell>
          <cell r="B911">
            <v>62252</v>
          </cell>
          <cell r="C911">
            <v>76060</v>
          </cell>
          <cell r="D911" t="str">
            <v>Asbestos Abatement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6225276071</v>
          </cell>
          <cell r="B912">
            <v>62252</v>
          </cell>
          <cell r="C912">
            <v>76071</v>
          </cell>
          <cell r="D912" t="str">
            <v>Reimaging Maintenance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6225276090</v>
          </cell>
          <cell r="B913">
            <v>62252</v>
          </cell>
          <cell r="C913">
            <v>76090</v>
          </cell>
          <cell r="D913" t="str">
            <v>Parking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6225277001</v>
          </cell>
          <cell r="B914">
            <v>62252</v>
          </cell>
          <cell r="C914">
            <v>77001</v>
          </cell>
          <cell r="D914" t="str">
            <v>Grounds Maintenance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6225277022</v>
          </cell>
          <cell r="B915">
            <v>62252</v>
          </cell>
          <cell r="C915">
            <v>77022</v>
          </cell>
          <cell r="D915" t="str">
            <v>Landscaping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6225284200</v>
          </cell>
          <cell r="B916">
            <v>62252</v>
          </cell>
          <cell r="C916">
            <v>84200</v>
          </cell>
          <cell r="D916" t="str">
            <v>Marketing-Other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6225284240</v>
          </cell>
          <cell r="B917">
            <v>62252</v>
          </cell>
          <cell r="C917">
            <v>84240</v>
          </cell>
          <cell r="D917" t="str">
            <v>Marketing Leasing</v>
          </cell>
          <cell r="E917">
            <v>587</v>
          </cell>
          <cell r="F917">
            <v>730.17</v>
          </cell>
          <cell r="G917">
            <v>-143.16999999999999</v>
          </cell>
          <cell r="H917">
            <v>9184.2000000000007</v>
          </cell>
          <cell r="I917">
            <v>9184.2000000000007</v>
          </cell>
          <cell r="J917">
            <v>0</v>
          </cell>
        </row>
        <row r="918">
          <cell r="A918" t="str">
            <v>6225284242</v>
          </cell>
          <cell r="B918">
            <v>62252</v>
          </cell>
          <cell r="C918">
            <v>84242</v>
          </cell>
          <cell r="D918" t="str">
            <v>Marketing-Subsidy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6225284243</v>
          </cell>
          <cell r="B919">
            <v>62252</v>
          </cell>
          <cell r="C919">
            <v>84243</v>
          </cell>
          <cell r="D919" t="str">
            <v>Marketing Coordination</v>
          </cell>
          <cell r="E919">
            <v>0</v>
          </cell>
          <cell r="F919">
            <v>0</v>
          </cell>
          <cell r="G919">
            <v>0</v>
          </cell>
          <cell r="H919">
            <v>-6994.91</v>
          </cell>
          <cell r="I919">
            <v>-6994.91</v>
          </cell>
          <cell r="J919">
            <v>0</v>
          </cell>
        </row>
        <row r="920">
          <cell r="A920" t="str">
            <v>6225284244</v>
          </cell>
          <cell r="B920">
            <v>62252</v>
          </cell>
          <cell r="C920">
            <v>84244</v>
          </cell>
          <cell r="D920" t="str">
            <v>Marketing-Net Required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6225284265</v>
          </cell>
          <cell r="B921">
            <v>62252</v>
          </cell>
          <cell r="C921">
            <v>84265</v>
          </cell>
          <cell r="D921" t="str">
            <v>Marketing -TR-Non-Reimb.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6225288037</v>
          </cell>
          <cell r="B922">
            <v>62252</v>
          </cell>
          <cell r="C922">
            <v>88037</v>
          </cell>
          <cell r="D922" t="str">
            <v>Marketing - Leasing Office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</row>
        <row r="923">
          <cell r="A923" t="str">
            <v>6225285016</v>
          </cell>
          <cell r="B923">
            <v>62252</v>
          </cell>
          <cell r="C923">
            <v>85016</v>
          </cell>
          <cell r="D923" t="str">
            <v>Prof Svc-Attorney Outside</v>
          </cell>
          <cell r="E923">
            <v>1012.74</v>
          </cell>
          <cell r="F923">
            <v>0</v>
          </cell>
          <cell r="G923">
            <v>1012.74</v>
          </cell>
          <cell r="H923">
            <v>3115.76</v>
          </cell>
          <cell r="I923">
            <v>3115.76</v>
          </cell>
          <cell r="J923">
            <v>0</v>
          </cell>
        </row>
        <row r="924">
          <cell r="A924" t="str">
            <v>6225285022</v>
          </cell>
          <cell r="B924">
            <v>62252</v>
          </cell>
          <cell r="C924">
            <v>85022</v>
          </cell>
          <cell r="D924" t="str">
            <v>Prof Svc-Audit/Acctng</v>
          </cell>
          <cell r="E924">
            <v>0</v>
          </cell>
          <cell r="F924">
            <v>0</v>
          </cell>
          <cell r="G924">
            <v>0</v>
          </cell>
          <cell r="H924">
            <v>1543.3</v>
          </cell>
          <cell r="I924">
            <v>1543.3</v>
          </cell>
          <cell r="J924">
            <v>0</v>
          </cell>
        </row>
        <row r="925">
          <cell r="A925" t="str">
            <v>6225285065</v>
          </cell>
          <cell r="B925">
            <v>62252</v>
          </cell>
          <cell r="C925">
            <v>85065</v>
          </cell>
          <cell r="D925" t="str">
            <v>Professional Services Other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</row>
        <row r="926">
          <cell r="A926" t="str">
            <v>6225285500</v>
          </cell>
          <cell r="B926">
            <v>62252</v>
          </cell>
          <cell r="C926">
            <v>85500</v>
          </cell>
          <cell r="D926" t="str">
            <v>Consulting Services</v>
          </cell>
          <cell r="E926">
            <v>0</v>
          </cell>
          <cell r="F926">
            <v>0</v>
          </cell>
          <cell r="G926">
            <v>0</v>
          </cell>
          <cell r="H926">
            <v>515</v>
          </cell>
          <cell r="I926">
            <v>515</v>
          </cell>
          <cell r="J926">
            <v>0</v>
          </cell>
        </row>
        <row r="927">
          <cell r="A927" t="str">
            <v>6225285566</v>
          </cell>
          <cell r="B927">
            <v>62252</v>
          </cell>
          <cell r="C927">
            <v>85566</v>
          </cell>
          <cell r="D927" t="str">
            <v>Management Fee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</row>
        <row r="928">
          <cell r="A928" t="str">
            <v>6225285581</v>
          </cell>
          <cell r="B928">
            <v>62252</v>
          </cell>
          <cell r="C928">
            <v>85581</v>
          </cell>
          <cell r="D928" t="str">
            <v>Bldg Admin- Salaries</v>
          </cell>
          <cell r="E928">
            <v>2685.23</v>
          </cell>
          <cell r="F928">
            <v>2685.5</v>
          </cell>
          <cell r="G928">
            <v>-0.26999999999998198</v>
          </cell>
          <cell r="H928">
            <v>33689</v>
          </cell>
          <cell r="I928">
            <v>33689</v>
          </cell>
          <cell r="J928">
            <v>0</v>
          </cell>
        </row>
        <row r="929">
          <cell r="A929" t="str">
            <v>6225285583</v>
          </cell>
          <cell r="B929">
            <v>62252</v>
          </cell>
          <cell r="C929">
            <v>85583</v>
          </cell>
          <cell r="D929" t="str">
            <v>Bldg Admin-Office Exp.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</row>
        <row r="930">
          <cell r="A930" t="str">
            <v>6225285530</v>
          </cell>
          <cell r="B930">
            <v>62252</v>
          </cell>
          <cell r="C930">
            <v>85530</v>
          </cell>
          <cell r="D930" t="str">
            <v>Bldg Admin - Office Exp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</row>
        <row r="931">
          <cell r="A931" t="str">
            <v>6225286012</v>
          </cell>
          <cell r="B931">
            <v>62252</v>
          </cell>
          <cell r="C931">
            <v>86012</v>
          </cell>
          <cell r="D931" t="str">
            <v>Regional Employee Parking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</row>
        <row r="932">
          <cell r="A932" t="str">
            <v>6225286037</v>
          </cell>
          <cell r="B932">
            <v>62252</v>
          </cell>
          <cell r="C932">
            <v>86037</v>
          </cell>
          <cell r="D932" t="str">
            <v>Travel &amp; Entertainment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</row>
        <row r="933">
          <cell r="A933" t="str">
            <v>6225283050</v>
          </cell>
          <cell r="B933">
            <v>62252</v>
          </cell>
          <cell r="C933">
            <v>83050</v>
          </cell>
          <cell r="D933" t="str">
            <v>Regional Employee Travel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</row>
        <row r="934">
          <cell r="A934" t="str">
            <v>6225286510</v>
          </cell>
          <cell r="B934">
            <v>62252</v>
          </cell>
          <cell r="C934">
            <v>86510</v>
          </cell>
          <cell r="D934" t="str">
            <v>Leasing Admin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</row>
        <row r="935">
          <cell r="A935" t="str">
            <v>6225286537</v>
          </cell>
          <cell r="B935">
            <v>62252</v>
          </cell>
          <cell r="C935">
            <v>86537</v>
          </cell>
          <cell r="D935" t="str">
            <v>Fees-Credit Reports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</row>
        <row r="936">
          <cell r="A936" t="str">
            <v>6225286566</v>
          </cell>
          <cell r="B936">
            <v>62252</v>
          </cell>
          <cell r="C936">
            <v>86566</v>
          </cell>
          <cell r="D936" t="str">
            <v>Insurance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</row>
        <row r="937">
          <cell r="A937" t="str">
            <v>6225286955</v>
          </cell>
          <cell r="B937">
            <v>62252</v>
          </cell>
          <cell r="C937">
            <v>86955</v>
          </cell>
          <cell r="D937" t="str">
            <v>Regional Temporary Labor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</row>
        <row r="938">
          <cell r="A938" t="str">
            <v>6225286985</v>
          </cell>
          <cell r="B938">
            <v>62252</v>
          </cell>
          <cell r="C938">
            <v>86985</v>
          </cell>
          <cell r="D938" t="str">
            <v>Purchased Svcs _ Other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</row>
        <row r="939">
          <cell r="A939" t="str">
            <v>6225286880</v>
          </cell>
          <cell r="B939">
            <v>62252</v>
          </cell>
          <cell r="C939">
            <v>86880</v>
          </cell>
          <cell r="D939" t="str">
            <v>Telephone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</row>
        <row r="940">
          <cell r="A940" t="str">
            <v>6225288710</v>
          </cell>
          <cell r="B940">
            <v>62252</v>
          </cell>
          <cell r="C940">
            <v>88710</v>
          </cell>
          <cell r="D940" t="str">
            <v>Losses-Bad Debts</v>
          </cell>
          <cell r="E940">
            <v>0</v>
          </cell>
          <cell r="F940">
            <v>0</v>
          </cell>
          <cell r="G940">
            <v>0</v>
          </cell>
          <cell r="H940">
            <v>35892</v>
          </cell>
          <cell r="I940">
            <v>35892</v>
          </cell>
          <cell r="J940">
            <v>0</v>
          </cell>
        </row>
        <row r="941">
          <cell r="A941" t="str">
            <v>6225288711</v>
          </cell>
          <cell r="B941">
            <v>62252</v>
          </cell>
          <cell r="C941">
            <v>88711</v>
          </cell>
          <cell r="D941" t="str">
            <v>Losses-Bad Debts- FASB 13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</row>
        <row r="942">
          <cell r="A942" t="str">
            <v>6225288785</v>
          </cell>
          <cell r="B942">
            <v>62252</v>
          </cell>
          <cell r="C942">
            <v>88785</v>
          </cell>
          <cell r="D942" t="str">
            <v>Losses-Uninsured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</row>
        <row r="943">
          <cell r="A943" t="str">
            <v>6225288847</v>
          </cell>
          <cell r="B943">
            <v>62252</v>
          </cell>
          <cell r="C943">
            <v>88847</v>
          </cell>
          <cell r="D943" t="str">
            <v>Expenses - Other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</row>
        <row r="944">
          <cell r="A944" t="str">
            <v>6225288866</v>
          </cell>
          <cell r="B944">
            <v>62252</v>
          </cell>
          <cell r="C944">
            <v>88866</v>
          </cell>
          <cell r="D944" t="str">
            <v>Legal Settlements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</row>
        <row r="945">
          <cell r="A945" t="str">
            <v>6225288870</v>
          </cell>
          <cell r="B945">
            <v>62252</v>
          </cell>
          <cell r="C945">
            <v>88870</v>
          </cell>
          <cell r="D945" t="str">
            <v>Backside Dist-O/S Partner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</row>
        <row r="946">
          <cell r="A946" t="str">
            <v>6225288889</v>
          </cell>
          <cell r="B946">
            <v>62252</v>
          </cell>
          <cell r="C946">
            <v>88889</v>
          </cell>
          <cell r="D946" t="str">
            <v>Security/Safety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</row>
        <row r="947">
          <cell r="A947" t="str">
            <v>6225289776</v>
          </cell>
          <cell r="B947">
            <v>62252</v>
          </cell>
          <cell r="C947">
            <v>89776</v>
          </cell>
          <cell r="D947" t="str">
            <v>Assmt Dist Taxes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</row>
        <row r="948">
          <cell r="A948" t="str">
            <v>6225289787</v>
          </cell>
          <cell r="B948">
            <v>62252</v>
          </cell>
          <cell r="C948">
            <v>89787</v>
          </cell>
          <cell r="D948" t="str">
            <v>Property Tax Exp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</row>
        <row r="949">
          <cell r="A949" t="str">
            <v>6225289510</v>
          </cell>
          <cell r="B949">
            <v>62252</v>
          </cell>
          <cell r="C949">
            <v>89510</v>
          </cell>
          <cell r="D949" t="str">
            <v>Interest Expense - General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</row>
        <row r="950">
          <cell r="A950" t="str">
            <v>6225289511</v>
          </cell>
          <cell r="B950">
            <v>62252</v>
          </cell>
          <cell r="C950">
            <v>89511</v>
          </cell>
          <cell r="D950" t="str">
            <v>Interest Expense - Swap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</row>
        <row r="951">
          <cell r="A951" t="str">
            <v>6225289512</v>
          </cell>
          <cell r="B951">
            <v>62252</v>
          </cell>
          <cell r="C951">
            <v>89512</v>
          </cell>
          <cell r="D951" t="str">
            <v>Interest Expense - Accrual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</row>
        <row r="952">
          <cell r="A952" t="str">
            <v>6225289528</v>
          </cell>
          <cell r="B952">
            <v>62252</v>
          </cell>
          <cell r="C952">
            <v>89528</v>
          </cell>
          <cell r="D952" t="str">
            <v>Interest Expense - Loan Fees-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</row>
        <row r="953">
          <cell r="A953" t="str">
            <v>6225289529</v>
          </cell>
          <cell r="B953">
            <v>62252</v>
          </cell>
          <cell r="C953">
            <v>89529</v>
          </cell>
          <cell r="D953" t="str">
            <v>Interest Expense - Loan Fee A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6225289567</v>
          </cell>
          <cell r="B954">
            <v>62252</v>
          </cell>
          <cell r="C954">
            <v>89567</v>
          </cell>
          <cell r="D954" t="str">
            <v>Interest Expense - TIC/Partne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6225285058</v>
          </cell>
          <cell r="B955">
            <v>62252</v>
          </cell>
          <cell r="C955">
            <v>85058</v>
          </cell>
          <cell r="D955" t="str">
            <v>Legal Fee Amort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6225286513</v>
          </cell>
          <cell r="B956">
            <v>62252</v>
          </cell>
          <cell r="C956">
            <v>86513</v>
          </cell>
          <cell r="D956" t="str">
            <v>Leasing Commission Amort</v>
          </cell>
          <cell r="E956">
            <v>0</v>
          </cell>
          <cell r="F956">
            <v>0</v>
          </cell>
          <cell r="G956">
            <v>0</v>
          </cell>
          <cell r="H956">
            <v>73.38</v>
          </cell>
          <cell r="I956">
            <v>73.38</v>
          </cell>
          <cell r="J956">
            <v>0</v>
          </cell>
        </row>
        <row r="957">
          <cell r="A957" t="str">
            <v>6225286519</v>
          </cell>
          <cell r="B957">
            <v>62252</v>
          </cell>
          <cell r="C957">
            <v>86519</v>
          </cell>
          <cell r="D957" t="str">
            <v>Fees-Appraisal Amort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6225288770</v>
          </cell>
          <cell r="B958">
            <v>62252</v>
          </cell>
          <cell r="C958">
            <v>88770</v>
          </cell>
          <cell r="D958" t="str">
            <v>Losses-Prop Abandon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6225288862</v>
          </cell>
          <cell r="B959">
            <v>62252</v>
          </cell>
          <cell r="C959">
            <v>88862</v>
          </cell>
          <cell r="D959" t="str">
            <v>Lease Buy-Out Amort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6225288874</v>
          </cell>
          <cell r="B960">
            <v>62252</v>
          </cell>
          <cell r="C960">
            <v>88874</v>
          </cell>
          <cell r="D960" t="str">
            <v>Organization Cost Amort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6225289910</v>
          </cell>
          <cell r="B961">
            <v>62252</v>
          </cell>
          <cell r="C961">
            <v>89910</v>
          </cell>
          <cell r="D961" t="str">
            <v>Depreciation</v>
          </cell>
          <cell r="E961">
            <v>0</v>
          </cell>
          <cell r="F961">
            <v>23883.52</v>
          </cell>
          <cell r="G961">
            <v>-23883.52</v>
          </cell>
          <cell r="H961">
            <v>262681.40999999997</v>
          </cell>
          <cell r="I961">
            <v>262681.40999999997</v>
          </cell>
          <cell r="J961">
            <v>0</v>
          </cell>
        </row>
        <row r="962">
          <cell r="A962" t="str">
            <v>6225289548</v>
          </cell>
          <cell r="B962">
            <v>62252</v>
          </cell>
          <cell r="C962">
            <v>89548</v>
          </cell>
          <cell r="D962" t="str">
            <v>Other Amortized Cost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</row>
        <row r="963">
          <cell r="A963" t="str">
            <v>6227041010</v>
          </cell>
          <cell r="B963">
            <v>62270</v>
          </cell>
          <cell r="C963">
            <v>41010</v>
          </cell>
          <cell r="D963" t="str">
            <v>Parking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</row>
        <row r="964">
          <cell r="A964" t="str">
            <v>6227041040</v>
          </cell>
          <cell r="B964">
            <v>62270</v>
          </cell>
          <cell r="C964">
            <v>41040</v>
          </cell>
          <cell r="D964" t="str">
            <v>Rental Income FAS 13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</row>
        <row r="965">
          <cell r="A965" t="str">
            <v>6227041050</v>
          </cell>
          <cell r="B965">
            <v>62270</v>
          </cell>
          <cell r="C965">
            <v>41050</v>
          </cell>
          <cell r="D965" t="str">
            <v>Rental Income - Fixed</v>
          </cell>
          <cell r="E965">
            <v>-415109.8</v>
          </cell>
          <cell r="F965">
            <v>-415421.8</v>
          </cell>
          <cell r="G965">
            <v>312</v>
          </cell>
          <cell r="H965">
            <v>-5103929.24</v>
          </cell>
          <cell r="I965">
            <v>-5103929.24</v>
          </cell>
          <cell r="J965">
            <v>0</v>
          </cell>
        </row>
        <row r="966">
          <cell r="A966" t="str">
            <v>6227041074</v>
          </cell>
          <cell r="B966">
            <v>62270</v>
          </cell>
          <cell r="C966">
            <v>41074</v>
          </cell>
          <cell r="D966" t="str">
            <v>Rental Income - Percentage</v>
          </cell>
          <cell r="E966">
            <v>0</v>
          </cell>
          <cell r="F966">
            <v>0</v>
          </cell>
          <cell r="G966">
            <v>0</v>
          </cell>
          <cell r="H966">
            <v>-13990</v>
          </cell>
          <cell r="I966">
            <v>-13990</v>
          </cell>
          <cell r="J966">
            <v>0</v>
          </cell>
        </row>
        <row r="967">
          <cell r="A967" t="str">
            <v>6227041082</v>
          </cell>
          <cell r="B967">
            <v>62270</v>
          </cell>
          <cell r="C967">
            <v>41082</v>
          </cell>
          <cell r="D967" t="str">
            <v>Rental Income - Operating Exp</v>
          </cell>
          <cell r="E967">
            <v>-103187.31</v>
          </cell>
          <cell r="F967">
            <v>-121162.1</v>
          </cell>
          <cell r="G967">
            <v>17974.79</v>
          </cell>
          <cell r="H967">
            <v>-1453945.2</v>
          </cell>
          <cell r="I967">
            <v>-1453945.2</v>
          </cell>
          <cell r="J967">
            <v>0</v>
          </cell>
        </row>
        <row r="968">
          <cell r="A968" t="str">
            <v>6227044610</v>
          </cell>
          <cell r="B968">
            <v>62270</v>
          </cell>
          <cell r="C968">
            <v>44610</v>
          </cell>
          <cell r="D968" t="str">
            <v>Marketing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</row>
        <row r="969">
          <cell r="A969" t="str">
            <v>6227045071</v>
          </cell>
          <cell r="B969">
            <v>62270</v>
          </cell>
          <cell r="C969">
            <v>45071</v>
          </cell>
          <cell r="D969" t="str">
            <v>Termination Fee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</row>
        <row r="970">
          <cell r="A970" t="str">
            <v>6227045010</v>
          </cell>
          <cell r="B970">
            <v>62270</v>
          </cell>
          <cell r="C970">
            <v>45010</v>
          </cell>
          <cell r="D970" t="str">
            <v>Bad Debt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</row>
        <row r="971">
          <cell r="A971" t="str">
            <v>6227045046</v>
          </cell>
          <cell r="B971">
            <v>62270</v>
          </cell>
          <cell r="C971">
            <v>45046</v>
          </cell>
          <cell r="D971" t="str">
            <v>Mgmt/Consult Fee Income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</row>
        <row r="972">
          <cell r="A972" t="str">
            <v>6227045070</v>
          </cell>
          <cell r="B972">
            <v>62270</v>
          </cell>
          <cell r="C972">
            <v>45070</v>
          </cell>
          <cell r="D972" t="str">
            <v>Other Income</v>
          </cell>
          <cell r="E972">
            <v>-4000</v>
          </cell>
          <cell r="F972">
            <v>0</v>
          </cell>
          <cell r="G972">
            <v>-4000</v>
          </cell>
          <cell r="H972">
            <v>0</v>
          </cell>
          <cell r="I972">
            <v>0</v>
          </cell>
          <cell r="J972">
            <v>0</v>
          </cell>
        </row>
        <row r="973">
          <cell r="A973" t="str">
            <v>6227041060</v>
          </cell>
          <cell r="B973">
            <v>62270</v>
          </cell>
          <cell r="C973">
            <v>41060</v>
          </cell>
          <cell r="D973" t="str">
            <v>Rental Income - Vacancy</v>
          </cell>
          <cell r="E973">
            <v>0</v>
          </cell>
          <cell r="F973">
            <v>5476.58</v>
          </cell>
          <cell r="G973">
            <v>-5476.58</v>
          </cell>
          <cell r="H973">
            <v>65719</v>
          </cell>
          <cell r="I973">
            <v>65719</v>
          </cell>
          <cell r="J973">
            <v>0</v>
          </cell>
        </row>
        <row r="974">
          <cell r="A974" t="str">
            <v>6227044870</v>
          </cell>
          <cell r="B974">
            <v>62270</v>
          </cell>
          <cell r="C974">
            <v>44870</v>
          </cell>
          <cell r="D974" t="str">
            <v>Late Fees</v>
          </cell>
          <cell r="E974">
            <v>0</v>
          </cell>
          <cell r="F974">
            <v>0</v>
          </cell>
          <cell r="G974">
            <v>0</v>
          </cell>
          <cell r="H974">
            <v>-1030</v>
          </cell>
          <cell r="I974">
            <v>-1030</v>
          </cell>
          <cell r="J974">
            <v>0</v>
          </cell>
        </row>
        <row r="975">
          <cell r="A975" t="str">
            <v>6227052542</v>
          </cell>
          <cell r="B975">
            <v>62270</v>
          </cell>
          <cell r="C975">
            <v>52542</v>
          </cell>
          <cell r="D975" t="str">
            <v>Cost of Tenant Services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</row>
        <row r="976">
          <cell r="A976" t="str">
            <v>6227072710</v>
          </cell>
          <cell r="B976">
            <v>62270</v>
          </cell>
          <cell r="C976">
            <v>72710</v>
          </cell>
          <cell r="D976" t="str">
            <v>Utilities - Electricity</v>
          </cell>
          <cell r="E976">
            <v>3569.86</v>
          </cell>
          <cell r="F976">
            <v>3876.84</v>
          </cell>
          <cell r="G976">
            <v>-306.98</v>
          </cell>
          <cell r="H976">
            <v>56077.34</v>
          </cell>
          <cell r="I976">
            <v>56077.34</v>
          </cell>
          <cell r="J976">
            <v>0</v>
          </cell>
        </row>
        <row r="977">
          <cell r="A977" t="str">
            <v>6227072740</v>
          </cell>
          <cell r="B977">
            <v>62270</v>
          </cell>
          <cell r="C977">
            <v>72740</v>
          </cell>
          <cell r="D977" t="str">
            <v>Utilities - Gas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</row>
        <row r="978">
          <cell r="A978" t="str">
            <v>6227072770</v>
          </cell>
          <cell r="B978">
            <v>62270</v>
          </cell>
          <cell r="C978">
            <v>72770</v>
          </cell>
          <cell r="D978" t="str">
            <v>Utilities - Water</v>
          </cell>
          <cell r="E978">
            <v>1977.09</v>
          </cell>
          <cell r="F978">
            <v>1560</v>
          </cell>
          <cell r="G978">
            <v>417.09</v>
          </cell>
          <cell r="H978">
            <v>19157.189999999999</v>
          </cell>
          <cell r="I978">
            <v>19157.189999999999</v>
          </cell>
          <cell r="J978">
            <v>0</v>
          </cell>
        </row>
        <row r="979">
          <cell r="A979" t="str">
            <v>6227076000</v>
          </cell>
          <cell r="B979">
            <v>62270</v>
          </cell>
          <cell r="C979">
            <v>76000</v>
          </cell>
          <cell r="D979" t="str">
            <v>Bldg Maintenance &amp; Repair</v>
          </cell>
          <cell r="E979">
            <v>1437.85</v>
          </cell>
          <cell r="F979">
            <v>1471.87</v>
          </cell>
          <cell r="G979">
            <v>-34.020000000000003</v>
          </cell>
          <cell r="H979">
            <v>63292.58</v>
          </cell>
          <cell r="I979">
            <v>63292.58</v>
          </cell>
          <cell r="J979">
            <v>0</v>
          </cell>
        </row>
        <row r="980">
          <cell r="A980" t="str">
            <v>6227076020</v>
          </cell>
          <cell r="B980">
            <v>62270</v>
          </cell>
          <cell r="C980">
            <v>76020</v>
          </cell>
          <cell r="D980" t="str">
            <v>Food Court Expense</v>
          </cell>
          <cell r="E980">
            <v>850</v>
          </cell>
          <cell r="F980">
            <v>875.5</v>
          </cell>
          <cell r="G980">
            <v>-25.5</v>
          </cell>
          <cell r="H980">
            <v>10712</v>
          </cell>
          <cell r="I980">
            <v>10712</v>
          </cell>
          <cell r="J980">
            <v>0</v>
          </cell>
        </row>
        <row r="981">
          <cell r="A981" t="str">
            <v>6227076034</v>
          </cell>
          <cell r="B981">
            <v>62270</v>
          </cell>
          <cell r="C981">
            <v>76034</v>
          </cell>
          <cell r="D981" t="str">
            <v>Bldg. - General Repair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</row>
        <row r="982">
          <cell r="A982" t="str">
            <v>6227076050</v>
          </cell>
          <cell r="B982">
            <v>62270</v>
          </cell>
          <cell r="C982">
            <v>76050</v>
          </cell>
          <cell r="D982" t="str">
            <v>Cleaning Expense</v>
          </cell>
          <cell r="E982">
            <v>7695.38</v>
          </cell>
          <cell r="F982">
            <v>6317.16</v>
          </cell>
          <cell r="G982">
            <v>1378.22</v>
          </cell>
          <cell r="H982">
            <v>77274.210000000006</v>
          </cell>
          <cell r="I982">
            <v>77274.210000000006</v>
          </cell>
          <cell r="J982">
            <v>0</v>
          </cell>
        </row>
        <row r="983">
          <cell r="A983" t="str">
            <v>6227076056</v>
          </cell>
          <cell r="B983">
            <v>62270</v>
          </cell>
          <cell r="C983">
            <v>76056</v>
          </cell>
          <cell r="D983" t="str">
            <v>Maintenance - Reimb Reimaging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</row>
        <row r="984">
          <cell r="A984" t="str">
            <v>6227076070</v>
          </cell>
          <cell r="B984">
            <v>62270</v>
          </cell>
          <cell r="C984">
            <v>76070</v>
          </cell>
          <cell r="D984" t="str">
            <v>Reimaging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</row>
        <row r="985">
          <cell r="A985" t="str">
            <v>6227076091</v>
          </cell>
          <cell r="B985">
            <v>62270</v>
          </cell>
          <cell r="C985">
            <v>76091</v>
          </cell>
          <cell r="D985" t="str">
            <v>Parking Maintenance</v>
          </cell>
          <cell r="E985">
            <v>3892.24</v>
          </cell>
          <cell r="F985">
            <v>3656.5</v>
          </cell>
          <cell r="G985">
            <v>235.74</v>
          </cell>
          <cell r="H985">
            <v>59121.55</v>
          </cell>
          <cell r="I985">
            <v>59121.55</v>
          </cell>
          <cell r="J985">
            <v>0</v>
          </cell>
        </row>
        <row r="986">
          <cell r="A986" t="str">
            <v>6227077000</v>
          </cell>
          <cell r="B986">
            <v>62270</v>
          </cell>
          <cell r="C986">
            <v>77000</v>
          </cell>
          <cell r="D986" t="str">
            <v>Grounds Maintenance</v>
          </cell>
          <cell r="E986">
            <v>963.84</v>
          </cell>
          <cell r="F986">
            <v>4818.2700000000004</v>
          </cell>
          <cell r="G986">
            <v>-3854.43</v>
          </cell>
          <cell r="H986">
            <v>74511.91</v>
          </cell>
          <cell r="I986">
            <v>74511.91</v>
          </cell>
          <cell r="J986">
            <v>0</v>
          </cell>
        </row>
        <row r="987">
          <cell r="A987" t="str">
            <v>6227077053</v>
          </cell>
          <cell r="B987">
            <v>62270</v>
          </cell>
          <cell r="C987">
            <v>77053</v>
          </cell>
          <cell r="D987" t="str">
            <v>Landscaping</v>
          </cell>
          <cell r="E987">
            <v>4755</v>
          </cell>
          <cell r="F987">
            <v>4813.5600000000004</v>
          </cell>
          <cell r="G987">
            <v>-58.5600000000004</v>
          </cell>
          <cell r="H987">
            <v>125364.17</v>
          </cell>
          <cell r="I987">
            <v>125364.17</v>
          </cell>
          <cell r="J987">
            <v>0</v>
          </cell>
        </row>
        <row r="988">
          <cell r="A988" t="str">
            <v>6227078020</v>
          </cell>
          <cell r="B988">
            <v>62270</v>
          </cell>
          <cell r="C988">
            <v>78020</v>
          </cell>
          <cell r="D988" t="str">
            <v>Amortized CAM Exp</v>
          </cell>
          <cell r="E988">
            <v>6754.2</v>
          </cell>
          <cell r="F988">
            <v>6754.17</v>
          </cell>
          <cell r="G988">
            <v>2.99999999997453E-2</v>
          </cell>
          <cell r="H988">
            <v>88050</v>
          </cell>
          <cell r="I988">
            <v>88050</v>
          </cell>
          <cell r="J988">
            <v>0</v>
          </cell>
        </row>
        <row r="989">
          <cell r="A989" t="str">
            <v>6227084264</v>
          </cell>
          <cell r="B989">
            <v>62270</v>
          </cell>
          <cell r="C989">
            <v>84264</v>
          </cell>
          <cell r="D989" t="str">
            <v>Mktg-Tenant Relations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</row>
        <row r="990">
          <cell r="A990" t="str">
            <v>6227085555</v>
          </cell>
          <cell r="B990">
            <v>62270</v>
          </cell>
          <cell r="C990">
            <v>85555</v>
          </cell>
          <cell r="D990" t="str">
            <v>Management Fee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</row>
        <row r="991">
          <cell r="A991" t="str">
            <v>6227085584</v>
          </cell>
          <cell r="B991">
            <v>62270</v>
          </cell>
          <cell r="C991">
            <v>85584</v>
          </cell>
          <cell r="D991" t="str">
            <v>Bldg Admin-Office Costs</v>
          </cell>
          <cell r="E991">
            <v>1679.66</v>
          </cell>
          <cell r="F991">
            <v>2603.5</v>
          </cell>
          <cell r="G991">
            <v>-923.84</v>
          </cell>
          <cell r="H991">
            <v>31242</v>
          </cell>
          <cell r="I991">
            <v>31242</v>
          </cell>
          <cell r="J991">
            <v>0</v>
          </cell>
        </row>
        <row r="992">
          <cell r="A992" t="str">
            <v>6227085582</v>
          </cell>
          <cell r="B992">
            <v>62270</v>
          </cell>
          <cell r="C992">
            <v>85582</v>
          </cell>
          <cell r="D992" t="str">
            <v>Bldg Admin-Salaries</v>
          </cell>
          <cell r="E992">
            <v>13110.13</v>
          </cell>
          <cell r="F992">
            <v>13110.42</v>
          </cell>
          <cell r="G992">
            <v>-0.290000000000873</v>
          </cell>
          <cell r="H992">
            <v>167507.20000000001</v>
          </cell>
          <cell r="I992">
            <v>167507.20000000001</v>
          </cell>
          <cell r="J992">
            <v>0</v>
          </cell>
        </row>
        <row r="993">
          <cell r="A993" t="str">
            <v>6227086564</v>
          </cell>
          <cell r="B993">
            <v>62270</v>
          </cell>
          <cell r="C993">
            <v>86564</v>
          </cell>
          <cell r="D993" t="str">
            <v>Insurance</v>
          </cell>
          <cell r="E993">
            <v>7742</v>
          </cell>
          <cell r="F993">
            <v>7742.42</v>
          </cell>
          <cell r="G993">
            <v>-0.42000000000007298</v>
          </cell>
          <cell r="H993">
            <v>92909</v>
          </cell>
          <cell r="I993">
            <v>92909</v>
          </cell>
          <cell r="J993">
            <v>0</v>
          </cell>
        </row>
        <row r="994">
          <cell r="A994" t="str">
            <v>6227088846</v>
          </cell>
          <cell r="B994">
            <v>62270</v>
          </cell>
          <cell r="C994">
            <v>88846</v>
          </cell>
          <cell r="D994" t="str">
            <v>Expenses -Other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</row>
        <row r="995">
          <cell r="A995" t="str">
            <v>6227088890</v>
          </cell>
          <cell r="B995">
            <v>62270</v>
          </cell>
          <cell r="C995">
            <v>88890</v>
          </cell>
          <cell r="D995" t="str">
            <v>Security/Safety</v>
          </cell>
          <cell r="E995">
            <v>3649.14</v>
          </cell>
          <cell r="F995">
            <v>3019.59</v>
          </cell>
          <cell r="G995">
            <v>629.54999999999995</v>
          </cell>
          <cell r="H995">
            <v>36486.82</v>
          </cell>
          <cell r="I995">
            <v>36486.82</v>
          </cell>
          <cell r="J995">
            <v>0</v>
          </cell>
        </row>
        <row r="996">
          <cell r="A996" t="str">
            <v>6227089775</v>
          </cell>
          <cell r="B996">
            <v>62270</v>
          </cell>
          <cell r="C996">
            <v>89775</v>
          </cell>
          <cell r="D996" t="str">
            <v>Assmt Dist Taxes- Reimb</v>
          </cell>
          <cell r="E996">
            <v>13780.5</v>
          </cell>
          <cell r="F996">
            <v>13780.5</v>
          </cell>
          <cell r="G996">
            <v>0</v>
          </cell>
          <cell r="H996">
            <v>165366</v>
          </cell>
          <cell r="I996">
            <v>165366</v>
          </cell>
          <cell r="J996">
            <v>0</v>
          </cell>
        </row>
        <row r="997">
          <cell r="A997" t="str">
            <v>6227089729</v>
          </cell>
          <cell r="B997">
            <v>62270</v>
          </cell>
          <cell r="C997">
            <v>89729</v>
          </cell>
          <cell r="D997" t="str">
            <v>Taxes - Miscellaneous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</row>
        <row r="998">
          <cell r="A998" t="str">
            <v>6227089786</v>
          </cell>
          <cell r="B998">
            <v>62270</v>
          </cell>
          <cell r="C998">
            <v>89786</v>
          </cell>
          <cell r="D998" t="str">
            <v>Property Tax Exp</v>
          </cell>
          <cell r="E998">
            <v>29631.25</v>
          </cell>
          <cell r="F998">
            <v>29631.25</v>
          </cell>
          <cell r="G998">
            <v>0</v>
          </cell>
          <cell r="H998">
            <v>355575</v>
          </cell>
          <cell r="I998">
            <v>355575</v>
          </cell>
          <cell r="J998">
            <v>0</v>
          </cell>
        </row>
        <row r="999">
          <cell r="A999" t="str">
            <v>6227071040</v>
          </cell>
          <cell r="B999">
            <v>62270</v>
          </cell>
          <cell r="C999">
            <v>71040</v>
          </cell>
          <cell r="D999" t="str">
            <v>Office Supplies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</row>
        <row r="1000">
          <cell r="A1000" t="str">
            <v>6227072701</v>
          </cell>
          <cell r="B1000">
            <v>62270</v>
          </cell>
          <cell r="C1000">
            <v>72701</v>
          </cell>
          <cell r="D1000" t="str">
            <v>Utilities</v>
          </cell>
          <cell r="E1000">
            <v>0</v>
          </cell>
          <cell r="F1000">
            <v>0</v>
          </cell>
          <cell r="G1000">
            <v>0</v>
          </cell>
          <cell r="H1000">
            <v>206</v>
          </cell>
          <cell r="I1000">
            <v>206</v>
          </cell>
          <cell r="J1000">
            <v>0</v>
          </cell>
        </row>
        <row r="1001">
          <cell r="A1001" t="str">
            <v>6227072855</v>
          </cell>
          <cell r="B1001">
            <v>62270</v>
          </cell>
          <cell r="C1001">
            <v>72855</v>
          </cell>
          <cell r="D1001" t="str">
            <v>Rent Expense-Ground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</row>
        <row r="1002">
          <cell r="A1002" t="str">
            <v>6227072870</v>
          </cell>
          <cell r="B1002">
            <v>62270</v>
          </cell>
          <cell r="C1002">
            <v>72870</v>
          </cell>
          <cell r="D1002" t="str">
            <v>Office Rent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</row>
        <row r="1003">
          <cell r="A1003" t="str">
            <v>6227076010</v>
          </cell>
          <cell r="B1003">
            <v>62270</v>
          </cell>
          <cell r="C1003">
            <v>76010</v>
          </cell>
          <cell r="D1003" t="str">
            <v>Tenant Alterations</v>
          </cell>
          <cell r="E1003">
            <v>0</v>
          </cell>
          <cell r="F1003">
            <v>0</v>
          </cell>
          <cell r="G1003">
            <v>0</v>
          </cell>
          <cell r="H1003">
            <v>354.4</v>
          </cell>
          <cell r="I1003">
            <v>354.4</v>
          </cell>
          <cell r="J1003">
            <v>0</v>
          </cell>
        </row>
        <row r="1004">
          <cell r="A1004" t="str">
            <v>6227076040</v>
          </cell>
          <cell r="B1004">
            <v>62270</v>
          </cell>
          <cell r="C1004">
            <v>76040</v>
          </cell>
          <cell r="D1004" t="str">
            <v>HVAC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</row>
        <row r="1005">
          <cell r="A1005" t="str">
            <v>6227076051</v>
          </cell>
          <cell r="B1005">
            <v>62270</v>
          </cell>
          <cell r="C1005">
            <v>76051</v>
          </cell>
          <cell r="D1005" t="str">
            <v>Cleaning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</row>
        <row r="1006">
          <cell r="A1006" t="str">
            <v>6227076054</v>
          </cell>
          <cell r="B1006">
            <v>62270</v>
          </cell>
          <cell r="C1006">
            <v>76054</v>
          </cell>
          <cell r="D1006" t="str">
            <v>Bldg Maintenance &amp; Repair</v>
          </cell>
          <cell r="E1006">
            <v>0</v>
          </cell>
          <cell r="F1006">
            <v>5000</v>
          </cell>
          <cell r="G1006">
            <v>-5000</v>
          </cell>
          <cell r="H1006">
            <v>11372.73</v>
          </cell>
          <cell r="I1006">
            <v>11372.73</v>
          </cell>
          <cell r="J1006">
            <v>0</v>
          </cell>
        </row>
        <row r="1007">
          <cell r="A1007" t="str">
            <v>6227076060</v>
          </cell>
          <cell r="B1007">
            <v>62270</v>
          </cell>
          <cell r="C1007">
            <v>76060</v>
          </cell>
          <cell r="D1007" t="str">
            <v>Asbestos Abatement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</row>
        <row r="1008">
          <cell r="A1008" t="str">
            <v>6227076071</v>
          </cell>
          <cell r="B1008">
            <v>62270</v>
          </cell>
          <cell r="C1008">
            <v>76071</v>
          </cell>
          <cell r="D1008" t="str">
            <v>Reimaging Maintenance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</row>
        <row r="1009">
          <cell r="A1009" t="str">
            <v>6227076090</v>
          </cell>
          <cell r="B1009">
            <v>62270</v>
          </cell>
          <cell r="C1009">
            <v>76090</v>
          </cell>
          <cell r="D1009" t="str">
            <v>Parking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</row>
        <row r="1010">
          <cell r="A1010" t="str">
            <v>6227077001</v>
          </cell>
          <cell r="B1010">
            <v>62270</v>
          </cell>
          <cell r="C1010">
            <v>77001</v>
          </cell>
          <cell r="D1010" t="str">
            <v>Grounds Maintenance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</row>
        <row r="1011">
          <cell r="A1011" t="str">
            <v>6227077022</v>
          </cell>
          <cell r="B1011">
            <v>62270</v>
          </cell>
          <cell r="C1011">
            <v>77022</v>
          </cell>
          <cell r="D1011" t="str">
            <v>Landscaping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</row>
        <row r="1012">
          <cell r="A1012" t="str">
            <v>6227084200</v>
          </cell>
          <cell r="B1012">
            <v>62270</v>
          </cell>
          <cell r="C1012">
            <v>84200</v>
          </cell>
          <cell r="D1012" t="str">
            <v>Marketing-Other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</row>
        <row r="1013">
          <cell r="A1013" t="str">
            <v>6227084240</v>
          </cell>
          <cell r="B1013">
            <v>62270</v>
          </cell>
          <cell r="C1013">
            <v>84240</v>
          </cell>
          <cell r="D1013" t="str">
            <v>Marketing Leasing</v>
          </cell>
          <cell r="E1013">
            <v>50.66</v>
          </cell>
          <cell r="F1013">
            <v>621.08000000000004</v>
          </cell>
          <cell r="G1013">
            <v>-570.41999999999996</v>
          </cell>
          <cell r="H1013">
            <v>7453</v>
          </cell>
          <cell r="I1013">
            <v>7453</v>
          </cell>
          <cell r="J1013">
            <v>0</v>
          </cell>
        </row>
        <row r="1014">
          <cell r="A1014" t="str">
            <v>6227084242</v>
          </cell>
          <cell r="B1014">
            <v>62270</v>
          </cell>
          <cell r="C1014">
            <v>84242</v>
          </cell>
          <cell r="D1014" t="str">
            <v>Marketing-Subsidy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</row>
        <row r="1015">
          <cell r="A1015" t="str">
            <v>6227084243</v>
          </cell>
          <cell r="B1015">
            <v>62270</v>
          </cell>
          <cell r="C1015">
            <v>84243</v>
          </cell>
          <cell r="D1015" t="str">
            <v>Marketing Coordination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</row>
        <row r="1016">
          <cell r="A1016" t="str">
            <v>6227084244</v>
          </cell>
          <cell r="B1016">
            <v>62270</v>
          </cell>
          <cell r="C1016">
            <v>84244</v>
          </cell>
          <cell r="D1016" t="str">
            <v>Marketing-Net Required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</row>
        <row r="1017">
          <cell r="A1017" t="str">
            <v>6227084265</v>
          </cell>
          <cell r="B1017">
            <v>62270</v>
          </cell>
          <cell r="C1017">
            <v>84265</v>
          </cell>
          <cell r="D1017" t="str">
            <v>Marketing -TR-Non-Reimb.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</row>
        <row r="1018">
          <cell r="A1018" t="str">
            <v>6227088037</v>
          </cell>
          <cell r="B1018">
            <v>62270</v>
          </cell>
          <cell r="C1018">
            <v>88037</v>
          </cell>
          <cell r="D1018" t="str">
            <v>Marketing - Leasing Office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</row>
        <row r="1019">
          <cell r="A1019" t="str">
            <v>6227085016</v>
          </cell>
          <cell r="B1019">
            <v>62270</v>
          </cell>
          <cell r="C1019">
            <v>85016</v>
          </cell>
          <cell r="D1019" t="str">
            <v>Prof Svc-Attorney Outside</v>
          </cell>
          <cell r="E1019">
            <v>899.49</v>
          </cell>
          <cell r="F1019">
            <v>0</v>
          </cell>
          <cell r="G1019">
            <v>899.49</v>
          </cell>
          <cell r="H1019">
            <v>4412</v>
          </cell>
          <cell r="I1019">
            <v>4412</v>
          </cell>
          <cell r="J1019">
            <v>0</v>
          </cell>
        </row>
        <row r="1020">
          <cell r="A1020" t="str">
            <v>6227085022</v>
          </cell>
          <cell r="B1020">
            <v>62270</v>
          </cell>
          <cell r="C1020">
            <v>85022</v>
          </cell>
          <cell r="D1020" t="str">
            <v>Prof Svc-Audit/Acctng</v>
          </cell>
          <cell r="E1020">
            <v>0</v>
          </cell>
          <cell r="F1020">
            <v>0</v>
          </cell>
          <cell r="G1020">
            <v>0</v>
          </cell>
          <cell r="H1020">
            <v>5760.12</v>
          </cell>
          <cell r="I1020">
            <v>5760.12</v>
          </cell>
          <cell r="J1020">
            <v>0</v>
          </cell>
        </row>
        <row r="1021">
          <cell r="A1021" t="str">
            <v>6227085065</v>
          </cell>
          <cell r="B1021">
            <v>62270</v>
          </cell>
          <cell r="C1021">
            <v>85065</v>
          </cell>
          <cell r="D1021" t="str">
            <v>Professional Services Other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</row>
        <row r="1022">
          <cell r="A1022" t="str">
            <v>6227085500</v>
          </cell>
          <cell r="B1022">
            <v>62270</v>
          </cell>
          <cell r="C1022">
            <v>85500</v>
          </cell>
          <cell r="D1022" t="str">
            <v>Consulting Services</v>
          </cell>
          <cell r="E1022">
            <v>0</v>
          </cell>
          <cell r="F1022">
            <v>6136.13</v>
          </cell>
          <cell r="G1022">
            <v>-6136.13</v>
          </cell>
          <cell r="H1022">
            <v>6596.05</v>
          </cell>
          <cell r="I1022">
            <v>6596.05</v>
          </cell>
          <cell r="J1022">
            <v>0</v>
          </cell>
        </row>
        <row r="1023">
          <cell r="A1023" t="str">
            <v>6227085566</v>
          </cell>
          <cell r="B1023">
            <v>62270</v>
          </cell>
          <cell r="C1023">
            <v>85566</v>
          </cell>
          <cell r="D1023" t="str">
            <v>Management Fee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</row>
        <row r="1024">
          <cell r="A1024" t="str">
            <v>6227085581</v>
          </cell>
          <cell r="B1024">
            <v>62270</v>
          </cell>
          <cell r="C1024">
            <v>85581</v>
          </cell>
          <cell r="D1024" t="str">
            <v>Bldg Admin- Salaries</v>
          </cell>
          <cell r="E1024">
            <v>10620.54</v>
          </cell>
          <cell r="F1024">
            <v>10620.42</v>
          </cell>
          <cell r="G1024">
            <v>0.12000000000079999</v>
          </cell>
          <cell r="H1024">
            <v>134068.20000000001</v>
          </cell>
          <cell r="I1024">
            <v>134068.20000000001</v>
          </cell>
          <cell r="J1024">
            <v>0</v>
          </cell>
        </row>
        <row r="1025">
          <cell r="A1025" t="str">
            <v>6227085583</v>
          </cell>
          <cell r="B1025">
            <v>62270</v>
          </cell>
          <cell r="C1025">
            <v>85583</v>
          </cell>
          <cell r="D1025" t="str">
            <v>Bldg Admin-Office Exp.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</row>
        <row r="1026">
          <cell r="A1026" t="str">
            <v>6227085530</v>
          </cell>
          <cell r="B1026">
            <v>62270</v>
          </cell>
          <cell r="C1026">
            <v>85530</v>
          </cell>
          <cell r="D1026" t="str">
            <v>Bldg Admin - Office Exp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</row>
        <row r="1027">
          <cell r="A1027" t="str">
            <v>6227086012</v>
          </cell>
          <cell r="B1027">
            <v>62270</v>
          </cell>
          <cell r="C1027">
            <v>86012</v>
          </cell>
          <cell r="D1027" t="str">
            <v>Regional Employee Parking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</row>
        <row r="1028">
          <cell r="A1028" t="str">
            <v>6227086037</v>
          </cell>
          <cell r="B1028">
            <v>62270</v>
          </cell>
          <cell r="C1028">
            <v>86037</v>
          </cell>
          <cell r="D1028" t="str">
            <v>Travel &amp; Entertainment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</row>
        <row r="1029">
          <cell r="A1029" t="str">
            <v>6227083050</v>
          </cell>
          <cell r="B1029">
            <v>62270</v>
          </cell>
          <cell r="C1029">
            <v>83050</v>
          </cell>
          <cell r="D1029" t="str">
            <v>Regional Employee Travel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</row>
        <row r="1030">
          <cell r="A1030" t="str">
            <v>6227086510</v>
          </cell>
          <cell r="B1030">
            <v>62270</v>
          </cell>
          <cell r="C1030">
            <v>86510</v>
          </cell>
          <cell r="D1030" t="str">
            <v>Leasing Admin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</row>
        <row r="1031">
          <cell r="A1031" t="str">
            <v>6227086537</v>
          </cell>
          <cell r="B1031">
            <v>62270</v>
          </cell>
          <cell r="C1031">
            <v>86537</v>
          </cell>
          <cell r="D1031" t="str">
            <v>Fees-Credit Reports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</row>
        <row r="1032">
          <cell r="A1032" t="str">
            <v>6227086566</v>
          </cell>
          <cell r="B1032">
            <v>62270</v>
          </cell>
          <cell r="C1032">
            <v>86566</v>
          </cell>
          <cell r="D1032" t="str">
            <v>Insurance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</row>
        <row r="1033">
          <cell r="A1033" t="str">
            <v>6227086955</v>
          </cell>
          <cell r="B1033">
            <v>62270</v>
          </cell>
          <cell r="C1033">
            <v>86955</v>
          </cell>
          <cell r="D1033" t="str">
            <v>Regional Temporary Labor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</row>
        <row r="1034">
          <cell r="A1034" t="str">
            <v>6227086985</v>
          </cell>
          <cell r="B1034">
            <v>62270</v>
          </cell>
          <cell r="C1034">
            <v>86985</v>
          </cell>
          <cell r="D1034" t="str">
            <v>Purchased Svcs _ Other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</row>
        <row r="1035">
          <cell r="A1035" t="str">
            <v>6227086880</v>
          </cell>
          <cell r="B1035">
            <v>62270</v>
          </cell>
          <cell r="C1035">
            <v>86880</v>
          </cell>
          <cell r="D1035" t="str">
            <v>Telephone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</row>
        <row r="1036">
          <cell r="A1036" t="str">
            <v>6227088710</v>
          </cell>
          <cell r="B1036">
            <v>62270</v>
          </cell>
          <cell r="C1036">
            <v>88710</v>
          </cell>
          <cell r="D1036" t="str">
            <v>Losses-Bad Debts</v>
          </cell>
          <cell r="E1036">
            <v>0</v>
          </cell>
          <cell r="F1036">
            <v>0.08</v>
          </cell>
          <cell r="G1036">
            <v>-0.08</v>
          </cell>
          <cell r="H1036">
            <v>65728.639999999999</v>
          </cell>
          <cell r="I1036">
            <v>65728.639999999999</v>
          </cell>
          <cell r="J1036">
            <v>0</v>
          </cell>
        </row>
        <row r="1037">
          <cell r="A1037" t="str">
            <v>6227088711</v>
          </cell>
          <cell r="B1037">
            <v>62270</v>
          </cell>
          <cell r="C1037">
            <v>88711</v>
          </cell>
          <cell r="D1037" t="str">
            <v>Losses-Bad Debts- FASB 13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</row>
        <row r="1038">
          <cell r="A1038" t="str">
            <v>6227088785</v>
          </cell>
          <cell r="B1038">
            <v>62270</v>
          </cell>
          <cell r="C1038">
            <v>88785</v>
          </cell>
          <cell r="D1038" t="str">
            <v>Losses-Uninsured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</row>
        <row r="1039">
          <cell r="A1039" t="str">
            <v>6227088847</v>
          </cell>
          <cell r="B1039">
            <v>62270</v>
          </cell>
          <cell r="C1039">
            <v>88847</v>
          </cell>
          <cell r="D1039" t="str">
            <v>Expenses - Other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</row>
        <row r="1040">
          <cell r="A1040" t="str">
            <v>6227088866</v>
          </cell>
          <cell r="B1040">
            <v>62270</v>
          </cell>
          <cell r="C1040">
            <v>88866</v>
          </cell>
          <cell r="D1040" t="str">
            <v>Legal Settlements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</row>
        <row r="1041">
          <cell r="A1041" t="str">
            <v>6227088870</v>
          </cell>
          <cell r="B1041">
            <v>62270</v>
          </cell>
          <cell r="C1041">
            <v>88870</v>
          </cell>
          <cell r="D1041" t="str">
            <v>Backside Dist-O/S Partner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</row>
        <row r="1042">
          <cell r="A1042" t="str">
            <v>6227088889</v>
          </cell>
          <cell r="B1042">
            <v>62270</v>
          </cell>
          <cell r="C1042">
            <v>88889</v>
          </cell>
          <cell r="D1042" t="str">
            <v>Security/Safety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</row>
        <row r="1043">
          <cell r="A1043" t="str">
            <v>6227089776</v>
          </cell>
          <cell r="B1043">
            <v>62270</v>
          </cell>
          <cell r="C1043">
            <v>89776</v>
          </cell>
          <cell r="D1043" t="str">
            <v>Assmt Dist Taxes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</row>
        <row r="1044">
          <cell r="A1044" t="str">
            <v>6227089787</v>
          </cell>
          <cell r="B1044">
            <v>62270</v>
          </cell>
          <cell r="C1044">
            <v>89787</v>
          </cell>
          <cell r="D1044" t="str">
            <v>Property Tax Exp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</row>
        <row r="1045">
          <cell r="A1045" t="str">
            <v>6227089510</v>
          </cell>
          <cell r="B1045">
            <v>62270</v>
          </cell>
          <cell r="C1045">
            <v>89510</v>
          </cell>
          <cell r="D1045" t="str">
            <v>Interest Expense - General</v>
          </cell>
          <cell r="E1045">
            <v>0</v>
          </cell>
          <cell r="F1045">
            <v>99257</v>
          </cell>
          <cell r="G1045">
            <v>-99257</v>
          </cell>
          <cell r="H1045">
            <v>1146735</v>
          </cell>
          <cell r="I1045">
            <v>1146735</v>
          </cell>
          <cell r="J1045">
            <v>0</v>
          </cell>
        </row>
        <row r="1046">
          <cell r="A1046" t="str">
            <v>6227089511</v>
          </cell>
          <cell r="B1046">
            <v>62270</v>
          </cell>
          <cell r="C1046">
            <v>89511</v>
          </cell>
          <cell r="D1046" t="str">
            <v>Interest Expense - Swap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</row>
        <row r="1047">
          <cell r="A1047" t="str">
            <v>6227089512</v>
          </cell>
          <cell r="B1047">
            <v>62270</v>
          </cell>
          <cell r="C1047">
            <v>89512</v>
          </cell>
          <cell r="D1047" t="str">
            <v>Interest Expense - Accrual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</row>
        <row r="1048">
          <cell r="A1048" t="str">
            <v>6227089528</v>
          </cell>
          <cell r="B1048">
            <v>62270</v>
          </cell>
          <cell r="C1048">
            <v>89528</v>
          </cell>
          <cell r="D1048" t="str">
            <v>Interest Expense - Loan Fees-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</row>
        <row r="1049">
          <cell r="A1049" t="str">
            <v>6227089529</v>
          </cell>
          <cell r="B1049">
            <v>62270</v>
          </cell>
          <cell r="C1049">
            <v>89529</v>
          </cell>
          <cell r="D1049" t="str">
            <v>Interest Expense - Loan Fee A</v>
          </cell>
          <cell r="E1049">
            <v>0</v>
          </cell>
          <cell r="F1049">
            <v>2230</v>
          </cell>
          <cell r="G1049">
            <v>-2230</v>
          </cell>
          <cell r="H1049">
            <v>26760</v>
          </cell>
          <cell r="I1049">
            <v>26760</v>
          </cell>
          <cell r="J1049">
            <v>0</v>
          </cell>
        </row>
        <row r="1050">
          <cell r="A1050" t="str">
            <v>6227089567</v>
          </cell>
          <cell r="B1050">
            <v>62270</v>
          </cell>
          <cell r="C1050">
            <v>89567</v>
          </cell>
          <cell r="D1050" t="str">
            <v>Interest Expense - TIC/Partne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</row>
        <row r="1051">
          <cell r="A1051" t="str">
            <v>6227085058</v>
          </cell>
          <cell r="B1051">
            <v>62270</v>
          </cell>
          <cell r="C1051">
            <v>85058</v>
          </cell>
          <cell r="D1051" t="str">
            <v>Legal Fee Amort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</row>
        <row r="1052">
          <cell r="A1052" t="str">
            <v>6227086513</v>
          </cell>
          <cell r="B1052">
            <v>62270</v>
          </cell>
          <cell r="C1052">
            <v>86513</v>
          </cell>
          <cell r="D1052" t="str">
            <v>Leasing Commission Amort</v>
          </cell>
          <cell r="E1052">
            <v>0</v>
          </cell>
          <cell r="F1052">
            <v>49.73</v>
          </cell>
          <cell r="G1052">
            <v>-49.73</v>
          </cell>
          <cell r="H1052">
            <v>674.36</v>
          </cell>
          <cell r="I1052">
            <v>674.36</v>
          </cell>
          <cell r="J1052">
            <v>0</v>
          </cell>
        </row>
        <row r="1053">
          <cell r="A1053" t="str">
            <v>6227086519</v>
          </cell>
          <cell r="B1053">
            <v>62270</v>
          </cell>
          <cell r="C1053">
            <v>86519</v>
          </cell>
          <cell r="D1053" t="str">
            <v>Fees-Appraisal Amort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</row>
        <row r="1054">
          <cell r="A1054" t="str">
            <v>6227088770</v>
          </cell>
          <cell r="B1054">
            <v>62270</v>
          </cell>
          <cell r="C1054">
            <v>88770</v>
          </cell>
          <cell r="D1054" t="str">
            <v>Losses-Prop Abandon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</row>
        <row r="1055">
          <cell r="A1055" t="str">
            <v>6227088862</v>
          </cell>
          <cell r="B1055">
            <v>62270</v>
          </cell>
          <cell r="C1055">
            <v>88862</v>
          </cell>
          <cell r="D1055" t="str">
            <v>Lease Buy-Out Amort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</row>
        <row r="1056">
          <cell r="A1056" t="str">
            <v>6227088874</v>
          </cell>
          <cell r="B1056">
            <v>62270</v>
          </cell>
          <cell r="C1056">
            <v>88874</v>
          </cell>
          <cell r="D1056" t="str">
            <v>Organization Cost Amort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</row>
        <row r="1057">
          <cell r="A1057" t="str">
            <v>6227089910</v>
          </cell>
          <cell r="B1057">
            <v>62270</v>
          </cell>
          <cell r="C1057">
            <v>89910</v>
          </cell>
          <cell r="D1057" t="str">
            <v>Depreciation</v>
          </cell>
          <cell r="E1057">
            <v>0</v>
          </cell>
          <cell r="F1057">
            <v>49987.89</v>
          </cell>
          <cell r="G1057">
            <v>-49987.89</v>
          </cell>
          <cell r="H1057">
            <v>595854.16</v>
          </cell>
          <cell r="I1057">
            <v>595854.16</v>
          </cell>
          <cell r="J1057">
            <v>0</v>
          </cell>
        </row>
        <row r="1058">
          <cell r="A1058" t="str">
            <v>6227089548</v>
          </cell>
          <cell r="B1058">
            <v>62270</v>
          </cell>
          <cell r="C1058">
            <v>89548</v>
          </cell>
          <cell r="D1058" t="str">
            <v>Other Amortized Cost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</row>
        <row r="1059">
          <cell r="A1059" t="str">
            <v>6252541010</v>
          </cell>
          <cell r="B1059">
            <v>62525</v>
          </cell>
          <cell r="C1059">
            <v>41010</v>
          </cell>
          <cell r="D1059" t="str">
            <v>Parking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</row>
        <row r="1060">
          <cell r="A1060" t="str">
            <v>6252541040</v>
          </cell>
          <cell r="B1060">
            <v>62525</v>
          </cell>
          <cell r="C1060">
            <v>41040</v>
          </cell>
          <cell r="D1060" t="str">
            <v>Rental Income FAS 13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</row>
        <row r="1061">
          <cell r="A1061" t="str">
            <v>6252541050</v>
          </cell>
          <cell r="B1061">
            <v>62525</v>
          </cell>
          <cell r="C1061">
            <v>41050</v>
          </cell>
          <cell r="D1061" t="str">
            <v>Rental Income - Fixed</v>
          </cell>
          <cell r="E1061">
            <v>-297627.18</v>
          </cell>
          <cell r="F1061">
            <v>-298090.38</v>
          </cell>
          <cell r="G1061">
            <v>463.20000000001198</v>
          </cell>
          <cell r="H1061">
            <v>-1786092.84</v>
          </cell>
          <cell r="I1061">
            <v>-1786092.84</v>
          </cell>
          <cell r="J1061">
            <v>0</v>
          </cell>
        </row>
        <row r="1062">
          <cell r="A1062" t="str">
            <v>6252541074</v>
          </cell>
          <cell r="B1062">
            <v>62525</v>
          </cell>
          <cell r="C1062">
            <v>41074</v>
          </cell>
          <cell r="D1062" t="str">
            <v>Rental Income - Percentage</v>
          </cell>
          <cell r="E1062">
            <v>0</v>
          </cell>
          <cell r="F1062">
            <v>0</v>
          </cell>
          <cell r="G1062">
            <v>0</v>
          </cell>
          <cell r="H1062">
            <v>-54298</v>
          </cell>
          <cell r="I1062">
            <v>-54298</v>
          </cell>
          <cell r="J1062">
            <v>0</v>
          </cell>
        </row>
        <row r="1063">
          <cell r="A1063" t="str">
            <v>6252541082</v>
          </cell>
          <cell r="B1063">
            <v>62525</v>
          </cell>
          <cell r="C1063">
            <v>41082</v>
          </cell>
          <cell r="D1063" t="str">
            <v>Rental Income - Operating Exp</v>
          </cell>
          <cell r="E1063">
            <v>-70607.59</v>
          </cell>
          <cell r="F1063">
            <v>-85183.14</v>
          </cell>
          <cell r="G1063">
            <v>14575.55</v>
          </cell>
          <cell r="H1063">
            <v>-511098.84</v>
          </cell>
          <cell r="I1063">
            <v>-511098.84</v>
          </cell>
          <cell r="J1063">
            <v>0</v>
          </cell>
        </row>
        <row r="1064">
          <cell r="A1064" t="str">
            <v>6252544610</v>
          </cell>
          <cell r="B1064">
            <v>62525</v>
          </cell>
          <cell r="C1064">
            <v>44610</v>
          </cell>
          <cell r="D1064" t="str">
            <v>Marketing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</row>
        <row r="1065">
          <cell r="A1065" t="str">
            <v>6252545071</v>
          </cell>
          <cell r="B1065">
            <v>62525</v>
          </cell>
          <cell r="C1065">
            <v>45071</v>
          </cell>
          <cell r="D1065" t="str">
            <v>Termination Fee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</row>
        <row r="1066">
          <cell r="A1066" t="str">
            <v>6252545010</v>
          </cell>
          <cell r="B1066">
            <v>62525</v>
          </cell>
          <cell r="C1066">
            <v>45010</v>
          </cell>
          <cell r="D1066" t="str">
            <v>Bad Debt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</row>
        <row r="1067">
          <cell r="A1067" t="str">
            <v>6252545046</v>
          </cell>
          <cell r="B1067">
            <v>62525</v>
          </cell>
          <cell r="C1067">
            <v>45046</v>
          </cell>
          <cell r="D1067" t="str">
            <v>Mgmt/Consult Fee Income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</row>
        <row r="1068">
          <cell r="A1068" t="str">
            <v>6252545070</v>
          </cell>
          <cell r="B1068">
            <v>62525</v>
          </cell>
          <cell r="C1068">
            <v>45070</v>
          </cell>
          <cell r="D1068" t="str">
            <v>Other Income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</row>
        <row r="1069">
          <cell r="A1069" t="str">
            <v>6252541060</v>
          </cell>
          <cell r="B1069">
            <v>62525</v>
          </cell>
          <cell r="C1069">
            <v>41060</v>
          </cell>
          <cell r="D1069" t="str">
            <v>Rental Income - Vacancy</v>
          </cell>
          <cell r="E1069">
            <v>0</v>
          </cell>
          <cell r="F1069">
            <v>5878.66</v>
          </cell>
          <cell r="G1069">
            <v>-5878.66</v>
          </cell>
          <cell r="H1069">
            <v>35272</v>
          </cell>
          <cell r="I1069">
            <v>35272</v>
          </cell>
          <cell r="J1069">
            <v>0</v>
          </cell>
        </row>
        <row r="1070">
          <cell r="A1070" t="str">
            <v>6252544870</v>
          </cell>
          <cell r="B1070">
            <v>62525</v>
          </cell>
          <cell r="C1070">
            <v>44870</v>
          </cell>
          <cell r="D1070" t="str">
            <v>Late Fees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</row>
        <row r="1071">
          <cell r="A1071" t="str">
            <v>6252552542</v>
          </cell>
          <cell r="B1071">
            <v>62525</v>
          </cell>
          <cell r="C1071">
            <v>52542</v>
          </cell>
          <cell r="D1071" t="str">
            <v>Cost of Tenant Services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</row>
        <row r="1072">
          <cell r="A1072" t="str">
            <v>6252572710</v>
          </cell>
          <cell r="B1072">
            <v>62525</v>
          </cell>
          <cell r="C1072">
            <v>72710</v>
          </cell>
          <cell r="D1072" t="str">
            <v>Utilities - Electricity</v>
          </cell>
          <cell r="E1072">
            <v>1630.35</v>
          </cell>
          <cell r="F1072">
            <v>3038.84</v>
          </cell>
          <cell r="G1072">
            <v>-1408.49</v>
          </cell>
          <cell r="H1072">
            <v>18233</v>
          </cell>
          <cell r="I1072">
            <v>18233</v>
          </cell>
          <cell r="J1072">
            <v>0</v>
          </cell>
        </row>
        <row r="1073">
          <cell r="A1073" t="str">
            <v>6252572740</v>
          </cell>
          <cell r="B1073">
            <v>62525</v>
          </cell>
          <cell r="C1073">
            <v>72740</v>
          </cell>
          <cell r="D1073" t="str">
            <v>Utilities - Gas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</row>
        <row r="1074">
          <cell r="A1074" t="str">
            <v>6252572770</v>
          </cell>
          <cell r="B1074">
            <v>62525</v>
          </cell>
          <cell r="C1074">
            <v>72770</v>
          </cell>
          <cell r="D1074" t="str">
            <v>Utilities - Water</v>
          </cell>
          <cell r="E1074">
            <v>2229.41</v>
          </cell>
          <cell r="F1074">
            <v>1350.16</v>
          </cell>
          <cell r="G1074">
            <v>879.25</v>
          </cell>
          <cell r="H1074">
            <v>8101</v>
          </cell>
          <cell r="I1074">
            <v>8101</v>
          </cell>
          <cell r="J1074">
            <v>0</v>
          </cell>
        </row>
        <row r="1075">
          <cell r="A1075" t="str">
            <v>6252576000</v>
          </cell>
          <cell r="B1075">
            <v>62525</v>
          </cell>
          <cell r="C1075">
            <v>76000</v>
          </cell>
          <cell r="D1075" t="str">
            <v>Bldg Maintenance &amp; Repair</v>
          </cell>
          <cell r="E1075">
            <v>627.88</v>
          </cell>
          <cell r="F1075">
            <v>1477.38</v>
          </cell>
          <cell r="G1075">
            <v>-849.5</v>
          </cell>
          <cell r="H1075">
            <v>14653.71</v>
          </cell>
          <cell r="I1075">
            <v>14653.71</v>
          </cell>
          <cell r="J1075">
            <v>0</v>
          </cell>
        </row>
        <row r="1076">
          <cell r="A1076" t="str">
            <v>6252576020</v>
          </cell>
          <cell r="B1076">
            <v>62525</v>
          </cell>
          <cell r="C1076">
            <v>76020</v>
          </cell>
          <cell r="D1076" t="str">
            <v>Food Court Expense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</row>
        <row r="1077">
          <cell r="A1077" t="str">
            <v>6252576034</v>
          </cell>
          <cell r="B1077">
            <v>62525</v>
          </cell>
          <cell r="C1077">
            <v>76034</v>
          </cell>
          <cell r="D1077" t="str">
            <v>Bldg. - General Repair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</row>
        <row r="1078">
          <cell r="A1078" t="str">
            <v>6252576050</v>
          </cell>
          <cell r="B1078">
            <v>62525</v>
          </cell>
          <cell r="C1078">
            <v>76050</v>
          </cell>
          <cell r="D1078" t="str">
            <v>Cleaning Expense</v>
          </cell>
          <cell r="E1078">
            <v>1125.71</v>
          </cell>
          <cell r="F1078">
            <v>3926.66</v>
          </cell>
          <cell r="G1078">
            <v>-2800.95</v>
          </cell>
          <cell r="H1078">
            <v>23560</v>
          </cell>
          <cell r="I1078">
            <v>23560</v>
          </cell>
          <cell r="J1078">
            <v>0</v>
          </cell>
        </row>
        <row r="1079">
          <cell r="A1079" t="str">
            <v>6252576056</v>
          </cell>
          <cell r="B1079">
            <v>62525</v>
          </cell>
          <cell r="C1079">
            <v>76056</v>
          </cell>
          <cell r="D1079" t="str">
            <v>Maintenance - Reimb Reimaging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</row>
        <row r="1080">
          <cell r="A1080" t="str">
            <v>6252576070</v>
          </cell>
          <cell r="B1080">
            <v>62525</v>
          </cell>
          <cell r="C1080">
            <v>76070</v>
          </cell>
          <cell r="D1080" t="str">
            <v>Reimaging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</row>
        <row r="1081">
          <cell r="A1081" t="str">
            <v>6252576091</v>
          </cell>
          <cell r="B1081">
            <v>62525</v>
          </cell>
          <cell r="C1081">
            <v>76091</v>
          </cell>
          <cell r="D1081" t="str">
            <v>Parking Maintenance</v>
          </cell>
          <cell r="E1081">
            <v>4269</v>
          </cell>
          <cell r="F1081">
            <v>6392.55</v>
          </cell>
          <cell r="G1081">
            <v>-2123.5500000000002</v>
          </cell>
          <cell r="H1081">
            <v>28678.45</v>
          </cell>
          <cell r="I1081">
            <v>28678.45</v>
          </cell>
          <cell r="J1081">
            <v>0</v>
          </cell>
        </row>
        <row r="1082">
          <cell r="A1082" t="str">
            <v>6252577000</v>
          </cell>
          <cell r="B1082">
            <v>62525</v>
          </cell>
          <cell r="C1082">
            <v>77000</v>
          </cell>
          <cell r="D1082" t="str">
            <v>Grounds Maintenance</v>
          </cell>
          <cell r="E1082">
            <v>200.38</v>
          </cell>
          <cell r="F1082">
            <v>5707.64</v>
          </cell>
          <cell r="G1082">
            <v>-5507.26</v>
          </cell>
          <cell r="H1082">
            <v>23421.98</v>
          </cell>
          <cell r="I1082">
            <v>23421.98</v>
          </cell>
          <cell r="J1082">
            <v>0</v>
          </cell>
        </row>
        <row r="1083">
          <cell r="A1083" t="str">
            <v>6252577053</v>
          </cell>
          <cell r="B1083">
            <v>62525</v>
          </cell>
          <cell r="C1083">
            <v>77053</v>
          </cell>
          <cell r="D1083" t="str">
            <v>Landscaping</v>
          </cell>
          <cell r="E1083">
            <v>3913</v>
          </cell>
          <cell r="F1083">
            <v>4235.0600000000004</v>
          </cell>
          <cell r="G1083">
            <v>-322.06</v>
          </cell>
          <cell r="H1083">
            <v>43493.82</v>
          </cell>
          <cell r="I1083">
            <v>43493.82</v>
          </cell>
          <cell r="J1083">
            <v>0</v>
          </cell>
        </row>
        <row r="1084">
          <cell r="A1084" t="str">
            <v>6252578020</v>
          </cell>
          <cell r="B1084">
            <v>62525</v>
          </cell>
          <cell r="C1084">
            <v>78020</v>
          </cell>
          <cell r="D1084" t="str">
            <v>Amortized CAM Exp</v>
          </cell>
          <cell r="E1084">
            <v>1666</v>
          </cell>
          <cell r="F1084">
            <v>1666.66</v>
          </cell>
          <cell r="G1084">
            <v>-0.66000000000008197</v>
          </cell>
          <cell r="H1084">
            <v>10000</v>
          </cell>
          <cell r="I1084">
            <v>10000</v>
          </cell>
          <cell r="J1084">
            <v>0</v>
          </cell>
        </row>
        <row r="1085">
          <cell r="A1085" t="str">
            <v>6252584264</v>
          </cell>
          <cell r="B1085">
            <v>62525</v>
          </cell>
          <cell r="C1085">
            <v>84264</v>
          </cell>
          <cell r="D1085" t="str">
            <v>Mktg-Tenant Relations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 t="str">
            <v>6252585555</v>
          </cell>
          <cell r="B1086">
            <v>62525</v>
          </cell>
          <cell r="C1086">
            <v>85555</v>
          </cell>
          <cell r="D1086" t="str">
            <v>Management Fee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 t="str">
            <v>6252585584</v>
          </cell>
          <cell r="B1087">
            <v>62525</v>
          </cell>
          <cell r="C1087">
            <v>85584</v>
          </cell>
          <cell r="D1087" t="str">
            <v>Bldg Admin-Office Costs</v>
          </cell>
          <cell r="E1087">
            <v>1159.69</v>
          </cell>
          <cell r="F1087">
            <v>1109.8399999999999</v>
          </cell>
          <cell r="G1087">
            <v>49.850000000000101</v>
          </cell>
          <cell r="H1087">
            <v>7909</v>
          </cell>
          <cell r="I1087">
            <v>7909</v>
          </cell>
          <cell r="J1087">
            <v>0</v>
          </cell>
        </row>
        <row r="1088">
          <cell r="A1088" t="str">
            <v>6252585582</v>
          </cell>
          <cell r="B1088">
            <v>62525</v>
          </cell>
          <cell r="C1088">
            <v>85582</v>
          </cell>
          <cell r="D1088" t="str">
            <v>Bldg Admin-Salaries</v>
          </cell>
          <cell r="E1088">
            <v>8826</v>
          </cell>
          <cell r="F1088">
            <v>8826</v>
          </cell>
          <cell r="G1088">
            <v>0</v>
          </cell>
          <cell r="H1088">
            <v>53599</v>
          </cell>
          <cell r="I1088">
            <v>53599</v>
          </cell>
          <cell r="J1088">
            <v>0</v>
          </cell>
        </row>
        <row r="1089">
          <cell r="A1089" t="str">
            <v>6252586564</v>
          </cell>
          <cell r="B1089">
            <v>62525</v>
          </cell>
          <cell r="C1089">
            <v>86564</v>
          </cell>
          <cell r="D1089" t="str">
            <v>Insurance</v>
          </cell>
          <cell r="E1089">
            <v>4188</v>
          </cell>
          <cell r="F1089">
            <v>4188</v>
          </cell>
          <cell r="G1089">
            <v>0</v>
          </cell>
          <cell r="H1089">
            <v>25133</v>
          </cell>
          <cell r="I1089">
            <v>25133</v>
          </cell>
          <cell r="J1089">
            <v>0</v>
          </cell>
        </row>
        <row r="1090">
          <cell r="A1090" t="str">
            <v>6252588846</v>
          </cell>
          <cell r="B1090">
            <v>62525</v>
          </cell>
          <cell r="C1090">
            <v>88846</v>
          </cell>
          <cell r="D1090" t="str">
            <v>Expenses -Other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 t="str">
            <v>6252588890</v>
          </cell>
          <cell r="B1091">
            <v>62525</v>
          </cell>
          <cell r="C1091">
            <v>88890</v>
          </cell>
          <cell r="D1091" t="str">
            <v>Security/Safety</v>
          </cell>
          <cell r="E1091">
            <v>3390.05</v>
          </cell>
          <cell r="F1091">
            <v>6625.97</v>
          </cell>
          <cell r="G1091">
            <v>-3235.92</v>
          </cell>
          <cell r="H1091">
            <v>28048.94</v>
          </cell>
          <cell r="I1091">
            <v>28048.94</v>
          </cell>
          <cell r="J1091">
            <v>0</v>
          </cell>
        </row>
        <row r="1092">
          <cell r="A1092" t="str">
            <v>6252589775</v>
          </cell>
          <cell r="B1092">
            <v>62525</v>
          </cell>
          <cell r="C1092">
            <v>89775</v>
          </cell>
          <cell r="D1092" t="str">
            <v>Assmt Dist Taxes- Reimb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 t="str">
            <v>6252589729</v>
          </cell>
          <cell r="B1093">
            <v>62525</v>
          </cell>
          <cell r="C1093">
            <v>89729</v>
          </cell>
          <cell r="D1093" t="str">
            <v>Taxes - Miscellaneous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 t="str">
            <v>6252589786</v>
          </cell>
          <cell r="B1094">
            <v>62525</v>
          </cell>
          <cell r="C1094">
            <v>89786</v>
          </cell>
          <cell r="D1094" t="str">
            <v>Property Tax Exp</v>
          </cell>
          <cell r="E1094">
            <v>35796</v>
          </cell>
          <cell r="F1094">
            <v>35796</v>
          </cell>
          <cell r="G1094">
            <v>0</v>
          </cell>
          <cell r="H1094">
            <v>214776</v>
          </cell>
          <cell r="I1094">
            <v>214776</v>
          </cell>
          <cell r="J1094">
            <v>0</v>
          </cell>
        </row>
        <row r="1095">
          <cell r="A1095" t="str">
            <v>6252571040</v>
          </cell>
          <cell r="B1095">
            <v>62525</v>
          </cell>
          <cell r="C1095">
            <v>71040</v>
          </cell>
          <cell r="D1095" t="str">
            <v>Office Supplies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 t="str">
            <v>6252572701</v>
          </cell>
          <cell r="B1096">
            <v>62525</v>
          </cell>
          <cell r="C1096">
            <v>72701</v>
          </cell>
          <cell r="D1096" t="str">
            <v>Utilities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 t="str">
            <v>6252572855</v>
          </cell>
          <cell r="B1097">
            <v>62525</v>
          </cell>
          <cell r="C1097">
            <v>72855</v>
          </cell>
          <cell r="D1097" t="str">
            <v>Rent Expense-Ground</v>
          </cell>
          <cell r="E1097">
            <v>97103.2</v>
          </cell>
          <cell r="F1097">
            <v>99026.04</v>
          </cell>
          <cell r="G1097">
            <v>-1922.84</v>
          </cell>
          <cell r="H1097">
            <v>602345.01</v>
          </cell>
          <cell r="I1097">
            <v>602345.01</v>
          </cell>
          <cell r="J1097">
            <v>0</v>
          </cell>
        </row>
        <row r="1098">
          <cell r="A1098" t="str">
            <v>6252572870</v>
          </cell>
          <cell r="B1098">
            <v>62525</v>
          </cell>
          <cell r="C1098">
            <v>72870</v>
          </cell>
          <cell r="D1098" t="str">
            <v>Office Rent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 t="str">
            <v>6252576010</v>
          </cell>
          <cell r="B1099">
            <v>62525</v>
          </cell>
          <cell r="C1099">
            <v>76010</v>
          </cell>
          <cell r="D1099" t="str">
            <v>Tenant Alterations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 t="str">
            <v>6252576040</v>
          </cell>
          <cell r="B1100">
            <v>62525</v>
          </cell>
          <cell r="C1100">
            <v>76040</v>
          </cell>
          <cell r="D1100" t="str">
            <v>HVAC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 t="str">
            <v>6252576051</v>
          </cell>
          <cell r="B1101">
            <v>62525</v>
          </cell>
          <cell r="C1101">
            <v>76051</v>
          </cell>
          <cell r="D1101" t="str">
            <v>Cleaning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 t="str">
            <v>6252576054</v>
          </cell>
          <cell r="B1102">
            <v>62525</v>
          </cell>
          <cell r="C1102">
            <v>76054</v>
          </cell>
          <cell r="D1102" t="str">
            <v>Bldg Maintenance &amp; Repair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 t="str">
            <v>6252576060</v>
          </cell>
          <cell r="B1103">
            <v>62525</v>
          </cell>
          <cell r="C1103">
            <v>76060</v>
          </cell>
          <cell r="D1103" t="str">
            <v>Asbestos Abatement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 t="str">
            <v>6252576071</v>
          </cell>
          <cell r="B1104">
            <v>62525</v>
          </cell>
          <cell r="C1104">
            <v>76071</v>
          </cell>
          <cell r="D1104" t="str">
            <v>Reimaging Maintenance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 t="str">
            <v>6252576090</v>
          </cell>
          <cell r="B1105">
            <v>62525</v>
          </cell>
          <cell r="C1105">
            <v>76090</v>
          </cell>
          <cell r="D1105" t="str">
            <v>Parking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 t="str">
            <v>6252577001</v>
          </cell>
          <cell r="B1106">
            <v>62525</v>
          </cell>
          <cell r="C1106">
            <v>77001</v>
          </cell>
          <cell r="D1106" t="str">
            <v>Grounds Maintenance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 t="str">
            <v>6252577022</v>
          </cell>
          <cell r="B1107">
            <v>62525</v>
          </cell>
          <cell r="C1107">
            <v>77022</v>
          </cell>
          <cell r="D1107" t="str">
            <v>Landscaping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 t="str">
            <v>6252584200</v>
          </cell>
          <cell r="B1108">
            <v>62525</v>
          </cell>
          <cell r="C1108">
            <v>84200</v>
          </cell>
          <cell r="D1108" t="str">
            <v>Marketing-Other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 t="str">
            <v>6252584240</v>
          </cell>
          <cell r="B1109">
            <v>62525</v>
          </cell>
          <cell r="C1109">
            <v>84240</v>
          </cell>
          <cell r="D1109" t="str">
            <v>Marketing Leasing</v>
          </cell>
          <cell r="E1109">
            <v>0</v>
          </cell>
          <cell r="F1109">
            <v>264.83999999999997</v>
          </cell>
          <cell r="G1109">
            <v>-264.83999999999997</v>
          </cell>
          <cell r="H1109">
            <v>1589</v>
          </cell>
          <cell r="I1109">
            <v>1589</v>
          </cell>
          <cell r="J1109">
            <v>0</v>
          </cell>
        </row>
        <row r="1110">
          <cell r="A1110" t="str">
            <v>6252584242</v>
          </cell>
          <cell r="B1110">
            <v>62525</v>
          </cell>
          <cell r="C1110">
            <v>84242</v>
          </cell>
          <cell r="D1110" t="str">
            <v>Marketing-Subsidy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11">
          <cell r="A1111" t="str">
            <v>6252584243</v>
          </cell>
          <cell r="B1111">
            <v>62525</v>
          </cell>
          <cell r="C1111">
            <v>84243</v>
          </cell>
          <cell r="D1111" t="str">
            <v>Marketing Coordination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</row>
        <row r="1112">
          <cell r="A1112" t="str">
            <v>6252584244</v>
          </cell>
          <cell r="B1112">
            <v>62525</v>
          </cell>
          <cell r="C1112">
            <v>84244</v>
          </cell>
          <cell r="D1112" t="str">
            <v>Marketing-Net Required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</row>
        <row r="1113">
          <cell r="A1113" t="str">
            <v>6252584265</v>
          </cell>
          <cell r="B1113">
            <v>62525</v>
          </cell>
          <cell r="C1113">
            <v>84265</v>
          </cell>
          <cell r="D1113" t="str">
            <v>Marketing -TR-Non-Reimb.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</row>
        <row r="1114">
          <cell r="A1114" t="str">
            <v>6252588037</v>
          </cell>
          <cell r="B1114">
            <v>62525</v>
          </cell>
          <cell r="C1114">
            <v>88037</v>
          </cell>
          <cell r="D1114" t="str">
            <v>Marketing - Leasing Office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</row>
        <row r="1115">
          <cell r="A1115" t="str">
            <v>6252585016</v>
          </cell>
          <cell r="B1115">
            <v>62525</v>
          </cell>
          <cell r="C1115">
            <v>85016</v>
          </cell>
          <cell r="D1115" t="str">
            <v>Prof Svc-Attorney Outside</v>
          </cell>
          <cell r="E1115">
            <v>1677</v>
          </cell>
          <cell r="F1115">
            <v>0</v>
          </cell>
          <cell r="G1115">
            <v>1677</v>
          </cell>
          <cell r="H1115">
            <v>0</v>
          </cell>
          <cell r="I1115">
            <v>0</v>
          </cell>
          <cell r="J1115">
            <v>0</v>
          </cell>
        </row>
        <row r="1116">
          <cell r="A1116" t="str">
            <v>6252585022</v>
          </cell>
          <cell r="B1116">
            <v>62525</v>
          </cell>
          <cell r="C1116">
            <v>85022</v>
          </cell>
          <cell r="D1116" t="str">
            <v>Prof Svc-Audit/Acctng</v>
          </cell>
          <cell r="E1116">
            <v>0</v>
          </cell>
          <cell r="F1116">
            <v>0</v>
          </cell>
          <cell r="G1116">
            <v>0</v>
          </cell>
          <cell r="H1116">
            <v>1350.69</v>
          </cell>
          <cell r="I1116">
            <v>1350.69</v>
          </cell>
          <cell r="J1116">
            <v>0</v>
          </cell>
        </row>
        <row r="1117">
          <cell r="A1117" t="str">
            <v>6252585065</v>
          </cell>
          <cell r="B1117">
            <v>62525</v>
          </cell>
          <cell r="C1117">
            <v>85065</v>
          </cell>
          <cell r="D1117" t="str">
            <v>Professional Services Other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</row>
        <row r="1118">
          <cell r="A1118" t="str">
            <v>6252585500</v>
          </cell>
          <cell r="B1118">
            <v>62525</v>
          </cell>
          <cell r="C1118">
            <v>85500</v>
          </cell>
          <cell r="D1118" t="str">
            <v>Consulting Services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</row>
        <row r="1119">
          <cell r="A1119" t="str">
            <v>6252585566</v>
          </cell>
          <cell r="B1119">
            <v>62525</v>
          </cell>
          <cell r="C1119">
            <v>85566</v>
          </cell>
          <cell r="D1119" t="str">
            <v>Management Fee</v>
          </cell>
          <cell r="E1119">
            <v>6800</v>
          </cell>
          <cell r="F1119">
            <v>0</v>
          </cell>
          <cell r="G1119">
            <v>6800</v>
          </cell>
          <cell r="H1119">
            <v>0</v>
          </cell>
          <cell r="I1119">
            <v>0</v>
          </cell>
          <cell r="J1119">
            <v>0</v>
          </cell>
        </row>
        <row r="1120">
          <cell r="A1120" t="str">
            <v>6252585581</v>
          </cell>
          <cell r="B1120">
            <v>62525</v>
          </cell>
          <cell r="C1120">
            <v>85581</v>
          </cell>
          <cell r="D1120" t="str">
            <v>Bldg Admin- Salaries</v>
          </cell>
          <cell r="E1120">
            <v>4723</v>
          </cell>
          <cell r="F1120">
            <v>4722.66</v>
          </cell>
          <cell r="G1120">
            <v>0.34000000000014602</v>
          </cell>
          <cell r="H1120">
            <v>29064.97</v>
          </cell>
          <cell r="I1120">
            <v>29064.97</v>
          </cell>
          <cell r="J1120">
            <v>0</v>
          </cell>
        </row>
        <row r="1121">
          <cell r="A1121" t="str">
            <v>6252585583</v>
          </cell>
          <cell r="B1121">
            <v>62525</v>
          </cell>
          <cell r="C1121">
            <v>85583</v>
          </cell>
          <cell r="D1121" t="str">
            <v>Bldg Admin-Office Exp.</v>
          </cell>
          <cell r="E1121">
            <v>0</v>
          </cell>
          <cell r="F1121">
            <v>20.6</v>
          </cell>
          <cell r="G1121">
            <v>-20.6</v>
          </cell>
          <cell r="H1121">
            <v>0</v>
          </cell>
          <cell r="I1121">
            <v>0</v>
          </cell>
          <cell r="J1121">
            <v>0</v>
          </cell>
        </row>
        <row r="1122">
          <cell r="A1122" t="str">
            <v>6252585530</v>
          </cell>
          <cell r="B1122">
            <v>62525</v>
          </cell>
          <cell r="C1122">
            <v>85530</v>
          </cell>
          <cell r="D1122" t="str">
            <v>Bldg Admin - Office Exp</v>
          </cell>
          <cell r="E1122">
            <v>0</v>
          </cell>
          <cell r="F1122">
            <v>20.6</v>
          </cell>
          <cell r="G1122">
            <v>-20.6</v>
          </cell>
          <cell r="H1122">
            <v>0</v>
          </cell>
          <cell r="I1122">
            <v>0</v>
          </cell>
          <cell r="J1122">
            <v>0</v>
          </cell>
        </row>
        <row r="1123">
          <cell r="A1123" t="str">
            <v>6252586012</v>
          </cell>
          <cell r="B1123">
            <v>62525</v>
          </cell>
          <cell r="C1123">
            <v>86012</v>
          </cell>
          <cell r="D1123" t="str">
            <v>Regional Employee Parking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</row>
        <row r="1124">
          <cell r="A1124" t="str">
            <v>6252586037</v>
          </cell>
          <cell r="B1124">
            <v>62525</v>
          </cell>
          <cell r="C1124">
            <v>86037</v>
          </cell>
          <cell r="D1124" t="str">
            <v>Travel &amp; Entertainment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</row>
        <row r="1125">
          <cell r="A1125" t="str">
            <v>6252583050</v>
          </cell>
          <cell r="B1125">
            <v>62525</v>
          </cell>
          <cell r="C1125">
            <v>83050</v>
          </cell>
          <cell r="D1125" t="str">
            <v>Regional Employee Travel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</row>
        <row r="1126">
          <cell r="A1126" t="str">
            <v>6252586510</v>
          </cell>
          <cell r="B1126">
            <v>62525</v>
          </cell>
          <cell r="C1126">
            <v>86510</v>
          </cell>
          <cell r="D1126" t="str">
            <v>Leasing Admin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</row>
        <row r="1127">
          <cell r="A1127" t="str">
            <v>6252586537</v>
          </cell>
          <cell r="B1127">
            <v>62525</v>
          </cell>
          <cell r="C1127">
            <v>86537</v>
          </cell>
          <cell r="D1127" t="str">
            <v>Fees-Credit Reports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</row>
        <row r="1128">
          <cell r="A1128" t="str">
            <v>6252586566</v>
          </cell>
          <cell r="B1128">
            <v>62525</v>
          </cell>
          <cell r="C1128">
            <v>86566</v>
          </cell>
          <cell r="D1128" t="str">
            <v>Insurance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</row>
        <row r="1129">
          <cell r="A1129" t="str">
            <v>6252586955</v>
          </cell>
          <cell r="B1129">
            <v>62525</v>
          </cell>
          <cell r="C1129">
            <v>86955</v>
          </cell>
          <cell r="D1129" t="str">
            <v>Regional Temporary Labor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</row>
        <row r="1130">
          <cell r="A1130" t="str">
            <v>6252586985</v>
          </cell>
          <cell r="B1130">
            <v>62525</v>
          </cell>
          <cell r="C1130">
            <v>86985</v>
          </cell>
          <cell r="D1130" t="str">
            <v>Purchased Svcs _ Other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</row>
        <row r="1131">
          <cell r="A1131" t="str">
            <v>6252586880</v>
          </cell>
          <cell r="B1131">
            <v>62525</v>
          </cell>
          <cell r="C1131">
            <v>86880</v>
          </cell>
          <cell r="D1131" t="str">
            <v>Telephone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</row>
        <row r="1132">
          <cell r="A1132" t="str">
            <v>6252588710</v>
          </cell>
          <cell r="B1132">
            <v>62525</v>
          </cell>
          <cell r="C1132">
            <v>88710</v>
          </cell>
          <cell r="D1132" t="str">
            <v>Losses-Bad Debts</v>
          </cell>
          <cell r="E1132">
            <v>0</v>
          </cell>
          <cell r="F1132">
            <v>0</v>
          </cell>
          <cell r="G1132">
            <v>0</v>
          </cell>
          <cell r="H1132">
            <v>35272</v>
          </cell>
          <cell r="I1132">
            <v>35272</v>
          </cell>
          <cell r="J1132">
            <v>0</v>
          </cell>
        </row>
        <row r="1133">
          <cell r="A1133" t="str">
            <v>6252588711</v>
          </cell>
          <cell r="B1133">
            <v>62525</v>
          </cell>
          <cell r="C1133">
            <v>88711</v>
          </cell>
          <cell r="D1133" t="str">
            <v>Losses-Bad Debts- FASB 13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</row>
        <row r="1134">
          <cell r="A1134" t="str">
            <v>6252588785</v>
          </cell>
          <cell r="B1134">
            <v>62525</v>
          </cell>
          <cell r="C1134">
            <v>88785</v>
          </cell>
          <cell r="D1134" t="str">
            <v>Losses-Uninsured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</row>
        <row r="1135">
          <cell r="A1135" t="str">
            <v>6252588847</v>
          </cell>
          <cell r="B1135">
            <v>62525</v>
          </cell>
          <cell r="C1135">
            <v>88847</v>
          </cell>
          <cell r="D1135" t="str">
            <v>Expenses - Other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</row>
        <row r="1136">
          <cell r="A1136" t="str">
            <v>6252588866</v>
          </cell>
          <cell r="B1136">
            <v>62525</v>
          </cell>
          <cell r="C1136">
            <v>88866</v>
          </cell>
          <cell r="D1136" t="str">
            <v>Legal Settlements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</row>
        <row r="1137">
          <cell r="A1137" t="str">
            <v>6252588870</v>
          </cell>
          <cell r="B1137">
            <v>62525</v>
          </cell>
          <cell r="C1137">
            <v>88870</v>
          </cell>
          <cell r="D1137" t="str">
            <v>Backside Dist-O/S Partner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</row>
        <row r="1138">
          <cell r="A1138" t="str">
            <v>6252588889</v>
          </cell>
          <cell r="B1138">
            <v>62525</v>
          </cell>
          <cell r="C1138">
            <v>88889</v>
          </cell>
          <cell r="D1138" t="str">
            <v>Security/Safety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</row>
        <row r="1139">
          <cell r="A1139" t="str">
            <v>6252589776</v>
          </cell>
          <cell r="B1139">
            <v>62525</v>
          </cell>
          <cell r="C1139">
            <v>89776</v>
          </cell>
          <cell r="D1139" t="str">
            <v>Assmt Dist Taxes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</row>
        <row r="1140">
          <cell r="A1140" t="str">
            <v>6252589787</v>
          </cell>
          <cell r="B1140">
            <v>62525</v>
          </cell>
          <cell r="C1140">
            <v>89787</v>
          </cell>
          <cell r="D1140" t="str">
            <v>Property Tax Exp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</row>
        <row r="1141">
          <cell r="A1141" t="str">
            <v>6252589510</v>
          </cell>
          <cell r="B1141">
            <v>62525</v>
          </cell>
          <cell r="C1141">
            <v>89510</v>
          </cell>
          <cell r="D1141" t="str">
            <v>Interest Expense - General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</row>
        <row r="1142">
          <cell r="A1142" t="str">
            <v>6252589511</v>
          </cell>
          <cell r="B1142">
            <v>62525</v>
          </cell>
          <cell r="C1142">
            <v>89511</v>
          </cell>
          <cell r="D1142" t="str">
            <v>Interest Expense - Swap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</row>
        <row r="1143">
          <cell r="A1143" t="str">
            <v>6252589512</v>
          </cell>
          <cell r="B1143">
            <v>62525</v>
          </cell>
          <cell r="C1143">
            <v>89512</v>
          </cell>
          <cell r="D1143" t="str">
            <v>Interest Expense - Accrual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</row>
        <row r="1144">
          <cell r="A1144" t="str">
            <v>6252589528</v>
          </cell>
          <cell r="B1144">
            <v>62525</v>
          </cell>
          <cell r="C1144">
            <v>89528</v>
          </cell>
          <cell r="D1144" t="str">
            <v>Interest Expense - Loan Fees-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</row>
        <row r="1145">
          <cell r="A1145" t="str">
            <v>6252589529</v>
          </cell>
          <cell r="B1145">
            <v>62525</v>
          </cell>
          <cell r="C1145">
            <v>89529</v>
          </cell>
          <cell r="D1145" t="str">
            <v>Interest Expense - Loan Fee A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</row>
        <row r="1146">
          <cell r="A1146" t="str">
            <v>6252589567</v>
          </cell>
          <cell r="B1146">
            <v>62525</v>
          </cell>
          <cell r="C1146">
            <v>89567</v>
          </cell>
          <cell r="D1146" t="str">
            <v>Interest Expense - TIC/Partne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</row>
        <row r="1147">
          <cell r="A1147" t="str">
            <v>6252585058</v>
          </cell>
          <cell r="B1147">
            <v>62525</v>
          </cell>
          <cell r="C1147">
            <v>85058</v>
          </cell>
          <cell r="D1147" t="str">
            <v>Legal Fee Amort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</row>
        <row r="1148">
          <cell r="A1148" t="str">
            <v>6252586513</v>
          </cell>
          <cell r="B1148">
            <v>62525</v>
          </cell>
          <cell r="C1148">
            <v>86513</v>
          </cell>
          <cell r="D1148" t="str">
            <v>Leasing Commission Amort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</row>
        <row r="1149">
          <cell r="A1149" t="str">
            <v>6252586519</v>
          </cell>
          <cell r="B1149">
            <v>62525</v>
          </cell>
          <cell r="C1149">
            <v>86519</v>
          </cell>
          <cell r="D1149" t="str">
            <v>Fees-Appraisal Amort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</row>
        <row r="1150">
          <cell r="A1150" t="str">
            <v>6252588770</v>
          </cell>
          <cell r="B1150">
            <v>62525</v>
          </cell>
          <cell r="C1150">
            <v>88770</v>
          </cell>
          <cell r="D1150" t="str">
            <v>Losses-Prop Abandon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</row>
        <row r="1151">
          <cell r="A1151" t="str">
            <v>6252588862</v>
          </cell>
          <cell r="B1151">
            <v>62525</v>
          </cell>
          <cell r="C1151">
            <v>88862</v>
          </cell>
          <cell r="D1151" t="str">
            <v>Lease Buy-Out Amort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</row>
        <row r="1152">
          <cell r="A1152" t="str">
            <v>6252588874</v>
          </cell>
          <cell r="B1152">
            <v>62525</v>
          </cell>
          <cell r="C1152">
            <v>88874</v>
          </cell>
          <cell r="D1152" t="str">
            <v>Organization Cost Amort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</row>
        <row r="1153">
          <cell r="A1153" t="str">
            <v>6252589910</v>
          </cell>
          <cell r="B1153">
            <v>62525</v>
          </cell>
          <cell r="C1153">
            <v>89910</v>
          </cell>
          <cell r="D1153" t="str">
            <v>Depreciation</v>
          </cell>
          <cell r="E1153">
            <v>0</v>
          </cell>
          <cell r="F1153">
            <v>61246.14</v>
          </cell>
          <cell r="G1153">
            <v>-61246.14</v>
          </cell>
          <cell r="H1153">
            <v>367476.87</v>
          </cell>
          <cell r="I1153">
            <v>367476.87</v>
          </cell>
          <cell r="J1153">
            <v>0</v>
          </cell>
        </row>
        <row r="1154">
          <cell r="A1154" t="str">
            <v>6252589548</v>
          </cell>
          <cell r="B1154">
            <v>62525</v>
          </cell>
          <cell r="C1154">
            <v>89548</v>
          </cell>
          <cell r="D1154" t="str">
            <v>Other Amortized Cost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</row>
        <row r="1155">
          <cell r="A1155" t="str">
            <v>6262041040</v>
          </cell>
          <cell r="B1155">
            <v>62620</v>
          </cell>
          <cell r="C1155">
            <v>41040</v>
          </cell>
          <cell r="D1155" t="str">
            <v>Rental Income FAS 13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</row>
        <row r="1156">
          <cell r="A1156" t="str">
            <v>6262041050</v>
          </cell>
          <cell r="B1156">
            <v>62620</v>
          </cell>
          <cell r="C1156">
            <v>41050</v>
          </cell>
          <cell r="D1156" t="str">
            <v>Rental Income - Fixed</v>
          </cell>
          <cell r="E1156">
            <v>-39115.89</v>
          </cell>
          <cell r="F1156">
            <v>-39115.89</v>
          </cell>
          <cell r="G1156">
            <v>0</v>
          </cell>
          <cell r="H1156">
            <v>-495206.45</v>
          </cell>
          <cell r="I1156">
            <v>-495206.45</v>
          </cell>
          <cell r="J1156">
            <v>0</v>
          </cell>
        </row>
        <row r="1157">
          <cell r="A1157" t="str">
            <v>6262041074</v>
          </cell>
          <cell r="B1157">
            <v>62620</v>
          </cell>
          <cell r="C1157">
            <v>41074</v>
          </cell>
          <cell r="D1157" t="str">
            <v>Rental Income - Percentage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</row>
        <row r="1158">
          <cell r="A1158" t="str">
            <v>6262041082</v>
          </cell>
          <cell r="B1158">
            <v>62620</v>
          </cell>
          <cell r="C1158">
            <v>41082</v>
          </cell>
          <cell r="D1158" t="str">
            <v>Rental Income - Operating Exp</v>
          </cell>
          <cell r="E1158">
            <v>-13295.11</v>
          </cell>
          <cell r="F1158">
            <v>-20109.68</v>
          </cell>
          <cell r="G1158">
            <v>6814.57</v>
          </cell>
          <cell r="H1158">
            <v>-241316.16</v>
          </cell>
          <cell r="I1158">
            <v>-241316.16</v>
          </cell>
          <cell r="J1158">
            <v>0</v>
          </cell>
        </row>
        <row r="1159">
          <cell r="A1159" t="str">
            <v>6262044610</v>
          </cell>
          <cell r="B1159">
            <v>62620</v>
          </cell>
          <cell r="C1159">
            <v>44610</v>
          </cell>
          <cell r="D1159" t="str">
            <v>Marketing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</row>
        <row r="1160">
          <cell r="A1160" t="str">
            <v>6262045071</v>
          </cell>
          <cell r="B1160">
            <v>62620</v>
          </cell>
          <cell r="C1160">
            <v>45071</v>
          </cell>
          <cell r="D1160" t="str">
            <v>Termination Fee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</row>
        <row r="1161">
          <cell r="A1161" t="str">
            <v>6262045010</v>
          </cell>
          <cell r="B1161">
            <v>62620</v>
          </cell>
          <cell r="C1161">
            <v>45010</v>
          </cell>
          <cell r="D1161" t="str">
            <v>Bad Debt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</row>
        <row r="1162">
          <cell r="A1162" t="str">
            <v>6262045046</v>
          </cell>
          <cell r="B1162">
            <v>62620</v>
          </cell>
          <cell r="C1162">
            <v>45046</v>
          </cell>
          <cell r="D1162" t="str">
            <v>Mgmt/Consult Fee Income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</row>
        <row r="1163">
          <cell r="A1163" t="str">
            <v>6262045070</v>
          </cell>
          <cell r="B1163">
            <v>62620</v>
          </cell>
          <cell r="C1163">
            <v>45070</v>
          </cell>
          <cell r="D1163" t="str">
            <v>Other Income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</row>
        <row r="1164">
          <cell r="A1164" t="str">
            <v>6262041060</v>
          </cell>
          <cell r="B1164">
            <v>62620</v>
          </cell>
          <cell r="C1164">
            <v>41060</v>
          </cell>
          <cell r="D1164" t="str">
            <v>Rental Income - Vacancy</v>
          </cell>
          <cell r="E1164">
            <v>0</v>
          </cell>
          <cell r="F1164">
            <v>920.67</v>
          </cell>
          <cell r="G1164">
            <v>-920.67</v>
          </cell>
          <cell r="H1164">
            <v>11048</v>
          </cell>
          <cell r="I1164">
            <v>11048</v>
          </cell>
          <cell r="J1164">
            <v>0</v>
          </cell>
        </row>
        <row r="1165">
          <cell r="A1165" t="str">
            <v>6262044870</v>
          </cell>
          <cell r="B1165">
            <v>62620</v>
          </cell>
          <cell r="C1165">
            <v>44870</v>
          </cell>
          <cell r="D1165" t="str">
            <v>Late Fees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</row>
        <row r="1166">
          <cell r="A1166" t="str">
            <v>6262052542</v>
          </cell>
          <cell r="B1166">
            <v>62620</v>
          </cell>
          <cell r="C1166">
            <v>52542</v>
          </cell>
          <cell r="D1166" t="str">
            <v>Cost of Tenant Services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</row>
        <row r="1167">
          <cell r="A1167" t="str">
            <v>6262072710</v>
          </cell>
          <cell r="B1167">
            <v>62620</v>
          </cell>
          <cell r="C1167">
            <v>72710</v>
          </cell>
          <cell r="D1167" t="str">
            <v>Utilities - Electricity</v>
          </cell>
          <cell r="E1167">
            <v>1746.93</v>
          </cell>
          <cell r="F1167">
            <v>1428</v>
          </cell>
          <cell r="G1167">
            <v>318.93</v>
          </cell>
          <cell r="H1167">
            <v>30880.05</v>
          </cell>
          <cell r="I1167">
            <v>30880.05</v>
          </cell>
          <cell r="J1167">
            <v>0</v>
          </cell>
        </row>
        <row r="1168">
          <cell r="A1168" t="str">
            <v>6262072740</v>
          </cell>
          <cell r="B1168">
            <v>62620</v>
          </cell>
          <cell r="C1168">
            <v>72740</v>
          </cell>
          <cell r="D1168" t="str">
            <v>Utilities - Gas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</row>
        <row r="1169">
          <cell r="A1169" t="str">
            <v>6262072770</v>
          </cell>
          <cell r="B1169">
            <v>62620</v>
          </cell>
          <cell r="C1169">
            <v>72770</v>
          </cell>
          <cell r="D1169" t="str">
            <v>Utilities - Water</v>
          </cell>
          <cell r="E1169">
            <v>327.14999999999998</v>
          </cell>
          <cell r="F1169">
            <v>119.6</v>
          </cell>
          <cell r="G1169">
            <v>207.55</v>
          </cell>
          <cell r="H1169">
            <v>3933.75</v>
          </cell>
          <cell r="I1169">
            <v>3933.75</v>
          </cell>
          <cell r="J1169">
            <v>0</v>
          </cell>
        </row>
        <row r="1170">
          <cell r="A1170" t="str">
            <v>6262076000</v>
          </cell>
          <cell r="B1170">
            <v>62620</v>
          </cell>
          <cell r="C1170">
            <v>76000</v>
          </cell>
          <cell r="D1170" t="str">
            <v>Bldg Maintenance &amp; Repair</v>
          </cell>
          <cell r="E1170">
            <v>1228.74</v>
          </cell>
          <cell r="F1170">
            <v>485.91</v>
          </cell>
          <cell r="G1170">
            <v>742.83</v>
          </cell>
          <cell r="H1170">
            <v>27872.87</v>
          </cell>
          <cell r="I1170">
            <v>27872.87</v>
          </cell>
          <cell r="J1170">
            <v>0</v>
          </cell>
        </row>
        <row r="1171">
          <cell r="A1171" t="str">
            <v>6262076020</v>
          </cell>
          <cell r="B1171">
            <v>62620</v>
          </cell>
          <cell r="C1171">
            <v>76020</v>
          </cell>
          <cell r="D1171" t="str">
            <v>Food Court Expense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</row>
        <row r="1172">
          <cell r="A1172" t="str">
            <v>6262076034</v>
          </cell>
          <cell r="B1172">
            <v>62620</v>
          </cell>
          <cell r="C1172">
            <v>76034</v>
          </cell>
          <cell r="D1172" t="str">
            <v>Bldg. - General Repair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</row>
        <row r="1173">
          <cell r="A1173" t="str">
            <v>6262076050</v>
          </cell>
          <cell r="B1173">
            <v>62620</v>
          </cell>
          <cell r="C1173">
            <v>76050</v>
          </cell>
          <cell r="D1173" t="str">
            <v>Cleaning Expense</v>
          </cell>
          <cell r="E1173">
            <v>2408.0700000000002</v>
          </cell>
          <cell r="F1173">
            <v>2116.4</v>
          </cell>
          <cell r="G1173">
            <v>291.67</v>
          </cell>
          <cell r="H1173">
            <v>27501.15</v>
          </cell>
          <cell r="I1173">
            <v>27501.15</v>
          </cell>
          <cell r="J1173">
            <v>0</v>
          </cell>
        </row>
        <row r="1174">
          <cell r="A1174" t="str">
            <v>6262076056</v>
          </cell>
          <cell r="B1174">
            <v>62620</v>
          </cell>
          <cell r="C1174">
            <v>76056</v>
          </cell>
          <cell r="D1174" t="str">
            <v>Maintenance - Reimb Reimaging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</row>
        <row r="1175">
          <cell r="A1175" t="str">
            <v>6262076070</v>
          </cell>
          <cell r="B1175">
            <v>62620</v>
          </cell>
          <cell r="C1175">
            <v>76070</v>
          </cell>
          <cell r="D1175" t="str">
            <v>Reimaging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</row>
        <row r="1176">
          <cell r="A1176" t="str">
            <v>6262076091</v>
          </cell>
          <cell r="B1176">
            <v>62620</v>
          </cell>
          <cell r="C1176">
            <v>76091</v>
          </cell>
          <cell r="D1176" t="str">
            <v>Parking Maintenance</v>
          </cell>
          <cell r="E1176">
            <v>1200</v>
          </cell>
          <cell r="F1176">
            <v>890.95</v>
          </cell>
          <cell r="G1176">
            <v>309.05</v>
          </cell>
          <cell r="H1176">
            <v>16184.9</v>
          </cell>
          <cell r="I1176">
            <v>16184.9</v>
          </cell>
          <cell r="J1176">
            <v>0</v>
          </cell>
        </row>
        <row r="1177">
          <cell r="A1177" t="str">
            <v>6262077000</v>
          </cell>
          <cell r="B1177">
            <v>62620</v>
          </cell>
          <cell r="C1177">
            <v>77000</v>
          </cell>
          <cell r="D1177" t="str">
            <v>Grounds Maintenance</v>
          </cell>
          <cell r="E1177">
            <v>219.19</v>
          </cell>
          <cell r="F1177">
            <v>4504.34</v>
          </cell>
          <cell r="G1177">
            <v>-4285.1499999999996</v>
          </cell>
          <cell r="H1177">
            <v>57487.64</v>
          </cell>
          <cell r="I1177">
            <v>57487.64</v>
          </cell>
          <cell r="J1177">
            <v>0</v>
          </cell>
        </row>
        <row r="1178">
          <cell r="A1178" t="str">
            <v>6262077053</v>
          </cell>
          <cell r="B1178">
            <v>62620</v>
          </cell>
          <cell r="C1178">
            <v>77053</v>
          </cell>
          <cell r="D1178" t="str">
            <v>Landscaping</v>
          </cell>
          <cell r="E1178">
            <v>1976</v>
          </cell>
          <cell r="F1178">
            <v>1540.1</v>
          </cell>
          <cell r="G1178">
            <v>435.9</v>
          </cell>
          <cell r="H1178">
            <v>52824.76</v>
          </cell>
          <cell r="I1178">
            <v>52824.76</v>
          </cell>
          <cell r="J1178">
            <v>0</v>
          </cell>
        </row>
        <row r="1179">
          <cell r="A1179" t="str">
            <v>6262078020</v>
          </cell>
          <cell r="B1179">
            <v>62620</v>
          </cell>
          <cell r="C1179">
            <v>78020</v>
          </cell>
          <cell r="D1179" t="str">
            <v>Amortized CAM Exp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</row>
        <row r="1180">
          <cell r="A1180" t="str">
            <v>6262084264</v>
          </cell>
          <cell r="B1180">
            <v>62620</v>
          </cell>
          <cell r="C1180">
            <v>84264</v>
          </cell>
          <cell r="D1180" t="str">
            <v>Mktg-Tenant Relations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</row>
        <row r="1181">
          <cell r="A1181" t="str">
            <v>6262085555</v>
          </cell>
          <cell r="B1181">
            <v>62620</v>
          </cell>
          <cell r="C1181">
            <v>85555</v>
          </cell>
          <cell r="D1181" t="str">
            <v>Management Fee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</row>
        <row r="1182">
          <cell r="A1182" t="str">
            <v>6262085584</v>
          </cell>
          <cell r="B1182">
            <v>62620</v>
          </cell>
          <cell r="C1182">
            <v>85584</v>
          </cell>
          <cell r="D1182" t="str">
            <v>Bldg Admin-Office Costs</v>
          </cell>
          <cell r="E1182">
            <v>194.03</v>
          </cell>
          <cell r="F1182">
            <v>178.33</v>
          </cell>
          <cell r="G1182">
            <v>15.7</v>
          </cell>
          <cell r="H1182">
            <v>2140</v>
          </cell>
          <cell r="I1182">
            <v>2140</v>
          </cell>
          <cell r="J1182">
            <v>0</v>
          </cell>
        </row>
        <row r="1183">
          <cell r="A1183" t="str">
            <v>6262085582</v>
          </cell>
          <cell r="B1183">
            <v>62620</v>
          </cell>
          <cell r="C1183">
            <v>85582</v>
          </cell>
          <cell r="D1183" t="str">
            <v>Bldg Admin-Salaries</v>
          </cell>
          <cell r="E1183">
            <v>879.4</v>
          </cell>
          <cell r="F1183">
            <v>879.58</v>
          </cell>
          <cell r="G1183">
            <v>-0.180000000000064</v>
          </cell>
          <cell r="H1183">
            <v>11252.8</v>
          </cell>
          <cell r="I1183">
            <v>11252.8</v>
          </cell>
          <cell r="J1183">
            <v>0</v>
          </cell>
        </row>
        <row r="1184">
          <cell r="A1184" t="str">
            <v>6262086564</v>
          </cell>
          <cell r="B1184">
            <v>62620</v>
          </cell>
          <cell r="C1184">
            <v>86564</v>
          </cell>
          <cell r="D1184" t="str">
            <v>Insurance</v>
          </cell>
          <cell r="E1184">
            <v>643</v>
          </cell>
          <cell r="F1184">
            <v>642.91</v>
          </cell>
          <cell r="G1184">
            <v>9.0000000000031805E-2</v>
          </cell>
          <cell r="H1184">
            <v>7715</v>
          </cell>
          <cell r="I1184">
            <v>7715</v>
          </cell>
          <cell r="J1184">
            <v>0</v>
          </cell>
        </row>
        <row r="1185">
          <cell r="A1185" t="str">
            <v>6262088846</v>
          </cell>
          <cell r="B1185">
            <v>62620</v>
          </cell>
          <cell r="C1185">
            <v>88846</v>
          </cell>
          <cell r="D1185" t="str">
            <v>Expenses -Other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</row>
        <row r="1186">
          <cell r="A1186" t="str">
            <v>6262088890</v>
          </cell>
          <cell r="B1186">
            <v>62620</v>
          </cell>
          <cell r="C1186">
            <v>88890</v>
          </cell>
          <cell r="D1186" t="str">
            <v>Security/Safety</v>
          </cell>
          <cell r="E1186">
            <v>1000.02</v>
          </cell>
          <cell r="F1186">
            <v>210.02</v>
          </cell>
          <cell r="G1186">
            <v>790</v>
          </cell>
          <cell r="H1186">
            <v>3664.52</v>
          </cell>
          <cell r="I1186">
            <v>3664.52</v>
          </cell>
          <cell r="J1186">
            <v>0</v>
          </cell>
        </row>
        <row r="1187">
          <cell r="A1187" t="str">
            <v>6262089775</v>
          </cell>
          <cell r="B1187">
            <v>62620</v>
          </cell>
          <cell r="C1187">
            <v>89775</v>
          </cell>
          <cell r="D1187" t="str">
            <v>Assmt Dist Taxes- Reimb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</row>
        <row r="1188">
          <cell r="A1188" t="str">
            <v>6262089729</v>
          </cell>
          <cell r="B1188">
            <v>62620</v>
          </cell>
          <cell r="C1188">
            <v>89729</v>
          </cell>
          <cell r="D1188" t="str">
            <v>Taxes - Miscellaneous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</row>
        <row r="1189">
          <cell r="A1189" t="str">
            <v>6262089786</v>
          </cell>
          <cell r="B1189">
            <v>62620</v>
          </cell>
          <cell r="C1189">
            <v>89786</v>
          </cell>
          <cell r="D1189" t="str">
            <v>Property Tax Exp</v>
          </cell>
          <cell r="E1189">
            <v>4372.67</v>
          </cell>
          <cell r="F1189">
            <v>4372.67</v>
          </cell>
          <cell r="G1189">
            <v>0</v>
          </cell>
          <cell r="H1189">
            <v>52472</v>
          </cell>
          <cell r="I1189">
            <v>52472</v>
          </cell>
          <cell r="J1189">
            <v>0</v>
          </cell>
        </row>
        <row r="1190">
          <cell r="A1190" t="str">
            <v>6262071040</v>
          </cell>
          <cell r="B1190">
            <v>62620</v>
          </cell>
          <cell r="C1190">
            <v>71040</v>
          </cell>
          <cell r="D1190" t="str">
            <v>Office Supplies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</row>
        <row r="1191">
          <cell r="A1191" t="str">
            <v>6262072701</v>
          </cell>
          <cell r="B1191">
            <v>62620</v>
          </cell>
          <cell r="C1191">
            <v>72701</v>
          </cell>
          <cell r="D1191" t="str">
            <v>Utilities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</row>
        <row r="1192">
          <cell r="A1192" t="str">
            <v>6262072855</v>
          </cell>
          <cell r="B1192">
            <v>62620</v>
          </cell>
          <cell r="C1192">
            <v>72855</v>
          </cell>
          <cell r="D1192" t="str">
            <v>Rent Expense-Ground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</row>
        <row r="1193">
          <cell r="A1193" t="str">
            <v>6262072870</v>
          </cell>
          <cell r="B1193">
            <v>62620</v>
          </cell>
          <cell r="C1193">
            <v>72870</v>
          </cell>
          <cell r="D1193" t="str">
            <v>Office Rent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</row>
        <row r="1194">
          <cell r="A1194" t="str">
            <v>6262076010</v>
          </cell>
          <cell r="B1194">
            <v>62620</v>
          </cell>
          <cell r="C1194">
            <v>76010</v>
          </cell>
          <cell r="D1194" t="str">
            <v>Tenant Alterations</v>
          </cell>
          <cell r="E1194">
            <v>0</v>
          </cell>
          <cell r="F1194">
            <v>0</v>
          </cell>
          <cell r="G1194">
            <v>0</v>
          </cell>
          <cell r="H1194">
            <v>6165.09</v>
          </cell>
          <cell r="I1194">
            <v>6165.09</v>
          </cell>
          <cell r="J1194">
            <v>0</v>
          </cell>
        </row>
        <row r="1195">
          <cell r="A1195" t="str">
            <v>6262076040</v>
          </cell>
          <cell r="B1195">
            <v>62620</v>
          </cell>
          <cell r="C1195">
            <v>76040</v>
          </cell>
          <cell r="D1195" t="str">
            <v>HVAC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</row>
        <row r="1196">
          <cell r="A1196" t="str">
            <v>6262076051</v>
          </cell>
          <cell r="B1196">
            <v>62620</v>
          </cell>
          <cell r="C1196">
            <v>76051</v>
          </cell>
          <cell r="D1196" t="str">
            <v>Cleaning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</row>
        <row r="1197">
          <cell r="A1197" t="str">
            <v>6262076054</v>
          </cell>
          <cell r="B1197">
            <v>62620</v>
          </cell>
          <cell r="C1197">
            <v>76054</v>
          </cell>
          <cell r="D1197" t="str">
            <v>Bldg Maintenance &amp; Repair</v>
          </cell>
          <cell r="E1197">
            <v>0</v>
          </cell>
          <cell r="F1197">
            <v>30000</v>
          </cell>
          <cell r="G1197">
            <v>-30000</v>
          </cell>
          <cell r="H1197">
            <v>84120.02</v>
          </cell>
          <cell r="I1197">
            <v>84120.02</v>
          </cell>
          <cell r="J1197">
            <v>0</v>
          </cell>
        </row>
        <row r="1198">
          <cell r="A1198" t="str">
            <v>6262076060</v>
          </cell>
          <cell r="B1198">
            <v>62620</v>
          </cell>
          <cell r="C1198">
            <v>76060</v>
          </cell>
          <cell r="D1198" t="str">
            <v>Asbestos Abatement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</row>
        <row r="1199">
          <cell r="A1199" t="str">
            <v>6262076071</v>
          </cell>
          <cell r="B1199">
            <v>62620</v>
          </cell>
          <cell r="C1199">
            <v>76071</v>
          </cell>
          <cell r="D1199" t="str">
            <v>Reimaging Maintenance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</row>
        <row r="1200">
          <cell r="A1200" t="str">
            <v>6262076090</v>
          </cell>
          <cell r="B1200">
            <v>62620</v>
          </cell>
          <cell r="C1200">
            <v>76090</v>
          </cell>
          <cell r="D1200" t="str">
            <v>Parking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</row>
        <row r="1201">
          <cell r="A1201" t="str">
            <v>6262077001</v>
          </cell>
          <cell r="B1201">
            <v>62620</v>
          </cell>
          <cell r="C1201">
            <v>77001</v>
          </cell>
          <cell r="D1201" t="str">
            <v>Grounds Maintenance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</row>
        <row r="1202">
          <cell r="A1202" t="str">
            <v>6262077022</v>
          </cell>
          <cell r="B1202">
            <v>62620</v>
          </cell>
          <cell r="C1202">
            <v>77022</v>
          </cell>
          <cell r="D1202" t="str">
            <v>Landscaping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</row>
        <row r="1203">
          <cell r="A1203" t="str">
            <v>6262084200</v>
          </cell>
          <cell r="B1203">
            <v>62620</v>
          </cell>
          <cell r="C1203">
            <v>84200</v>
          </cell>
          <cell r="D1203" t="str">
            <v>Marketing-Other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</row>
        <row r="1204">
          <cell r="A1204" t="str">
            <v>6262084240</v>
          </cell>
          <cell r="B1204">
            <v>62620</v>
          </cell>
          <cell r="C1204">
            <v>84240</v>
          </cell>
          <cell r="D1204" t="str">
            <v>Marketing Leasing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</row>
        <row r="1205">
          <cell r="A1205" t="str">
            <v>6262084242</v>
          </cell>
          <cell r="B1205">
            <v>62620</v>
          </cell>
          <cell r="C1205">
            <v>84242</v>
          </cell>
          <cell r="D1205" t="str">
            <v>Marketing-Subsidy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</row>
        <row r="1206">
          <cell r="A1206" t="str">
            <v>6262084243</v>
          </cell>
          <cell r="B1206">
            <v>62620</v>
          </cell>
          <cell r="C1206">
            <v>84243</v>
          </cell>
          <cell r="D1206" t="str">
            <v>Marketing Coordination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</row>
        <row r="1207">
          <cell r="A1207" t="str">
            <v>6262084244</v>
          </cell>
          <cell r="B1207">
            <v>62620</v>
          </cell>
          <cell r="C1207">
            <v>84244</v>
          </cell>
          <cell r="D1207" t="str">
            <v>Marketing-Net Required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</row>
        <row r="1208">
          <cell r="A1208" t="str">
            <v>6262084265</v>
          </cell>
          <cell r="B1208">
            <v>62620</v>
          </cell>
          <cell r="C1208">
            <v>84265</v>
          </cell>
          <cell r="D1208" t="str">
            <v>Marketing -TR-Non-Reimb.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</row>
        <row r="1209">
          <cell r="A1209" t="str">
            <v>6262088037</v>
          </cell>
          <cell r="B1209">
            <v>62620</v>
          </cell>
          <cell r="C1209">
            <v>88037</v>
          </cell>
          <cell r="D1209" t="str">
            <v>Marketing - Leasing Office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</row>
        <row r="1210">
          <cell r="A1210" t="str">
            <v>6262085016</v>
          </cell>
          <cell r="B1210">
            <v>62620</v>
          </cell>
          <cell r="C1210">
            <v>85016</v>
          </cell>
          <cell r="D1210" t="str">
            <v>Prof Svc-Attorney Outside</v>
          </cell>
          <cell r="E1210">
            <v>171.12</v>
          </cell>
          <cell r="F1210">
            <v>0</v>
          </cell>
          <cell r="G1210">
            <v>171.12</v>
          </cell>
          <cell r="H1210">
            <v>1456.94</v>
          </cell>
          <cell r="I1210">
            <v>1456.94</v>
          </cell>
          <cell r="J1210">
            <v>0</v>
          </cell>
        </row>
        <row r="1211">
          <cell r="A1211" t="str">
            <v>6262085022</v>
          </cell>
          <cell r="B1211">
            <v>62620</v>
          </cell>
          <cell r="C1211">
            <v>85022</v>
          </cell>
          <cell r="D1211" t="str">
            <v>Prof Svc-Audit/Acctng</v>
          </cell>
          <cell r="E1211">
            <v>0</v>
          </cell>
          <cell r="F1211">
            <v>0</v>
          </cell>
          <cell r="G1211">
            <v>0</v>
          </cell>
          <cell r="H1211">
            <v>357.77</v>
          </cell>
          <cell r="I1211">
            <v>357.77</v>
          </cell>
          <cell r="J1211">
            <v>0</v>
          </cell>
        </row>
        <row r="1212">
          <cell r="A1212" t="str">
            <v>6262085065</v>
          </cell>
          <cell r="B1212">
            <v>62620</v>
          </cell>
          <cell r="C1212">
            <v>85065</v>
          </cell>
          <cell r="D1212" t="str">
            <v>Professional Services Other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</row>
        <row r="1213">
          <cell r="A1213" t="str">
            <v>6262085500</v>
          </cell>
          <cell r="B1213">
            <v>62620</v>
          </cell>
          <cell r="C1213">
            <v>85500</v>
          </cell>
          <cell r="D1213" t="str">
            <v>Consulting Services</v>
          </cell>
          <cell r="E1213">
            <v>0</v>
          </cell>
          <cell r="F1213">
            <v>227.08</v>
          </cell>
          <cell r="G1213">
            <v>-227.08</v>
          </cell>
          <cell r="H1213">
            <v>2725</v>
          </cell>
          <cell r="I1213">
            <v>2725</v>
          </cell>
          <cell r="J1213">
            <v>0</v>
          </cell>
        </row>
        <row r="1214">
          <cell r="A1214" t="str">
            <v>6262085566</v>
          </cell>
          <cell r="B1214">
            <v>62620</v>
          </cell>
          <cell r="C1214">
            <v>85566</v>
          </cell>
          <cell r="D1214" t="str">
            <v>Management Fee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</row>
        <row r="1215">
          <cell r="A1215" t="str">
            <v>6262085581</v>
          </cell>
          <cell r="B1215">
            <v>62620</v>
          </cell>
          <cell r="C1215">
            <v>85581</v>
          </cell>
          <cell r="D1215" t="str">
            <v>Bldg Admin- Salaries</v>
          </cell>
          <cell r="E1215">
            <v>860.11</v>
          </cell>
          <cell r="F1215">
            <v>859.83</v>
          </cell>
          <cell r="G1215">
            <v>0.27999999999997299</v>
          </cell>
          <cell r="H1215">
            <v>10734.3</v>
          </cell>
          <cell r="I1215">
            <v>10734.3</v>
          </cell>
          <cell r="J1215">
            <v>0</v>
          </cell>
        </row>
        <row r="1216">
          <cell r="A1216" t="str">
            <v>6262085583</v>
          </cell>
          <cell r="B1216">
            <v>62620</v>
          </cell>
          <cell r="C1216">
            <v>85583</v>
          </cell>
          <cell r="D1216" t="str">
            <v>Bldg Admin-Office Exp.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</row>
        <row r="1217">
          <cell r="A1217" t="str">
            <v>6262085530</v>
          </cell>
          <cell r="B1217">
            <v>62620</v>
          </cell>
          <cell r="C1217">
            <v>85530</v>
          </cell>
          <cell r="D1217" t="str">
            <v>Bldg Admin - Office Exp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</row>
        <row r="1218">
          <cell r="A1218" t="str">
            <v>6262086012</v>
          </cell>
          <cell r="B1218">
            <v>62620</v>
          </cell>
          <cell r="C1218">
            <v>86012</v>
          </cell>
          <cell r="D1218" t="str">
            <v>Regional Employee Parking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</row>
        <row r="1219">
          <cell r="A1219" t="str">
            <v>6262086037</v>
          </cell>
          <cell r="B1219">
            <v>62620</v>
          </cell>
          <cell r="C1219">
            <v>86037</v>
          </cell>
          <cell r="D1219" t="str">
            <v>Travel &amp; Entertainment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</row>
        <row r="1220">
          <cell r="A1220" t="str">
            <v>6262083050</v>
          </cell>
          <cell r="B1220">
            <v>62620</v>
          </cell>
          <cell r="C1220">
            <v>83050</v>
          </cell>
          <cell r="D1220" t="str">
            <v>Regional Employee Travel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</row>
        <row r="1221">
          <cell r="A1221" t="str">
            <v>6262086510</v>
          </cell>
          <cell r="B1221">
            <v>62620</v>
          </cell>
          <cell r="C1221">
            <v>86510</v>
          </cell>
          <cell r="D1221" t="str">
            <v>Leasing Admin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</row>
        <row r="1222">
          <cell r="A1222" t="str">
            <v>6262086537</v>
          </cell>
          <cell r="B1222">
            <v>62620</v>
          </cell>
          <cell r="C1222">
            <v>86537</v>
          </cell>
          <cell r="D1222" t="str">
            <v>Fees-Credit Reports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</row>
        <row r="1223">
          <cell r="A1223" t="str">
            <v>6262086566</v>
          </cell>
          <cell r="B1223">
            <v>62620</v>
          </cell>
          <cell r="C1223">
            <v>86566</v>
          </cell>
          <cell r="D1223" t="str">
            <v>Insurance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</row>
        <row r="1224">
          <cell r="A1224" t="str">
            <v>6262086955</v>
          </cell>
          <cell r="B1224">
            <v>62620</v>
          </cell>
          <cell r="C1224">
            <v>86955</v>
          </cell>
          <cell r="D1224" t="str">
            <v>Regional Temporary Labor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</row>
        <row r="1225">
          <cell r="A1225" t="str">
            <v>6262086985</v>
          </cell>
          <cell r="B1225">
            <v>62620</v>
          </cell>
          <cell r="C1225">
            <v>86985</v>
          </cell>
          <cell r="D1225" t="str">
            <v>Purchased Svcs _ Other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</row>
        <row r="1226">
          <cell r="A1226" t="str">
            <v>6262086880</v>
          </cell>
          <cell r="B1226">
            <v>62620</v>
          </cell>
          <cell r="C1226">
            <v>86880</v>
          </cell>
          <cell r="D1226" t="str">
            <v>Telephone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</row>
        <row r="1227">
          <cell r="A1227" t="str">
            <v>6262088710</v>
          </cell>
          <cell r="B1227">
            <v>62620</v>
          </cell>
          <cell r="C1227">
            <v>88710</v>
          </cell>
          <cell r="D1227" t="str">
            <v>Losses-Bad Debts</v>
          </cell>
          <cell r="E1227">
            <v>0</v>
          </cell>
          <cell r="F1227">
            <v>0.08</v>
          </cell>
          <cell r="G1227">
            <v>-0.08</v>
          </cell>
          <cell r="H1227">
            <v>11048.64</v>
          </cell>
          <cell r="I1227">
            <v>11048.64</v>
          </cell>
          <cell r="J1227">
            <v>0</v>
          </cell>
        </row>
        <row r="1228">
          <cell r="A1228" t="str">
            <v>6262088711</v>
          </cell>
          <cell r="B1228">
            <v>62620</v>
          </cell>
          <cell r="C1228">
            <v>88711</v>
          </cell>
          <cell r="D1228" t="str">
            <v>Losses-Bad Debts- FASB 13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</row>
        <row r="1229">
          <cell r="A1229" t="str">
            <v>6262088785</v>
          </cell>
          <cell r="B1229">
            <v>62620</v>
          </cell>
          <cell r="C1229">
            <v>88785</v>
          </cell>
          <cell r="D1229" t="str">
            <v>Losses-Uninsured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</row>
        <row r="1230">
          <cell r="A1230" t="str">
            <v>6262088847</v>
          </cell>
          <cell r="B1230">
            <v>62620</v>
          </cell>
          <cell r="C1230">
            <v>88847</v>
          </cell>
          <cell r="D1230" t="str">
            <v>Expenses - Other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</row>
        <row r="1231">
          <cell r="A1231" t="str">
            <v>6262088866</v>
          </cell>
          <cell r="B1231">
            <v>62620</v>
          </cell>
          <cell r="C1231">
            <v>88866</v>
          </cell>
          <cell r="D1231" t="str">
            <v>Legal Settlements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</row>
        <row r="1232">
          <cell r="A1232" t="str">
            <v>6262088870</v>
          </cell>
          <cell r="B1232">
            <v>62620</v>
          </cell>
          <cell r="C1232">
            <v>88870</v>
          </cell>
          <cell r="D1232" t="str">
            <v>Backside Dist-O/S Partner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</row>
        <row r="1233">
          <cell r="A1233" t="str">
            <v>6262088889</v>
          </cell>
          <cell r="B1233">
            <v>62620</v>
          </cell>
          <cell r="C1233">
            <v>88889</v>
          </cell>
          <cell r="D1233" t="str">
            <v>Security/Safety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</row>
        <row r="1234">
          <cell r="A1234" t="str">
            <v>6262089776</v>
          </cell>
          <cell r="B1234">
            <v>62620</v>
          </cell>
          <cell r="C1234">
            <v>89776</v>
          </cell>
          <cell r="D1234" t="str">
            <v>Assmt Dist Taxes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</row>
        <row r="1235">
          <cell r="A1235" t="str">
            <v>6262089787</v>
          </cell>
          <cell r="B1235">
            <v>62620</v>
          </cell>
          <cell r="C1235">
            <v>89787</v>
          </cell>
          <cell r="D1235" t="str">
            <v>Property Tax Exp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</row>
        <row r="1236">
          <cell r="A1236" t="str">
            <v>6262089510</v>
          </cell>
          <cell r="B1236">
            <v>62620</v>
          </cell>
          <cell r="C1236">
            <v>89510</v>
          </cell>
          <cell r="D1236" t="str">
            <v>Interest Expense - General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</row>
        <row r="1237">
          <cell r="A1237" t="str">
            <v>6262089511</v>
          </cell>
          <cell r="B1237">
            <v>62620</v>
          </cell>
          <cell r="C1237">
            <v>89511</v>
          </cell>
          <cell r="D1237" t="str">
            <v>Interest Expense - Swap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</row>
        <row r="1238">
          <cell r="A1238" t="str">
            <v>6262089512</v>
          </cell>
          <cell r="B1238">
            <v>62620</v>
          </cell>
          <cell r="C1238">
            <v>89512</v>
          </cell>
          <cell r="D1238" t="str">
            <v>Interest Expense - Accrual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</row>
        <row r="1239">
          <cell r="A1239" t="str">
            <v>6262089528</v>
          </cell>
          <cell r="B1239">
            <v>62620</v>
          </cell>
          <cell r="C1239">
            <v>89528</v>
          </cell>
          <cell r="D1239" t="str">
            <v>Interest Expense - Loan Fees-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</row>
        <row r="1240">
          <cell r="A1240" t="str">
            <v>6262089529</v>
          </cell>
          <cell r="B1240">
            <v>62620</v>
          </cell>
          <cell r="C1240">
            <v>89529</v>
          </cell>
          <cell r="D1240" t="str">
            <v>Interest Expense - Loan Fee A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</row>
        <row r="1241">
          <cell r="A1241" t="str">
            <v>6262089567</v>
          </cell>
          <cell r="B1241">
            <v>62620</v>
          </cell>
          <cell r="C1241">
            <v>89567</v>
          </cell>
          <cell r="D1241" t="str">
            <v>Interest Expense - TIC/Partne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</row>
        <row r="1242">
          <cell r="A1242" t="str">
            <v>6262085058</v>
          </cell>
          <cell r="B1242">
            <v>62620</v>
          </cell>
          <cell r="C1242">
            <v>85058</v>
          </cell>
          <cell r="D1242" t="str">
            <v>Legal Fee Amort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</row>
        <row r="1243">
          <cell r="A1243" t="str">
            <v>6262086513</v>
          </cell>
          <cell r="B1243">
            <v>62620</v>
          </cell>
          <cell r="C1243">
            <v>86513</v>
          </cell>
          <cell r="D1243" t="str">
            <v>Leasing Commission Amort</v>
          </cell>
          <cell r="E1243">
            <v>0</v>
          </cell>
          <cell r="F1243">
            <v>0</v>
          </cell>
          <cell r="G1243">
            <v>0</v>
          </cell>
          <cell r="H1243">
            <v>774.79</v>
          </cell>
          <cell r="I1243">
            <v>774.79</v>
          </cell>
          <cell r="J1243">
            <v>0</v>
          </cell>
        </row>
        <row r="1244">
          <cell r="A1244" t="str">
            <v>6262086519</v>
          </cell>
          <cell r="B1244">
            <v>62620</v>
          </cell>
          <cell r="C1244">
            <v>86519</v>
          </cell>
          <cell r="D1244" t="str">
            <v>Fees-Appraisal Amort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</row>
        <row r="1245">
          <cell r="A1245" t="str">
            <v>6262088770</v>
          </cell>
          <cell r="B1245">
            <v>62620</v>
          </cell>
          <cell r="C1245">
            <v>88770</v>
          </cell>
          <cell r="D1245" t="str">
            <v>Losses-Prop Abandon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</row>
        <row r="1246">
          <cell r="A1246" t="str">
            <v>6262088862</v>
          </cell>
          <cell r="B1246">
            <v>62620</v>
          </cell>
          <cell r="C1246">
            <v>88862</v>
          </cell>
          <cell r="D1246" t="str">
            <v>Lease Buy-Out Amort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</row>
        <row r="1247">
          <cell r="A1247" t="str">
            <v>6262088874</v>
          </cell>
          <cell r="B1247">
            <v>62620</v>
          </cell>
          <cell r="C1247">
            <v>88874</v>
          </cell>
          <cell r="D1247" t="str">
            <v>Organization Cost Amort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</row>
        <row r="1248">
          <cell r="A1248" t="str">
            <v>6262089910</v>
          </cell>
          <cell r="B1248">
            <v>62620</v>
          </cell>
          <cell r="C1248">
            <v>89910</v>
          </cell>
          <cell r="D1248" t="str">
            <v>Depreciation</v>
          </cell>
          <cell r="E1248">
            <v>0</v>
          </cell>
          <cell r="F1248">
            <v>1124.3900000000001</v>
          </cell>
          <cell r="G1248">
            <v>-1124.3900000000001</v>
          </cell>
          <cell r="H1248">
            <v>14432.22</v>
          </cell>
          <cell r="I1248">
            <v>14432.22</v>
          </cell>
          <cell r="J1248">
            <v>0</v>
          </cell>
        </row>
        <row r="1249">
          <cell r="A1249" t="str">
            <v>6262089548</v>
          </cell>
          <cell r="B1249">
            <v>62620</v>
          </cell>
          <cell r="C1249">
            <v>89548</v>
          </cell>
          <cell r="D1249" t="str">
            <v>Other Amortized Cost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VVa"/>
      <sheetName val="Review Comments"/>
      <sheetName val="BExRepositorySheet"/>
      <sheetName val="Min Rent Plan"/>
      <sheetName val="Min Rent Forecast"/>
      <sheetName val="Inline Rates"/>
      <sheetName val="Stats Page"/>
      <sheetName val="Statistical Data"/>
      <sheetName val="MR-Stat Data Sheet Bud"/>
      <sheetName val="Min Rent Bud"/>
      <sheetName val="Stats Page Bud"/>
      <sheetName val="PCR"/>
      <sheetName val="1800040"/>
      <sheetName val="1801360 Note"/>
      <sheetName val="1800640"/>
      <sheetName val="1800680 CAM"/>
      <sheetName val="1800830"/>
      <sheetName val="1500970"/>
      <sheetName val="15656-9000"/>
      <sheetName val="Amort"/>
      <sheetName val="1502880 Suspense"/>
      <sheetName val="2301440"/>
      <sheetName val="2301460"/>
      <sheetName val="2302790 Tax"/>
      <sheetName val="2500360 Def Rev"/>
      <sheetName val="2500590"/>
      <sheetName val="4006020 4006030"/>
      <sheetName val="4006710"/>
      <sheetName val="4006970"/>
      <sheetName val="400696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11">
          <cell r="AA11">
            <v>3</v>
          </cell>
          <cell r="BQ11" t="str">
            <v>Occupied</v>
          </cell>
          <cell r="BR11" t="str">
            <v>Inline</v>
          </cell>
        </row>
        <row r="12">
          <cell r="AA12">
            <v>4</v>
          </cell>
          <cell r="BQ12" t="str">
            <v>Vacant</v>
          </cell>
          <cell r="BR12" t="str">
            <v>Anchor</v>
          </cell>
        </row>
        <row r="13">
          <cell r="AA13">
            <v>5</v>
          </cell>
          <cell r="BR13" t="str">
            <v>Pad</v>
          </cell>
        </row>
        <row r="14">
          <cell r="AA14">
            <v>6</v>
          </cell>
          <cell r="BR14" t="str">
            <v>Ground</v>
          </cell>
        </row>
        <row r="15">
          <cell r="AA15">
            <v>7</v>
          </cell>
        </row>
        <row r="16">
          <cell r="AA16">
            <v>8</v>
          </cell>
        </row>
        <row r="17">
          <cell r="AA17">
            <v>9</v>
          </cell>
        </row>
        <row r="18">
          <cell r="AA18">
            <v>10</v>
          </cell>
        </row>
        <row r="19">
          <cell r="AA19">
            <v>11</v>
          </cell>
        </row>
        <row r="20">
          <cell r="AA20">
            <v>12</v>
          </cell>
        </row>
        <row r="21">
          <cell r="AA21">
            <v>13</v>
          </cell>
        </row>
        <row r="22">
          <cell r="AA22">
            <v>14</v>
          </cell>
        </row>
        <row r="23">
          <cell r="AA23">
            <v>15</v>
          </cell>
        </row>
        <row r="24">
          <cell r="AA24">
            <v>16</v>
          </cell>
        </row>
        <row r="25">
          <cell r="AA25">
            <v>17</v>
          </cell>
        </row>
        <row r="26">
          <cell r="AA26">
            <v>18</v>
          </cell>
        </row>
        <row r="27">
          <cell r="AA27">
            <v>19</v>
          </cell>
        </row>
        <row r="28">
          <cell r="AA28">
            <v>20</v>
          </cell>
        </row>
        <row r="29">
          <cell r="AA29">
            <v>21</v>
          </cell>
        </row>
        <row r="30">
          <cell r="AA30">
            <v>22</v>
          </cell>
        </row>
        <row r="31">
          <cell r="AA31">
            <v>23</v>
          </cell>
        </row>
        <row r="32">
          <cell r="AA32">
            <v>24</v>
          </cell>
        </row>
        <row r="33">
          <cell r="AA33">
            <v>25</v>
          </cell>
        </row>
        <row r="34">
          <cell r="AA34">
            <v>26</v>
          </cell>
        </row>
        <row r="35">
          <cell r="AA35">
            <v>27</v>
          </cell>
        </row>
        <row r="36">
          <cell r="AA36">
            <v>28</v>
          </cell>
        </row>
        <row r="37">
          <cell r="AA37">
            <v>29</v>
          </cell>
        </row>
        <row r="38">
          <cell r="AA38">
            <v>30</v>
          </cell>
        </row>
        <row r="39">
          <cell r="AA39">
            <v>31</v>
          </cell>
        </row>
        <row r="40">
          <cell r="AA40">
            <v>32</v>
          </cell>
        </row>
        <row r="41">
          <cell r="AA41">
            <v>33</v>
          </cell>
        </row>
        <row r="42">
          <cell r="AA42">
            <v>34</v>
          </cell>
        </row>
        <row r="43">
          <cell r="AA43">
            <v>35</v>
          </cell>
        </row>
        <row r="44">
          <cell r="AA44">
            <v>36</v>
          </cell>
        </row>
        <row r="45">
          <cell r="AA45">
            <v>37</v>
          </cell>
        </row>
        <row r="46">
          <cell r="AA46">
            <v>38</v>
          </cell>
        </row>
        <row r="47">
          <cell r="AA47">
            <v>39</v>
          </cell>
        </row>
        <row r="48">
          <cell r="AA48">
            <v>40</v>
          </cell>
        </row>
        <row r="49">
          <cell r="AA49">
            <v>41</v>
          </cell>
        </row>
        <row r="50">
          <cell r="AA50">
            <v>42</v>
          </cell>
        </row>
        <row r="51">
          <cell r="AA51">
            <v>43</v>
          </cell>
        </row>
        <row r="52">
          <cell r="AA52">
            <v>44</v>
          </cell>
        </row>
        <row r="53">
          <cell r="AA53">
            <v>45</v>
          </cell>
        </row>
        <row r="54">
          <cell r="AA54">
            <v>46</v>
          </cell>
        </row>
        <row r="55">
          <cell r="AA55">
            <v>47</v>
          </cell>
        </row>
        <row r="56">
          <cell r="AA56">
            <v>48</v>
          </cell>
        </row>
        <row r="57">
          <cell r="AA57">
            <v>49</v>
          </cell>
        </row>
        <row r="58">
          <cell r="AA58">
            <v>50</v>
          </cell>
        </row>
        <row r="59">
          <cell r="AA59">
            <v>51</v>
          </cell>
        </row>
        <row r="60">
          <cell r="AA60">
            <v>52</v>
          </cell>
        </row>
        <row r="61">
          <cell r="AA61">
            <v>53</v>
          </cell>
        </row>
        <row r="62">
          <cell r="AA62">
            <v>54</v>
          </cell>
        </row>
        <row r="63">
          <cell r="AA63">
            <v>55</v>
          </cell>
        </row>
        <row r="64">
          <cell r="AA64">
            <v>56</v>
          </cell>
        </row>
        <row r="65">
          <cell r="AA65">
            <v>57</v>
          </cell>
        </row>
        <row r="66">
          <cell r="AA66">
            <v>58</v>
          </cell>
        </row>
        <row r="67">
          <cell r="AA67">
            <v>59</v>
          </cell>
        </row>
        <row r="68">
          <cell r="AA68">
            <v>60</v>
          </cell>
        </row>
        <row r="69">
          <cell r="AA69">
            <v>61</v>
          </cell>
        </row>
        <row r="70">
          <cell r="AA70">
            <v>62</v>
          </cell>
        </row>
        <row r="71">
          <cell r="AA71">
            <v>63</v>
          </cell>
        </row>
        <row r="72">
          <cell r="AA72">
            <v>64</v>
          </cell>
        </row>
        <row r="73">
          <cell r="AA73">
            <v>65</v>
          </cell>
        </row>
        <row r="74">
          <cell r="AA74">
            <v>66</v>
          </cell>
        </row>
        <row r="75">
          <cell r="AA75">
            <v>67</v>
          </cell>
        </row>
        <row r="76">
          <cell r="AA76">
            <v>68</v>
          </cell>
        </row>
        <row r="77">
          <cell r="AA77">
            <v>69</v>
          </cell>
        </row>
        <row r="78">
          <cell r="AA78">
            <v>70</v>
          </cell>
        </row>
        <row r="79">
          <cell r="AA79">
            <v>71</v>
          </cell>
        </row>
        <row r="80">
          <cell r="AA80">
            <v>72</v>
          </cell>
        </row>
        <row r="81">
          <cell r="AA81">
            <v>73</v>
          </cell>
        </row>
        <row r="82">
          <cell r="AA82">
            <v>74</v>
          </cell>
        </row>
        <row r="83">
          <cell r="AA83">
            <v>75</v>
          </cell>
        </row>
        <row r="84">
          <cell r="AA84">
            <v>76</v>
          </cell>
        </row>
        <row r="85">
          <cell r="AA85">
            <v>77</v>
          </cell>
        </row>
        <row r="86">
          <cell r="AA86">
            <v>78</v>
          </cell>
        </row>
        <row r="87">
          <cell r="AA87">
            <v>79</v>
          </cell>
        </row>
        <row r="88">
          <cell r="AA88">
            <v>80</v>
          </cell>
        </row>
        <row r="89">
          <cell r="AA89">
            <v>81</v>
          </cell>
        </row>
        <row r="90">
          <cell r="AA90">
            <v>82</v>
          </cell>
        </row>
        <row r="91">
          <cell r="AA91">
            <v>83</v>
          </cell>
        </row>
        <row r="92">
          <cell r="AA92">
            <v>84</v>
          </cell>
        </row>
        <row r="93">
          <cell r="AA93">
            <v>85</v>
          </cell>
        </row>
        <row r="94">
          <cell r="AA94">
            <v>86</v>
          </cell>
        </row>
        <row r="95">
          <cell r="AA95">
            <v>87</v>
          </cell>
        </row>
        <row r="96">
          <cell r="AA96">
            <v>88</v>
          </cell>
        </row>
        <row r="97">
          <cell r="AA97">
            <v>89</v>
          </cell>
        </row>
        <row r="98">
          <cell r="AA98">
            <v>90</v>
          </cell>
        </row>
        <row r="99">
          <cell r="AA99">
            <v>91</v>
          </cell>
        </row>
        <row r="100">
          <cell r="AA100">
            <v>92</v>
          </cell>
        </row>
        <row r="101">
          <cell r="AA101">
            <v>93</v>
          </cell>
        </row>
        <row r="102">
          <cell r="AA102">
            <v>94</v>
          </cell>
        </row>
        <row r="103">
          <cell r="AA103">
            <v>95</v>
          </cell>
        </row>
        <row r="104">
          <cell r="AA104">
            <v>96</v>
          </cell>
        </row>
        <row r="105">
          <cell r="AA105">
            <v>97</v>
          </cell>
        </row>
        <row r="106">
          <cell r="AA106">
            <v>98</v>
          </cell>
        </row>
        <row r="107">
          <cell r="AA107">
            <v>99</v>
          </cell>
        </row>
        <row r="108">
          <cell r="AA108">
            <v>100</v>
          </cell>
        </row>
        <row r="109">
          <cell r="AA109">
            <v>101</v>
          </cell>
        </row>
        <row r="110">
          <cell r="AA110">
            <v>102</v>
          </cell>
        </row>
        <row r="111">
          <cell r="AA111">
            <v>103</v>
          </cell>
        </row>
        <row r="112">
          <cell r="AA112">
            <v>104</v>
          </cell>
        </row>
        <row r="113">
          <cell r="AA113">
            <v>105</v>
          </cell>
        </row>
        <row r="114">
          <cell r="AA114">
            <v>106</v>
          </cell>
        </row>
        <row r="115">
          <cell r="AA115">
            <v>107</v>
          </cell>
        </row>
        <row r="116">
          <cell r="AA116">
            <v>108</v>
          </cell>
        </row>
        <row r="117">
          <cell r="AA117">
            <v>109</v>
          </cell>
        </row>
        <row r="118">
          <cell r="AA118">
            <v>110</v>
          </cell>
        </row>
        <row r="119">
          <cell r="AA119">
            <v>111</v>
          </cell>
        </row>
        <row r="120">
          <cell r="AA120">
            <v>112</v>
          </cell>
        </row>
        <row r="121">
          <cell r="AA121">
            <v>113</v>
          </cell>
        </row>
        <row r="122">
          <cell r="AA122">
            <v>114</v>
          </cell>
        </row>
        <row r="123">
          <cell r="AA123">
            <v>115</v>
          </cell>
        </row>
        <row r="124">
          <cell r="AA124">
            <v>116</v>
          </cell>
        </row>
        <row r="125">
          <cell r="AA125">
            <v>117</v>
          </cell>
        </row>
        <row r="126">
          <cell r="AA126">
            <v>118</v>
          </cell>
        </row>
        <row r="127">
          <cell r="AA127">
            <v>119</v>
          </cell>
        </row>
        <row r="128">
          <cell r="AA128">
            <v>120</v>
          </cell>
        </row>
        <row r="129">
          <cell r="AA129">
            <v>121</v>
          </cell>
        </row>
        <row r="130">
          <cell r="AA130">
            <v>122</v>
          </cell>
        </row>
        <row r="131">
          <cell r="AA131">
            <v>123</v>
          </cell>
        </row>
        <row r="132">
          <cell r="AA132">
            <v>124</v>
          </cell>
        </row>
        <row r="133">
          <cell r="AA133">
            <v>125</v>
          </cell>
        </row>
        <row r="134">
          <cell r="AA134">
            <v>126</v>
          </cell>
        </row>
        <row r="135">
          <cell r="AA135">
            <v>127</v>
          </cell>
        </row>
        <row r="136">
          <cell r="AA136">
            <v>128</v>
          </cell>
        </row>
        <row r="137">
          <cell r="AA137">
            <v>129</v>
          </cell>
        </row>
        <row r="138">
          <cell r="AA138">
            <v>130</v>
          </cell>
        </row>
        <row r="139">
          <cell r="AA139">
            <v>131</v>
          </cell>
        </row>
        <row r="140">
          <cell r="AA140">
            <v>132</v>
          </cell>
        </row>
        <row r="141">
          <cell r="AA141">
            <v>133</v>
          </cell>
        </row>
        <row r="142">
          <cell r="AA142">
            <v>134</v>
          </cell>
        </row>
        <row r="143">
          <cell r="AA143">
            <v>135</v>
          </cell>
        </row>
        <row r="144">
          <cell r="AA144">
            <v>136</v>
          </cell>
        </row>
        <row r="145">
          <cell r="AA145">
            <v>137</v>
          </cell>
        </row>
        <row r="146">
          <cell r="AA146">
            <v>138</v>
          </cell>
        </row>
        <row r="147">
          <cell r="AA147">
            <v>139</v>
          </cell>
        </row>
        <row r="148">
          <cell r="AA148">
            <v>140</v>
          </cell>
        </row>
        <row r="149">
          <cell r="AA149">
            <v>141</v>
          </cell>
        </row>
        <row r="150">
          <cell r="AA150">
            <v>142</v>
          </cell>
        </row>
        <row r="151">
          <cell r="AA151">
            <v>143</v>
          </cell>
        </row>
        <row r="152">
          <cell r="AA152">
            <v>144</v>
          </cell>
        </row>
        <row r="153">
          <cell r="AA153">
            <v>145</v>
          </cell>
        </row>
        <row r="154">
          <cell r="AA154">
            <v>146</v>
          </cell>
        </row>
        <row r="155">
          <cell r="AA155">
            <v>147</v>
          </cell>
        </row>
        <row r="156">
          <cell r="AA156">
            <v>148</v>
          </cell>
        </row>
        <row r="157">
          <cell r="AA157">
            <v>149</v>
          </cell>
        </row>
        <row r="158">
          <cell r="AA158">
            <v>150</v>
          </cell>
        </row>
        <row r="159">
          <cell r="AA159">
            <v>151</v>
          </cell>
        </row>
        <row r="160">
          <cell r="AA160">
            <v>152</v>
          </cell>
        </row>
        <row r="161">
          <cell r="AA161">
            <v>153</v>
          </cell>
        </row>
        <row r="162">
          <cell r="AA162">
            <v>154</v>
          </cell>
        </row>
        <row r="163">
          <cell r="AA163">
            <v>155</v>
          </cell>
        </row>
        <row r="164">
          <cell r="AA164">
            <v>156</v>
          </cell>
        </row>
        <row r="165">
          <cell r="AA165">
            <v>157</v>
          </cell>
        </row>
        <row r="166">
          <cell r="AA166">
            <v>158</v>
          </cell>
        </row>
        <row r="167">
          <cell r="AA167">
            <v>159</v>
          </cell>
        </row>
        <row r="168">
          <cell r="AA168">
            <v>160</v>
          </cell>
        </row>
        <row r="169">
          <cell r="AA169">
            <v>161</v>
          </cell>
        </row>
        <row r="170">
          <cell r="AA170">
            <v>162</v>
          </cell>
        </row>
        <row r="171">
          <cell r="AA171">
            <v>163</v>
          </cell>
        </row>
        <row r="172">
          <cell r="AA172">
            <v>164</v>
          </cell>
        </row>
        <row r="173">
          <cell r="AA173">
            <v>165</v>
          </cell>
        </row>
        <row r="174">
          <cell r="AA174">
            <v>166</v>
          </cell>
        </row>
        <row r="175">
          <cell r="AA175">
            <v>167</v>
          </cell>
        </row>
        <row r="176">
          <cell r="AA176">
            <v>168</v>
          </cell>
        </row>
        <row r="177">
          <cell r="AA177">
            <v>169</v>
          </cell>
        </row>
        <row r="178">
          <cell r="AA178">
            <v>170</v>
          </cell>
        </row>
        <row r="179">
          <cell r="AA179">
            <v>171</v>
          </cell>
        </row>
        <row r="180">
          <cell r="AA180">
            <v>172</v>
          </cell>
        </row>
        <row r="181">
          <cell r="AA181">
            <v>173</v>
          </cell>
        </row>
        <row r="182">
          <cell r="AA182">
            <v>174</v>
          </cell>
        </row>
        <row r="183">
          <cell r="AA183">
            <v>175</v>
          </cell>
        </row>
        <row r="184">
          <cell r="AA184">
            <v>176</v>
          </cell>
        </row>
        <row r="185">
          <cell r="AA185">
            <v>177</v>
          </cell>
        </row>
        <row r="186">
          <cell r="AA186">
            <v>178</v>
          </cell>
        </row>
        <row r="187">
          <cell r="AA187">
            <v>179</v>
          </cell>
        </row>
        <row r="188">
          <cell r="AA188">
            <v>180</v>
          </cell>
        </row>
        <row r="189">
          <cell r="AA189">
            <v>181</v>
          </cell>
        </row>
        <row r="190">
          <cell r="AA190">
            <v>182</v>
          </cell>
        </row>
        <row r="191">
          <cell r="AA191">
            <v>183</v>
          </cell>
        </row>
        <row r="192">
          <cell r="AA192">
            <v>184</v>
          </cell>
        </row>
        <row r="193">
          <cell r="AA193">
            <v>185</v>
          </cell>
        </row>
        <row r="194">
          <cell r="AA194">
            <v>186</v>
          </cell>
        </row>
        <row r="195">
          <cell r="AA195">
            <v>187</v>
          </cell>
        </row>
        <row r="196">
          <cell r="AA196">
            <v>188</v>
          </cell>
        </row>
        <row r="197">
          <cell r="AA197">
            <v>189</v>
          </cell>
        </row>
        <row r="198">
          <cell r="AA198">
            <v>190</v>
          </cell>
        </row>
        <row r="199">
          <cell r="AA199">
            <v>191</v>
          </cell>
        </row>
        <row r="200">
          <cell r="AA200">
            <v>192</v>
          </cell>
        </row>
        <row r="201">
          <cell r="AA201">
            <v>193</v>
          </cell>
        </row>
        <row r="202">
          <cell r="AA202">
            <v>194</v>
          </cell>
        </row>
        <row r="203">
          <cell r="AA203">
            <v>195</v>
          </cell>
        </row>
        <row r="204">
          <cell r="AA204">
            <v>196</v>
          </cell>
        </row>
        <row r="205">
          <cell r="AA205">
            <v>197</v>
          </cell>
        </row>
        <row r="206">
          <cell r="AA206">
            <v>198</v>
          </cell>
        </row>
        <row r="207">
          <cell r="AA207">
            <v>199</v>
          </cell>
        </row>
        <row r="208">
          <cell r="AA208">
            <v>200</v>
          </cell>
        </row>
        <row r="209">
          <cell r="AA209">
            <v>201</v>
          </cell>
        </row>
        <row r="210">
          <cell r="AA210">
            <v>202</v>
          </cell>
        </row>
        <row r="211">
          <cell r="AA211">
            <v>203</v>
          </cell>
        </row>
        <row r="212">
          <cell r="AA212">
            <v>204</v>
          </cell>
        </row>
        <row r="213">
          <cell r="AA213">
            <v>205</v>
          </cell>
        </row>
        <row r="214">
          <cell r="AA214">
            <v>206</v>
          </cell>
        </row>
        <row r="215">
          <cell r="AA215">
            <v>207</v>
          </cell>
        </row>
        <row r="216">
          <cell r="AA216">
            <v>208</v>
          </cell>
        </row>
        <row r="217">
          <cell r="AA217">
            <v>209</v>
          </cell>
        </row>
        <row r="218">
          <cell r="AA218">
            <v>210</v>
          </cell>
        </row>
        <row r="219">
          <cell r="AA219">
            <v>211</v>
          </cell>
        </row>
        <row r="220">
          <cell r="AA220">
            <v>212</v>
          </cell>
        </row>
        <row r="221">
          <cell r="AA221">
            <v>213</v>
          </cell>
        </row>
        <row r="222">
          <cell r="AA222">
            <v>214</v>
          </cell>
        </row>
        <row r="223">
          <cell r="AA223">
            <v>215</v>
          </cell>
        </row>
        <row r="224">
          <cell r="AA224">
            <v>216</v>
          </cell>
        </row>
        <row r="225">
          <cell r="AA225">
            <v>217</v>
          </cell>
        </row>
        <row r="226">
          <cell r="AA226">
            <v>218</v>
          </cell>
        </row>
        <row r="227">
          <cell r="AA227">
            <v>219</v>
          </cell>
        </row>
        <row r="228">
          <cell r="AA228">
            <v>220</v>
          </cell>
        </row>
        <row r="229">
          <cell r="AA229">
            <v>221</v>
          </cell>
        </row>
        <row r="230">
          <cell r="AA230">
            <v>222</v>
          </cell>
        </row>
        <row r="231">
          <cell r="AA231">
            <v>223</v>
          </cell>
        </row>
        <row r="232">
          <cell r="AA232">
            <v>224</v>
          </cell>
        </row>
        <row r="233">
          <cell r="AA233">
            <v>225</v>
          </cell>
        </row>
        <row r="234">
          <cell r="AA234">
            <v>226</v>
          </cell>
        </row>
        <row r="235">
          <cell r="AA235">
            <v>227</v>
          </cell>
        </row>
        <row r="236">
          <cell r="AA236">
            <v>228</v>
          </cell>
        </row>
        <row r="237">
          <cell r="AA237">
            <v>229</v>
          </cell>
        </row>
        <row r="238">
          <cell r="AA238">
            <v>230</v>
          </cell>
        </row>
        <row r="239">
          <cell r="AA239">
            <v>231</v>
          </cell>
        </row>
        <row r="240">
          <cell r="AA240">
            <v>232</v>
          </cell>
        </row>
        <row r="241">
          <cell r="AA241">
            <v>233</v>
          </cell>
        </row>
        <row r="242">
          <cell r="AA242">
            <v>234</v>
          </cell>
        </row>
        <row r="243">
          <cell r="AA243">
            <v>235</v>
          </cell>
        </row>
        <row r="244">
          <cell r="AA244">
            <v>236</v>
          </cell>
        </row>
        <row r="245">
          <cell r="AA245">
            <v>237</v>
          </cell>
        </row>
        <row r="246">
          <cell r="AA246">
            <v>238</v>
          </cell>
        </row>
        <row r="247">
          <cell r="AA247">
            <v>239</v>
          </cell>
        </row>
        <row r="248">
          <cell r="AA248">
            <v>240</v>
          </cell>
        </row>
        <row r="249">
          <cell r="AA249">
            <v>241</v>
          </cell>
        </row>
        <row r="250">
          <cell r="AA250">
            <v>242</v>
          </cell>
        </row>
        <row r="251">
          <cell r="AA251">
            <v>243</v>
          </cell>
        </row>
        <row r="252">
          <cell r="AA252">
            <v>244</v>
          </cell>
        </row>
        <row r="253">
          <cell r="AA253">
            <v>245</v>
          </cell>
        </row>
        <row r="254">
          <cell r="AA254">
            <v>246</v>
          </cell>
        </row>
        <row r="255">
          <cell r="AA255">
            <v>247</v>
          </cell>
        </row>
        <row r="256">
          <cell r="AA256">
            <v>248</v>
          </cell>
        </row>
        <row r="257">
          <cell r="AA257">
            <v>249</v>
          </cell>
        </row>
        <row r="258">
          <cell r="AA258">
            <v>250</v>
          </cell>
        </row>
        <row r="259">
          <cell r="AA259">
            <v>251</v>
          </cell>
        </row>
        <row r="260">
          <cell r="AA260">
            <v>252</v>
          </cell>
        </row>
        <row r="261">
          <cell r="AA261">
            <v>253</v>
          </cell>
        </row>
        <row r="262">
          <cell r="AA262">
            <v>254</v>
          </cell>
        </row>
        <row r="263">
          <cell r="AA263">
            <v>255</v>
          </cell>
        </row>
        <row r="264">
          <cell r="AA264">
            <v>256</v>
          </cell>
        </row>
        <row r="265">
          <cell r="AA265">
            <v>257</v>
          </cell>
        </row>
        <row r="266">
          <cell r="AA266">
            <v>258</v>
          </cell>
        </row>
        <row r="267">
          <cell r="AA267">
            <v>259</v>
          </cell>
        </row>
        <row r="268">
          <cell r="AA268">
            <v>260</v>
          </cell>
        </row>
        <row r="269">
          <cell r="AA269">
            <v>261</v>
          </cell>
        </row>
        <row r="270">
          <cell r="AA270">
            <v>262</v>
          </cell>
        </row>
        <row r="271">
          <cell r="AA271">
            <v>263</v>
          </cell>
        </row>
        <row r="272">
          <cell r="AA272">
            <v>264</v>
          </cell>
        </row>
        <row r="273">
          <cell r="AA273">
            <v>265</v>
          </cell>
        </row>
        <row r="274">
          <cell r="AA274">
            <v>266</v>
          </cell>
        </row>
        <row r="275">
          <cell r="AA275">
            <v>267</v>
          </cell>
        </row>
        <row r="276">
          <cell r="AA276">
            <v>268</v>
          </cell>
        </row>
        <row r="277">
          <cell r="AA277">
            <v>269</v>
          </cell>
        </row>
        <row r="278">
          <cell r="AA278">
            <v>270</v>
          </cell>
        </row>
        <row r="279">
          <cell r="AA279">
            <v>271</v>
          </cell>
        </row>
        <row r="280">
          <cell r="AA280">
            <v>272</v>
          </cell>
        </row>
        <row r="281">
          <cell r="AA281">
            <v>273</v>
          </cell>
        </row>
        <row r="282">
          <cell r="AA282">
            <v>274</v>
          </cell>
        </row>
        <row r="283">
          <cell r="AA283">
            <v>275</v>
          </cell>
        </row>
        <row r="284">
          <cell r="AA284">
            <v>276</v>
          </cell>
        </row>
        <row r="285">
          <cell r="AA285">
            <v>277</v>
          </cell>
        </row>
        <row r="286">
          <cell r="AA286">
            <v>278</v>
          </cell>
        </row>
        <row r="287">
          <cell r="AA287">
            <v>279</v>
          </cell>
        </row>
        <row r="288">
          <cell r="AA288">
            <v>280</v>
          </cell>
        </row>
        <row r="289">
          <cell r="AA289">
            <v>281</v>
          </cell>
        </row>
        <row r="290">
          <cell r="AA290">
            <v>282</v>
          </cell>
        </row>
        <row r="291">
          <cell r="AA291">
            <v>283</v>
          </cell>
        </row>
        <row r="292">
          <cell r="AA292">
            <v>284</v>
          </cell>
        </row>
        <row r="293">
          <cell r="AA293">
            <v>285</v>
          </cell>
        </row>
        <row r="294">
          <cell r="AA294">
            <v>286</v>
          </cell>
        </row>
        <row r="295">
          <cell r="AA295">
            <v>287</v>
          </cell>
        </row>
        <row r="296">
          <cell r="AA296">
            <v>288</v>
          </cell>
        </row>
        <row r="297">
          <cell r="AA297">
            <v>289</v>
          </cell>
        </row>
        <row r="298">
          <cell r="AA298">
            <v>290</v>
          </cell>
        </row>
        <row r="299">
          <cell r="AA299">
            <v>291</v>
          </cell>
        </row>
        <row r="300">
          <cell r="AA300">
            <v>292</v>
          </cell>
        </row>
        <row r="301">
          <cell r="AA301">
            <v>293</v>
          </cell>
        </row>
        <row r="302">
          <cell r="AA302">
            <v>294</v>
          </cell>
        </row>
        <row r="303">
          <cell r="AA303">
            <v>295</v>
          </cell>
        </row>
        <row r="304">
          <cell r="AA304">
            <v>296</v>
          </cell>
        </row>
        <row r="305">
          <cell r="AA305">
            <v>297</v>
          </cell>
        </row>
        <row r="306">
          <cell r="AA306">
            <v>298</v>
          </cell>
        </row>
        <row r="307">
          <cell r="AA307">
            <v>299</v>
          </cell>
        </row>
        <row r="308">
          <cell r="AA308">
            <v>300</v>
          </cell>
        </row>
        <row r="309">
          <cell r="AA309">
            <v>301</v>
          </cell>
        </row>
        <row r="310">
          <cell r="AA310">
            <v>302</v>
          </cell>
        </row>
        <row r="311">
          <cell r="AA311">
            <v>303</v>
          </cell>
        </row>
        <row r="312">
          <cell r="AA312">
            <v>304</v>
          </cell>
        </row>
        <row r="313">
          <cell r="AA313">
            <v>305</v>
          </cell>
        </row>
        <row r="314">
          <cell r="AA314">
            <v>306</v>
          </cell>
        </row>
        <row r="315">
          <cell r="AA315">
            <v>307</v>
          </cell>
        </row>
        <row r="316">
          <cell r="AA316">
            <v>308</v>
          </cell>
        </row>
        <row r="317">
          <cell r="AA317">
            <v>309</v>
          </cell>
        </row>
        <row r="318">
          <cell r="AA318">
            <v>310</v>
          </cell>
        </row>
        <row r="319">
          <cell r="AA319">
            <v>311</v>
          </cell>
        </row>
        <row r="320">
          <cell r="AA320">
            <v>312</v>
          </cell>
        </row>
        <row r="321">
          <cell r="AA321">
            <v>313</v>
          </cell>
        </row>
        <row r="322">
          <cell r="AA322">
            <v>314</v>
          </cell>
        </row>
        <row r="323">
          <cell r="AA323">
            <v>315</v>
          </cell>
        </row>
        <row r="324">
          <cell r="AA324">
            <v>316</v>
          </cell>
        </row>
        <row r="325">
          <cell r="AA325">
            <v>317</v>
          </cell>
        </row>
        <row r="326">
          <cell r="AA326">
            <v>318</v>
          </cell>
        </row>
        <row r="327">
          <cell r="AA327">
            <v>319</v>
          </cell>
        </row>
        <row r="328">
          <cell r="AA328">
            <v>320</v>
          </cell>
        </row>
        <row r="329">
          <cell r="AA329">
            <v>321</v>
          </cell>
        </row>
        <row r="330">
          <cell r="AA330">
            <v>322</v>
          </cell>
        </row>
        <row r="331">
          <cell r="AA331">
            <v>323</v>
          </cell>
        </row>
        <row r="332">
          <cell r="AA332">
            <v>324</v>
          </cell>
        </row>
        <row r="333">
          <cell r="AA333">
            <v>325</v>
          </cell>
        </row>
        <row r="334">
          <cell r="AA334">
            <v>326</v>
          </cell>
        </row>
        <row r="335">
          <cell r="AA335">
            <v>327</v>
          </cell>
        </row>
        <row r="336">
          <cell r="AA336">
            <v>328</v>
          </cell>
        </row>
        <row r="337">
          <cell r="AA337">
            <v>329</v>
          </cell>
        </row>
        <row r="338">
          <cell r="AA338">
            <v>330</v>
          </cell>
        </row>
        <row r="339">
          <cell r="AA339">
            <v>331</v>
          </cell>
        </row>
        <row r="340">
          <cell r="AA340">
            <v>332</v>
          </cell>
        </row>
        <row r="341">
          <cell r="AA341">
            <v>333</v>
          </cell>
        </row>
        <row r="342">
          <cell r="AA342">
            <v>334</v>
          </cell>
        </row>
        <row r="343">
          <cell r="AA343">
            <v>335</v>
          </cell>
        </row>
        <row r="344">
          <cell r="AA344">
            <v>336</v>
          </cell>
        </row>
        <row r="345">
          <cell r="AA345">
            <v>337</v>
          </cell>
        </row>
        <row r="346">
          <cell r="AA346">
            <v>338</v>
          </cell>
        </row>
        <row r="347">
          <cell r="AA347">
            <v>339</v>
          </cell>
        </row>
        <row r="348">
          <cell r="AA348">
            <v>340</v>
          </cell>
        </row>
        <row r="349">
          <cell r="AA349">
            <v>341</v>
          </cell>
        </row>
        <row r="350">
          <cell r="AA350">
            <v>342</v>
          </cell>
        </row>
        <row r="351">
          <cell r="AA351">
            <v>343</v>
          </cell>
        </row>
        <row r="352">
          <cell r="AA352">
            <v>344</v>
          </cell>
        </row>
        <row r="353">
          <cell r="AA353">
            <v>345</v>
          </cell>
        </row>
        <row r="354">
          <cell r="AA354">
            <v>346</v>
          </cell>
        </row>
        <row r="355">
          <cell r="AA355">
            <v>347</v>
          </cell>
        </row>
        <row r="356">
          <cell r="AA356">
            <v>348</v>
          </cell>
        </row>
        <row r="357">
          <cell r="AA357">
            <v>349</v>
          </cell>
        </row>
        <row r="358">
          <cell r="AA358">
            <v>350</v>
          </cell>
        </row>
        <row r="359">
          <cell r="AA359">
            <v>351</v>
          </cell>
        </row>
        <row r="360">
          <cell r="AA360">
            <v>352</v>
          </cell>
        </row>
        <row r="361">
          <cell r="AA361">
            <v>353</v>
          </cell>
        </row>
        <row r="362">
          <cell r="AA362">
            <v>354</v>
          </cell>
        </row>
        <row r="363">
          <cell r="AA363">
            <v>355</v>
          </cell>
        </row>
        <row r="364">
          <cell r="AA364">
            <v>356</v>
          </cell>
        </row>
        <row r="365">
          <cell r="AA365">
            <v>357</v>
          </cell>
        </row>
        <row r="366">
          <cell r="AA366">
            <v>358</v>
          </cell>
        </row>
        <row r="367">
          <cell r="AA367">
            <v>359</v>
          </cell>
        </row>
        <row r="368">
          <cell r="AA368">
            <v>360</v>
          </cell>
        </row>
        <row r="369">
          <cell r="AA369">
            <v>361</v>
          </cell>
        </row>
        <row r="370">
          <cell r="AA370">
            <v>362</v>
          </cell>
        </row>
        <row r="371">
          <cell r="AA371">
            <v>363</v>
          </cell>
        </row>
        <row r="372">
          <cell r="AA372">
            <v>364</v>
          </cell>
        </row>
        <row r="373">
          <cell r="AA373">
            <v>365</v>
          </cell>
        </row>
        <row r="374">
          <cell r="AA374">
            <v>366</v>
          </cell>
        </row>
        <row r="375">
          <cell r="AA375">
            <v>367</v>
          </cell>
        </row>
        <row r="376">
          <cell r="AA376">
            <v>368</v>
          </cell>
        </row>
        <row r="377">
          <cell r="AA377">
            <v>369</v>
          </cell>
        </row>
        <row r="378">
          <cell r="AA378">
            <v>370</v>
          </cell>
        </row>
        <row r="379">
          <cell r="AA379">
            <v>371</v>
          </cell>
        </row>
        <row r="380">
          <cell r="AA380">
            <v>372</v>
          </cell>
        </row>
        <row r="381">
          <cell r="AA381">
            <v>373</v>
          </cell>
        </row>
        <row r="382">
          <cell r="AA382">
            <v>374</v>
          </cell>
        </row>
        <row r="383">
          <cell r="AA383">
            <v>375</v>
          </cell>
        </row>
        <row r="384">
          <cell r="AA384">
            <v>376</v>
          </cell>
        </row>
        <row r="385">
          <cell r="AA385">
            <v>377</v>
          </cell>
        </row>
        <row r="386">
          <cell r="AA386">
            <v>378</v>
          </cell>
        </row>
        <row r="387">
          <cell r="AA387">
            <v>379</v>
          </cell>
        </row>
        <row r="388">
          <cell r="AA388">
            <v>380</v>
          </cell>
        </row>
        <row r="389">
          <cell r="AA389">
            <v>381</v>
          </cell>
        </row>
        <row r="390">
          <cell r="AA390">
            <v>382</v>
          </cell>
        </row>
        <row r="391">
          <cell r="AA391">
            <v>383</v>
          </cell>
        </row>
        <row r="392">
          <cell r="AA392">
            <v>384</v>
          </cell>
        </row>
        <row r="393">
          <cell r="AA393">
            <v>385</v>
          </cell>
        </row>
        <row r="394">
          <cell r="AA394">
            <v>386</v>
          </cell>
        </row>
        <row r="395">
          <cell r="AA395">
            <v>387</v>
          </cell>
        </row>
        <row r="396">
          <cell r="AA396">
            <v>388</v>
          </cell>
        </row>
        <row r="397">
          <cell r="AA397">
            <v>389</v>
          </cell>
        </row>
        <row r="398">
          <cell r="AA398">
            <v>390</v>
          </cell>
        </row>
        <row r="399">
          <cell r="AA399">
            <v>391</v>
          </cell>
        </row>
        <row r="400">
          <cell r="AA400">
            <v>392</v>
          </cell>
        </row>
        <row r="401">
          <cell r="AA401">
            <v>393</v>
          </cell>
        </row>
        <row r="402">
          <cell r="AA402">
            <v>394</v>
          </cell>
        </row>
        <row r="403">
          <cell r="AA403">
            <v>395</v>
          </cell>
        </row>
        <row r="404">
          <cell r="AA404">
            <v>396</v>
          </cell>
        </row>
        <row r="405">
          <cell r="AA405">
            <v>397</v>
          </cell>
        </row>
        <row r="406">
          <cell r="AA406">
            <v>398</v>
          </cell>
        </row>
        <row r="407">
          <cell r="AA407">
            <v>399</v>
          </cell>
        </row>
        <row r="408">
          <cell r="AA408">
            <v>400</v>
          </cell>
        </row>
        <row r="409">
          <cell r="AA409">
            <v>401</v>
          </cell>
        </row>
        <row r="410">
          <cell r="AA410">
            <v>402</v>
          </cell>
        </row>
        <row r="411">
          <cell r="AA411">
            <v>403</v>
          </cell>
        </row>
        <row r="412">
          <cell r="AA412">
            <v>404</v>
          </cell>
        </row>
        <row r="413">
          <cell r="AA413">
            <v>405</v>
          </cell>
        </row>
        <row r="414">
          <cell r="AA414">
            <v>406</v>
          </cell>
        </row>
        <row r="415">
          <cell r="AA415">
            <v>407</v>
          </cell>
        </row>
        <row r="416">
          <cell r="AA416">
            <v>408</v>
          </cell>
        </row>
        <row r="417">
          <cell r="AA417">
            <v>409</v>
          </cell>
        </row>
        <row r="418">
          <cell r="AA418">
            <v>410</v>
          </cell>
        </row>
        <row r="419">
          <cell r="AA419">
            <v>411</v>
          </cell>
        </row>
        <row r="420">
          <cell r="AA420">
            <v>412</v>
          </cell>
        </row>
        <row r="421">
          <cell r="AA421">
            <v>413</v>
          </cell>
        </row>
        <row r="422">
          <cell r="AA422">
            <v>414</v>
          </cell>
        </row>
        <row r="423">
          <cell r="AA423">
            <v>415</v>
          </cell>
        </row>
        <row r="424">
          <cell r="AA424">
            <v>416</v>
          </cell>
        </row>
        <row r="425">
          <cell r="AA425">
            <v>417</v>
          </cell>
        </row>
        <row r="426">
          <cell r="AA426">
            <v>418</v>
          </cell>
        </row>
        <row r="427">
          <cell r="AA427">
            <v>419</v>
          </cell>
        </row>
        <row r="428">
          <cell r="AA428">
            <v>420</v>
          </cell>
        </row>
        <row r="429">
          <cell r="AA429">
            <v>421</v>
          </cell>
        </row>
        <row r="430">
          <cell r="AA430">
            <v>422</v>
          </cell>
        </row>
        <row r="431">
          <cell r="AA431">
            <v>423</v>
          </cell>
        </row>
        <row r="432">
          <cell r="AA432">
            <v>424</v>
          </cell>
        </row>
        <row r="433">
          <cell r="AA433">
            <v>425</v>
          </cell>
        </row>
        <row r="434">
          <cell r="AA434">
            <v>426</v>
          </cell>
        </row>
        <row r="435">
          <cell r="AA435">
            <v>427</v>
          </cell>
        </row>
        <row r="436">
          <cell r="AA436">
            <v>428</v>
          </cell>
        </row>
        <row r="437">
          <cell r="AA437">
            <v>429</v>
          </cell>
        </row>
        <row r="438">
          <cell r="AA438">
            <v>430</v>
          </cell>
        </row>
        <row r="439">
          <cell r="AA439">
            <v>431</v>
          </cell>
        </row>
        <row r="440">
          <cell r="AA440">
            <v>432</v>
          </cell>
        </row>
        <row r="441">
          <cell r="AA441">
            <v>433</v>
          </cell>
        </row>
        <row r="442">
          <cell r="AA442">
            <v>434</v>
          </cell>
        </row>
        <row r="443">
          <cell r="AA443">
            <v>435</v>
          </cell>
        </row>
        <row r="444">
          <cell r="AA444">
            <v>436</v>
          </cell>
        </row>
        <row r="445">
          <cell r="AA445">
            <v>437</v>
          </cell>
        </row>
        <row r="446">
          <cell r="AA446">
            <v>438</v>
          </cell>
        </row>
        <row r="447">
          <cell r="AA447">
            <v>439</v>
          </cell>
        </row>
        <row r="448">
          <cell r="AA448">
            <v>440</v>
          </cell>
        </row>
        <row r="449">
          <cell r="AA449">
            <v>441</v>
          </cell>
        </row>
        <row r="450">
          <cell r="AA450">
            <v>442</v>
          </cell>
        </row>
        <row r="451">
          <cell r="AA451">
            <v>443</v>
          </cell>
        </row>
        <row r="452">
          <cell r="AA452">
            <v>444</v>
          </cell>
        </row>
        <row r="453">
          <cell r="AA453">
            <v>445</v>
          </cell>
        </row>
        <row r="454">
          <cell r="AA454">
            <v>446</v>
          </cell>
        </row>
        <row r="455">
          <cell r="AA455">
            <v>447</v>
          </cell>
        </row>
        <row r="456">
          <cell r="AA456">
            <v>448</v>
          </cell>
        </row>
        <row r="457">
          <cell r="AA457">
            <v>449</v>
          </cell>
        </row>
        <row r="458">
          <cell r="AA458">
            <v>450</v>
          </cell>
        </row>
        <row r="459">
          <cell r="AA459">
            <v>451</v>
          </cell>
        </row>
        <row r="460">
          <cell r="AA460">
            <v>452</v>
          </cell>
        </row>
        <row r="461">
          <cell r="AA461">
            <v>453</v>
          </cell>
        </row>
        <row r="462">
          <cell r="AA462">
            <v>454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0000"/>
      <sheetName val="1000"/>
      <sheetName val="Review Comments"/>
      <sheetName val="Min Rent Plan"/>
      <sheetName val="Inline Rates"/>
      <sheetName val="Stats Page"/>
      <sheetName val="Statistical Data"/>
      <sheetName val="BExRepositorySheet"/>
      <sheetName val="PCR"/>
      <sheetName val="MRG - At Ease Men's "/>
      <sheetName val="MRL-Sage"/>
      <sheetName val="MRL-Cleaners"/>
      <sheetName val="1500970 Ins"/>
      <sheetName val="1502880 Suspense"/>
      <sheetName val="1800040"/>
      <sheetName val="1800640"/>
      <sheetName val="1800680 CAM"/>
      <sheetName val="1800830"/>
      <sheetName val="1801360"/>
      <sheetName val="2301440"/>
      <sheetName val="2301460 Exp Acc"/>
      <sheetName val="2301460 Contract Acc"/>
      <sheetName val="2302220"/>
      <sheetName val="2302790 Tax"/>
      <sheetName val="2500360"/>
      <sheetName val="2500590"/>
      <sheetName val="4006020 &amp; 4006030"/>
      <sheetName val="4006630"/>
      <sheetName val="4006710"/>
      <sheetName val="4000362"/>
      <sheetName val="4006960"/>
      <sheetName val="MRL-Trio"/>
      <sheetName val="Min Rent Forecast"/>
      <sheetName val="MRG-La Diva"/>
      <sheetName val="MRI Data"/>
      <sheetName val="1800080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4" Type="http://schemas.openxmlformats.org/officeDocument/2006/relationships/printerSettings" Target="../printerSettings/printerSettings3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4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4" Type="http://schemas.openxmlformats.org/officeDocument/2006/relationships/printerSettings" Target="../printerSettings/printerSettings4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"/>
  <sheetViews>
    <sheetView zoomScaleNormal="97" zoomScaleSheetLayoutView="70" workbookViewId="0"/>
  </sheetViews>
  <sheetFormatPr defaultRowHeight="12.5"/>
  <sheetData/>
  <customSheetViews>
    <customSheetView guid="{407D59A7-4157-4601-BF25-0D4BC2569A3E}" state="veryHidden" showRuler="0">
      <pageMargins left="0" right="0" top="0" bottom="0" header="0" footer="0"/>
      <headerFooter alignWithMargins="0"/>
    </customSheetView>
    <customSheetView guid="{C5E32A41-FC3E-4628-B0E4-BCDB4BDAC35C}" state="veryHidden" showRuler="0">
      <pageMargins left="0" right="0" top="0" bottom="0" header="0" footer="0"/>
      <headerFooter alignWithMargins="0"/>
    </customSheetView>
    <customSheetView guid="{239276AE-B7E9-4788-B341-6859AA10E393}" state="veryHidden" showRuler="0">
      <pageMargins left="0" right="0" top="0" bottom="0" header="0" footer="0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autoPageBreaks="0"/>
  </sheetPr>
  <dimension ref="A8:B70"/>
  <sheetViews>
    <sheetView zoomScale="90" zoomScaleNormal="90" workbookViewId="0">
      <selection activeCell="B21" sqref="B21"/>
    </sheetView>
  </sheetViews>
  <sheetFormatPr defaultRowHeight="12.5"/>
  <cols>
    <col min="1" max="1" width="9.81640625" customWidth="1"/>
    <col min="2" max="2" width="91.54296875" customWidth="1"/>
    <col min="5" max="5" width="10.26953125" bestFit="1" customWidth="1"/>
  </cols>
  <sheetData>
    <row r="8" spans="1:2" ht="15.5">
      <c r="B8" s="46" t="s">
        <v>0</v>
      </c>
    </row>
    <row r="9" spans="1:2" ht="15.5">
      <c r="B9" s="46" t="s">
        <v>1</v>
      </c>
    </row>
    <row r="10" spans="1:2" ht="15.5">
      <c r="B10" s="47"/>
    </row>
    <row r="11" spans="1:2" ht="13">
      <c r="A11" s="3" t="s">
        <v>2</v>
      </c>
      <c r="B11" s="3" t="s">
        <v>965</v>
      </c>
    </row>
    <row r="13" spans="1:2" ht="13">
      <c r="A13" s="3" t="s">
        <v>3</v>
      </c>
      <c r="B13" s="147" t="s">
        <v>1013</v>
      </c>
    </row>
    <row r="14" spans="1:2" ht="13">
      <c r="A14" s="3"/>
    </row>
    <row r="15" spans="1:2" ht="13" thickBot="1"/>
    <row r="16" spans="1:2" ht="14" thickTop="1" thickBot="1">
      <c r="A16" s="48" t="s">
        <v>4</v>
      </c>
      <c r="B16" s="216"/>
    </row>
    <row r="17" spans="1:2" ht="13" thickTop="1"/>
    <row r="18" spans="1:2">
      <c r="B18" s="1019"/>
    </row>
    <row r="19" spans="1:2" s="35" customFormat="1">
      <c r="B19" s="102"/>
    </row>
    <row r="20" spans="1:2">
      <c r="B20" s="26"/>
    </row>
    <row r="21" spans="1:2" ht="13" thickBot="1">
      <c r="B21" s="4"/>
    </row>
    <row r="22" spans="1:2" ht="14" thickTop="1" thickBot="1">
      <c r="A22" s="48" t="s">
        <v>5</v>
      </c>
      <c r="B22" s="216"/>
    </row>
    <row r="23" spans="1:2" ht="13" thickTop="1"/>
    <row r="24" spans="1:2">
      <c r="B24" s="1019"/>
    </row>
    <row r="25" spans="1:2">
      <c r="B25" s="102"/>
    </row>
    <row r="27" spans="1:2" ht="13" thickBot="1"/>
    <row r="28" spans="1:2" ht="14" thickTop="1" thickBot="1">
      <c r="A28" s="48" t="s">
        <v>6</v>
      </c>
      <c r="B28" s="216"/>
    </row>
    <row r="29" spans="1:2" ht="13" thickTop="1"/>
    <row r="30" spans="1:2">
      <c r="B30" s="1019"/>
    </row>
    <row r="33" spans="1:2" ht="13" thickBot="1"/>
    <row r="34" spans="1:2" ht="14" thickTop="1" thickBot="1">
      <c r="A34" s="48" t="s">
        <v>7</v>
      </c>
      <c r="B34" s="49"/>
    </row>
    <row r="35" spans="1:2" ht="13" thickTop="1"/>
    <row r="36" spans="1:2">
      <c r="B36" s="1019"/>
    </row>
    <row r="39" spans="1:2" ht="13" thickBot="1"/>
    <row r="40" spans="1:2" ht="14" thickTop="1" thickBot="1">
      <c r="A40" s="48" t="s">
        <v>8</v>
      </c>
      <c r="B40" s="49"/>
    </row>
    <row r="41" spans="1:2" ht="13" thickTop="1"/>
    <row r="45" spans="1:2" ht="13" thickBot="1"/>
    <row r="46" spans="1:2" ht="14" thickTop="1" thickBot="1">
      <c r="A46" s="48" t="s">
        <v>9</v>
      </c>
      <c r="B46" s="49"/>
    </row>
    <row r="47" spans="1:2" ht="13" thickTop="1"/>
    <row r="51" spans="1:2" ht="13" thickBot="1"/>
    <row r="52" spans="1:2" ht="14" thickTop="1" thickBot="1">
      <c r="A52" s="48" t="s">
        <v>10</v>
      </c>
      <c r="B52" s="49"/>
    </row>
    <row r="53" spans="1:2" ht="13" thickTop="1"/>
    <row r="57" spans="1:2" ht="13" thickBot="1"/>
    <row r="58" spans="1:2" ht="14" thickTop="1" thickBot="1">
      <c r="A58" s="48" t="s">
        <v>11</v>
      </c>
      <c r="B58" s="49"/>
    </row>
    <row r="59" spans="1:2" ht="13" thickTop="1"/>
    <row r="63" spans="1:2" ht="13" thickBot="1"/>
    <row r="64" spans="1:2" ht="14" thickTop="1" thickBot="1">
      <c r="A64" s="48" t="s">
        <v>12</v>
      </c>
      <c r="B64" s="49"/>
    </row>
    <row r="70" spans="1:1" ht="14" thickTop="1" thickBot="1">
      <c r="A70" s="48" t="s">
        <v>13</v>
      </c>
    </row>
  </sheetData>
  <customSheetViews>
    <customSheetView guid="{407D59A7-4157-4601-BF25-0D4BC2569A3E}" showRuler="0">
      <selection activeCell="B36" sqref="B36"/>
      <pageMargins left="0" right="0" top="0" bottom="0" header="0" footer="0"/>
      <pageSetup orientation="portrait" r:id="rId1"/>
      <headerFooter alignWithMargins="0"/>
    </customSheetView>
    <customSheetView guid="{C5E32A41-FC3E-4628-B0E4-BCDB4BDAC35C}" showRuler="0">
      <selection activeCell="B16" sqref="B16"/>
      <pageMargins left="0" right="0" top="0" bottom="0" header="0" footer="0"/>
      <pageSetup orientation="portrait" r:id="rId2"/>
      <headerFooter alignWithMargins="0"/>
    </customSheetView>
    <customSheetView guid="{239276AE-B7E9-4788-B341-6859AA10E393}" printArea="1" showRuler="0">
      <selection activeCell="B36" sqref="B36"/>
      <pageMargins left="0" right="0" top="0" bottom="0" header="0" footer="0"/>
      <pageSetup orientation="portrait" r:id="rId3"/>
      <headerFooter alignWithMargins="0"/>
    </customSheetView>
  </customSheetViews>
  <phoneticPr fontId="0" type="noConversion"/>
  <pageMargins left="0.28000000000000003" right="0.31" top="0.49" bottom="0.65" header="0.38" footer="0.39"/>
  <pageSetup orientation="portrait" r:id="rId4"/>
  <headerFooter alignWithMargins="0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DS57"/>
  <sheetViews>
    <sheetView zoomScale="85" zoomScaleNormal="100" workbookViewId="0">
      <pane xSplit="8" ySplit="13" topLeftCell="J14" activePane="bottomRight" state="frozen"/>
      <selection pane="topRight" activeCell="B18" sqref="B18"/>
      <selection pane="bottomLeft" activeCell="B18" sqref="B18"/>
      <selection pane="bottomRight" activeCell="K1" sqref="K1:L65536"/>
    </sheetView>
  </sheetViews>
  <sheetFormatPr defaultColWidth="9.1796875" defaultRowHeight="12.5" outlineLevelCol="1"/>
  <cols>
    <col min="1" max="1" width="5.81640625" style="656" customWidth="1"/>
    <col min="2" max="2" width="19.1796875" style="656" hidden="1" customWidth="1"/>
    <col min="3" max="3" width="35.54296875" style="656" customWidth="1"/>
    <col min="4" max="4" width="12" style="656" customWidth="1"/>
    <col min="5" max="5" width="12.54296875" style="656" customWidth="1"/>
    <col min="6" max="6" width="11.54296875" style="656" customWidth="1"/>
    <col min="7" max="7" width="9.1796875" style="657"/>
    <col min="8" max="8" width="12.7265625" style="656" customWidth="1"/>
    <col min="9" max="9" width="12.26953125" style="656" hidden="1" customWidth="1" outlineLevel="1"/>
    <col min="10" max="10" width="2.7265625" style="656" customWidth="1" collapsed="1"/>
    <col min="11" max="12" width="12.7265625" style="901" customWidth="1"/>
    <col min="13" max="15" width="12.7265625" style="656" customWidth="1"/>
    <col min="16" max="16" width="3.7265625" style="656" customWidth="1"/>
    <col min="17" max="18" width="12.7265625" style="656" customWidth="1"/>
    <col min="19" max="21" width="12.81640625" style="656" customWidth="1"/>
    <col min="22" max="22" width="12.7265625" style="656" customWidth="1" collapsed="1"/>
    <col min="23" max="24" width="12.7265625" style="656" customWidth="1"/>
    <col min="25" max="25" width="3.26953125" style="656" customWidth="1"/>
    <col min="26" max="33" width="12.7265625" style="656" customWidth="1"/>
    <col min="34" max="34" width="3.26953125" style="656" customWidth="1"/>
    <col min="35" max="40" width="12.7265625" style="656" customWidth="1"/>
    <col min="41" max="41" width="12.453125" style="656" customWidth="1"/>
    <col min="42" max="42" width="12.7265625" style="656" customWidth="1"/>
    <col min="43" max="43" width="3.26953125" style="656" customWidth="1"/>
    <col min="44" max="45" width="12.7265625" style="656" customWidth="1"/>
    <col min="46" max="48" width="11.81640625" style="656" customWidth="1"/>
    <col min="49" max="49" width="12.7265625" style="656" customWidth="1" collapsed="1"/>
    <col min="50" max="51" width="12.7265625" style="656" customWidth="1"/>
    <col min="52" max="52" width="3.26953125" style="656" customWidth="1"/>
    <col min="53" max="54" width="12.7265625" style="656" customWidth="1"/>
    <col min="55" max="57" width="13.54296875" style="656" customWidth="1"/>
    <col min="58" max="58" width="12.7265625" style="656" customWidth="1" collapsed="1"/>
    <col min="59" max="60" width="12.7265625" style="656" customWidth="1"/>
    <col min="61" max="61" width="3.26953125" style="656" customWidth="1"/>
    <col min="62" max="69" width="12.7265625" style="656" customWidth="1"/>
    <col min="70" max="70" width="3.26953125" style="656" customWidth="1"/>
    <col min="71" max="72" width="12.7265625" style="656" customWidth="1"/>
    <col min="73" max="75" width="14.1796875" style="656" customWidth="1"/>
    <col min="76" max="76" width="12.7265625" style="656" customWidth="1" collapsed="1"/>
    <col min="77" max="77" width="12.81640625" style="656" customWidth="1"/>
    <col min="78" max="78" width="12.7265625" style="656" customWidth="1"/>
    <col min="79" max="79" width="3.26953125" style="656" customWidth="1"/>
    <col min="80" max="84" width="12.7265625" style="656" customWidth="1"/>
    <col min="85" max="85" width="12.7265625" style="656" customWidth="1" collapsed="1"/>
    <col min="86" max="87" width="12.7265625" style="656" customWidth="1"/>
    <col min="88" max="88" width="3.26953125" style="656" customWidth="1"/>
    <col min="89" max="90" width="12.7265625" style="656" customWidth="1"/>
    <col min="91" max="93" width="13.54296875" style="656" customWidth="1"/>
    <col min="94" max="94" width="12.7265625" style="656" customWidth="1" collapsed="1"/>
    <col min="95" max="96" width="12.7265625" style="656" customWidth="1"/>
    <col min="97" max="97" width="3.26953125" style="656" customWidth="1"/>
    <col min="98" max="99" width="12.7265625" style="656" customWidth="1"/>
    <col min="100" max="102" width="13.54296875" style="656" customWidth="1"/>
    <col min="103" max="103" width="12.7265625" style="656" customWidth="1" collapsed="1"/>
    <col min="104" max="104" width="13.26953125" style="656" customWidth="1"/>
    <col min="105" max="105" width="12.7265625" style="656" customWidth="1"/>
    <col min="106" max="106" width="3.26953125" style="656" customWidth="1"/>
    <col min="107" max="108" width="12.7265625" style="656" customWidth="1"/>
    <col min="109" max="111" width="13.54296875" style="656" customWidth="1"/>
    <col min="112" max="112" width="12.7265625" style="656" customWidth="1" collapsed="1"/>
    <col min="113" max="114" width="12.7265625" style="656" customWidth="1"/>
    <col min="115" max="115" width="3.26953125" style="656" customWidth="1"/>
    <col min="116" max="117" width="12.7265625" style="656" customWidth="1"/>
    <col min="118" max="118" width="13.54296875" style="656" customWidth="1"/>
    <col min="119" max="119" width="56.26953125" style="656" customWidth="1" collapsed="1"/>
    <col min="120" max="120" width="3.26953125" style="656" customWidth="1"/>
    <col min="121" max="121" width="13.26953125" style="656" hidden="1" customWidth="1"/>
    <col min="122" max="122" width="13.7265625" style="656" hidden="1" customWidth="1"/>
    <col min="123" max="123" width="56.26953125" style="656" hidden="1" customWidth="1"/>
    <col min="124" max="16384" width="9.1796875" style="656"/>
  </cols>
  <sheetData>
    <row r="1" spans="1:123" ht="13" thickBot="1">
      <c r="N1" s="658">
        <f>+$M$10</f>
        <v>1</v>
      </c>
      <c r="O1" s="658">
        <f>+$M$10+0.1</f>
        <v>1.1000000000000001</v>
      </c>
      <c r="Q1" s="658">
        <f>+$M$10+0.2</f>
        <v>1.2</v>
      </c>
      <c r="R1" s="658">
        <f>+$M$10+0.3</f>
        <v>1.3</v>
      </c>
      <c r="W1" s="658">
        <f>+$V$10</f>
        <v>2</v>
      </c>
      <c r="X1" s="658">
        <f>+$V$10+0.1</f>
        <v>2.1</v>
      </c>
      <c r="Y1" s="659"/>
      <c r="Z1" s="658">
        <f>+$V$10+0.2</f>
        <v>2.2000000000000002</v>
      </c>
      <c r="AA1" s="658">
        <f>+$V$10+0.3</f>
        <v>2.2999999999999998</v>
      </c>
      <c r="AF1" s="658">
        <f>+$AE$10</f>
        <v>3</v>
      </c>
      <c r="AG1" s="658">
        <f>+$AE$10+0.1</f>
        <v>3.1</v>
      </c>
      <c r="AH1" s="659"/>
      <c r="AI1" s="658">
        <f>+$AE$10+0.2</f>
        <v>3.2</v>
      </c>
      <c r="AJ1" s="658">
        <f>+$AE$10+0.3</f>
        <v>3.3</v>
      </c>
      <c r="AO1" s="658">
        <f>+$AN$10</f>
        <v>4</v>
      </c>
      <c r="AP1" s="658">
        <f>+$AN$10+0.1</f>
        <v>4.0999999999999996</v>
      </c>
      <c r="AQ1" s="659"/>
      <c r="AR1" s="658">
        <f>+$AN$10+0.2</f>
        <v>4.2</v>
      </c>
      <c r="AS1" s="658">
        <f>+$AN$10+0.3</f>
        <v>4.3</v>
      </c>
      <c r="AX1" s="658">
        <f>+$AW$10</f>
        <v>5</v>
      </c>
      <c r="AY1" s="658">
        <f>+$AW$10+0.1</f>
        <v>5.0999999999999996</v>
      </c>
      <c r="AZ1" s="659"/>
      <c r="BA1" s="658">
        <f>+$AW$10+0.2</f>
        <v>5.2</v>
      </c>
      <c r="BB1" s="658">
        <f>+$AW$10+0.3</f>
        <v>5.3</v>
      </c>
      <c r="BG1" s="658">
        <f>+$BF$10</f>
        <v>6</v>
      </c>
      <c r="BH1" s="658">
        <f>+$BF$10+0.1</f>
        <v>6.1</v>
      </c>
      <c r="BI1" s="659"/>
      <c r="BJ1" s="658">
        <f>+$BF$10+0.2</f>
        <v>6.2</v>
      </c>
      <c r="BK1" s="658">
        <f>+$BF$10+0.3</f>
        <v>6.3</v>
      </c>
      <c r="BP1" s="658">
        <f>+$BO$10</f>
        <v>7</v>
      </c>
      <c r="BQ1" s="658">
        <f>+$BO$10+0.1</f>
        <v>7.1</v>
      </c>
      <c r="BR1" s="659"/>
      <c r="BS1" s="658">
        <f>+$BO$10+0.2</f>
        <v>7.2</v>
      </c>
      <c r="BT1" s="658">
        <f>+$BO$10+0.3</f>
        <v>7.3</v>
      </c>
      <c r="BY1" s="660">
        <f>+$BX$10</f>
        <v>8</v>
      </c>
      <c r="BZ1" s="658">
        <f>+$BX$10+0.1</f>
        <v>8.1</v>
      </c>
      <c r="CA1" s="659"/>
      <c r="CB1" s="658">
        <f>+$BX$10+0.2</f>
        <v>8.1999999999999993</v>
      </c>
      <c r="CC1" s="658">
        <f>+$BX$10+0.3</f>
        <v>8.3000000000000007</v>
      </c>
      <c r="CH1" s="660">
        <f>+$CG$10</f>
        <v>9</v>
      </c>
      <c r="CI1" s="658">
        <f>+$CG$10+0.1</f>
        <v>9.1</v>
      </c>
      <c r="CJ1" s="659"/>
      <c r="CK1" s="658">
        <f>+$CG$10+0.2</f>
        <v>9.1999999999999993</v>
      </c>
      <c r="CL1" s="658">
        <f>+$CG$10+0.3</f>
        <v>9.3000000000000007</v>
      </c>
      <c r="CQ1" s="660">
        <f>+$CP$10</f>
        <v>10</v>
      </c>
      <c r="CR1" s="661">
        <f>+CQ1+0.1</f>
        <v>10.1</v>
      </c>
      <c r="CS1" s="659"/>
      <c r="CT1" s="661">
        <f>+CQ1+0.2</f>
        <v>10.199999999999999</v>
      </c>
      <c r="CU1" s="661">
        <f>+CQ1+0.3</f>
        <v>10.3</v>
      </c>
      <c r="CZ1" s="660">
        <v>11</v>
      </c>
      <c r="DA1" s="661">
        <v>11.1</v>
      </c>
      <c r="DB1" s="659"/>
      <c r="DC1" s="661">
        <v>11.2</v>
      </c>
      <c r="DD1" s="661">
        <v>11.3</v>
      </c>
      <c r="DI1" s="660">
        <v>12</v>
      </c>
      <c r="DJ1" s="661">
        <v>12.1</v>
      </c>
      <c r="DK1" s="659"/>
      <c r="DL1" s="661">
        <v>12.2</v>
      </c>
      <c r="DM1" s="661">
        <v>12.3</v>
      </c>
      <c r="DO1" s="662"/>
      <c r="DP1" s="662"/>
      <c r="DQ1" s="662"/>
    </row>
    <row r="2" spans="1:123" ht="15.5">
      <c r="C2" s="663" t="str">
        <f>+'Review Comments'!B11</f>
        <v>ABI PROPERTIES</v>
      </c>
      <c r="G2" s="664"/>
      <c r="I2" s="665"/>
      <c r="J2" s="665"/>
      <c r="K2" s="902"/>
      <c r="L2" s="902"/>
      <c r="N2" s="1128" t="s">
        <v>14</v>
      </c>
      <c r="O2" s="1129"/>
      <c r="Q2" s="1128" t="s">
        <v>15</v>
      </c>
      <c r="R2" s="1129"/>
      <c r="W2" s="1128" t="s">
        <v>14</v>
      </c>
      <c r="X2" s="1129"/>
      <c r="Y2" s="659"/>
      <c r="Z2" s="1128" t="s">
        <v>15</v>
      </c>
      <c r="AA2" s="1129"/>
      <c r="AF2" s="1128" t="s">
        <v>14</v>
      </c>
      <c r="AG2" s="1129"/>
      <c r="AH2" s="659"/>
      <c r="AI2" s="1128" t="s">
        <v>15</v>
      </c>
      <c r="AJ2" s="1129"/>
      <c r="AO2" s="1128" t="s">
        <v>14</v>
      </c>
      <c r="AP2" s="1129"/>
      <c r="AQ2" s="659"/>
      <c r="AR2" s="1128" t="s">
        <v>15</v>
      </c>
      <c r="AS2" s="1129"/>
      <c r="AX2" s="1128" t="s">
        <v>14</v>
      </c>
      <c r="AY2" s="1129"/>
      <c r="AZ2" s="659"/>
      <c r="BA2" s="1128" t="s">
        <v>15</v>
      </c>
      <c r="BB2" s="1129"/>
      <c r="BG2" s="1128" t="s">
        <v>14</v>
      </c>
      <c r="BH2" s="1129"/>
      <c r="BI2" s="659"/>
      <c r="BJ2" s="1128" t="s">
        <v>15</v>
      </c>
      <c r="BK2" s="1129"/>
      <c r="BP2" s="1128" t="s">
        <v>14</v>
      </c>
      <c r="BQ2" s="1129"/>
      <c r="BR2" s="659"/>
      <c r="BS2" s="1128" t="s">
        <v>15</v>
      </c>
      <c r="BT2" s="1129"/>
      <c r="BY2" s="1128" t="s">
        <v>14</v>
      </c>
      <c r="BZ2" s="1129"/>
      <c r="CA2" s="659"/>
      <c r="CB2" s="1128" t="s">
        <v>15</v>
      </c>
      <c r="CC2" s="1129"/>
      <c r="CH2" s="1128" t="s">
        <v>14</v>
      </c>
      <c r="CI2" s="1129"/>
      <c r="CJ2" s="659"/>
      <c r="CK2" s="1128" t="s">
        <v>15</v>
      </c>
      <c r="CL2" s="1129"/>
      <c r="CQ2" s="1128" t="s">
        <v>14</v>
      </c>
      <c r="CR2" s="1129"/>
      <c r="CS2" s="659"/>
      <c r="CT2" s="1128" t="s">
        <v>15</v>
      </c>
      <c r="CU2" s="1129"/>
      <c r="CZ2" s="1128" t="s">
        <v>14</v>
      </c>
      <c r="DA2" s="1129"/>
      <c r="DB2" s="659"/>
      <c r="DC2" s="1128" t="s">
        <v>15</v>
      </c>
      <c r="DD2" s="1129"/>
      <c r="DI2" s="1128" t="s">
        <v>14</v>
      </c>
      <c r="DJ2" s="1129"/>
      <c r="DK2" s="659"/>
      <c r="DL2" s="1128" t="s">
        <v>15</v>
      </c>
      <c r="DM2" s="1129"/>
    </row>
    <row r="3" spans="1:123" s="666" customFormat="1" ht="15.5">
      <c r="C3" s="667" t="s">
        <v>16</v>
      </c>
      <c r="I3" s="668"/>
      <c r="J3" s="668"/>
      <c r="K3" s="903"/>
      <c r="L3" s="903"/>
      <c r="N3" s="669" t="s">
        <v>17</v>
      </c>
      <c r="O3" s="670" t="s">
        <v>18</v>
      </c>
      <c r="P3" s="656"/>
      <c r="Q3" s="669" t="s">
        <v>17</v>
      </c>
      <c r="R3" s="670" t="s">
        <v>18</v>
      </c>
      <c r="W3" s="669" t="s">
        <v>17</v>
      </c>
      <c r="X3" s="670" t="s">
        <v>18</v>
      </c>
      <c r="Y3" s="659"/>
      <c r="Z3" s="669" t="s">
        <v>17</v>
      </c>
      <c r="AA3" s="670" t="s">
        <v>18</v>
      </c>
      <c r="AF3" s="669" t="s">
        <v>17</v>
      </c>
      <c r="AG3" s="670" t="s">
        <v>18</v>
      </c>
      <c r="AH3" s="659"/>
      <c r="AI3" s="669" t="s">
        <v>17</v>
      </c>
      <c r="AJ3" s="670" t="s">
        <v>18</v>
      </c>
      <c r="AO3" s="669" t="s">
        <v>17</v>
      </c>
      <c r="AP3" s="670" t="s">
        <v>18</v>
      </c>
      <c r="AQ3" s="659"/>
      <c r="AR3" s="669" t="s">
        <v>17</v>
      </c>
      <c r="AS3" s="670" t="s">
        <v>18</v>
      </c>
      <c r="AX3" s="671" t="s">
        <v>17</v>
      </c>
      <c r="AY3" s="670" t="s">
        <v>18</v>
      </c>
      <c r="AZ3" s="659"/>
      <c r="BA3" s="671" t="s">
        <v>17</v>
      </c>
      <c r="BB3" s="670" t="s">
        <v>18</v>
      </c>
      <c r="BG3" s="671" t="s">
        <v>17</v>
      </c>
      <c r="BH3" s="670" t="s">
        <v>18</v>
      </c>
      <c r="BI3" s="659"/>
      <c r="BJ3" s="671" t="s">
        <v>17</v>
      </c>
      <c r="BK3" s="670" t="s">
        <v>18</v>
      </c>
      <c r="BP3" s="671" t="s">
        <v>17</v>
      </c>
      <c r="BQ3" s="670" t="s">
        <v>18</v>
      </c>
      <c r="BR3" s="659"/>
      <c r="BS3" s="671" t="s">
        <v>17</v>
      </c>
      <c r="BT3" s="670" t="s">
        <v>18</v>
      </c>
      <c r="BY3" s="671" t="s">
        <v>17</v>
      </c>
      <c r="BZ3" s="670" t="s">
        <v>18</v>
      </c>
      <c r="CA3" s="659"/>
      <c r="CB3" s="671" t="s">
        <v>17</v>
      </c>
      <c r="CC3" s="670" t="s">
        <v>18</v>
      </c>
      <c r="CH3" s="671" t="s">
        <v>17</v>
      </c>
      <c r="CI3" s="670" t="s">
        <v>18</v>
      </c>
      <c r="CJ3" s="659"/>
      <c r="CK3" s="671" t="s">
        <v>17</v>
      </c>
      <c r="CL3" s="670" t="s">
        <v>18</v>
      </c>
      <c r="CQ3" s="671" t="s">
        <v>17</v>
      </c>
      <c r="CR3" s="670" t="s">
        <v>18</v>
      </c>
      <c r="CS3" s="659"/>
      <c r="CT3" s="671" t="s">
        <v>17</v>
      </c>
      <c r="CU3" s="670" t="s">
        <v>18</v>
      </c>
      <c r="CZ3" s="671" t="s">
        <v>17</v>
      </c>
      <c r="DA3" s="670" t="s">
        <v>18</v>
      </c>
      <c r="DB3" s="659"/>
      <c r="DC3" s="671" t="s">
        <v>17</v>
      </c>
      <c r="DD3" s="670" t="s">
        <v>18</v>
      </c>
      <c r="DI3" s="671" t="s">
        <v>17</v>
      </c>
      <c r="DJ3" s="670" t="s">
        <v>18</v>
      </c>
      <c r="DK3" s="659"/>
      <c r="DL3" s="671" t="s">
        <v>17</v>
      </c>
      <c r="DM3" s="670" t="s">
        <v>18</v>
      </c>
    </row>
    <row r="4" spans="1:123" s="666" customFormat="1" ht="15.5">
      <c r="C4" s="667" t="s">
        <v>19</v>
      </c>
      <c r="J4" s="666" t="s">
        <v>20</v>
      </c>
      <c r="K4" s="904"/>
      <c r="L4" s="904"/>
      <c r="N4" s="672">
        <f>'Inline Rates'!J3</f>
        <v>12056</v>
      </c>
      <c r="O4" s="673">
        <f>+'Inline Rates'!J14</f>
        <v>63153</v>
      </c>
      <c r="P4" s="656"/>
      <c r="Q4" s="674">
        <f>'Inline Rates'!K3</f>
        <v>12056</v>
      </c>
      <c r="R4" s="673">
        <f>+O4</f>
        <v>63153</v>
      </c>
      <c r="W4" s="672">
        <f>+'Inline Rates'!P3</f>
        <v>12056</v>
      </c>
      <c r="X4" s="673">
        <f>+'Inline Rates'!P14</f>
        <v>63153</v>
      </c>
      <c r="Y4" s="659"/>
      <c r="Z4" s="672">
        <f>+'Inline Rates'!Q3/2</f>
        <v>12056</v>
      </c>
      <c r="AA4" s="673">
        <f>('Inline Rates'!P18)/2</f>
        <v>63153</v>
      </c>
      <c r="AF4" s="672">
        <f>+'Inline Rates'!V3</f>
        <v>12056</v>
      </c>
      <c r="AG4" s="673">
        <f>+'Inline Rates'!V14</f>
        <v>63153</v>
      </c>
      <c r="AH4" s="659"/>
      <c r="AI4" s="674">
        <f>+'Inline Rates'!W3/3</f>
        <v>12056</v>
      </c>
      <c r="AJ4" s="673">
        <f>('Inline Rates'!V18)/3</f>
        <v>63153</v>
      </c>
      <c r="AO4" s="672">
        <f>+'Inline Rates'!AB3</f>
        <v>12056</v>
      </c>
      <c r="AP4" s="673">
        <f>+'Inline Rates'!AB14</f>
        <v>63153</v>
      </c>
      <c r="AQ4" s="659"/>
      <c r="AR4" s="674">
        <f>+'Inline Rates'!AC3/4</f>
        <v>12056</v>
      </c>
      <c r="AS4" s="673">
        <f>('Inline Rates'!AB18)/4</f>
        <v>63153</v>
      </c>
      <c r="AX4" s="672">
        <f>+'Inline Rates'!AH3</f>
        <v>12056</v>
      </c>
      <c r="AY4" s="675">
        <f>+'Inline Rates'!AH14</f>
        <v>63153</v>
      </c>
      <c r="AZ4" s="659"/>
      <c r="BA4" s="672">
        <f>+'Inline Rates'!AI3/5</f>
        <v>12056</v>
      </c>
      <c r="BB4" s="673">
        <f>('Inline Rates'!AH18)/5</f>
        <v>63153</v>
      </c>
      <c r="BG4" s="672">
        <f>+'Inline Rates'!AN3</f>
        <v>12056</v>
      </c>
      <c r="BH4" s="675">
        <f>+'Inline Rates'!AN14</f>
        <v>63153</v>
      </c>
      <c r="BI4" s="659"/>
      <c r="BJ4" s="672">
        <f>+'Inline Rates'!AO3/6</f>
        <v>12056</v>
      </c>
      <c r="BK4" s="673">
        <f>('Inline Rates'!AN18)/6</f>
        <v>63153</v>
      </c>
      <c r="BP4" s="672">
        <f>+'Inline Rates'!AT3</f>
        <v>12056</v>
      </c>
      <c r="BQ4" s="895">
        <f>+'Inline Rates'!AT14</f>
        <v>63153</v>
      </c>
      <c r="BR4" s="659"/>
      <c r="BS4" s="676">
        <f>+'Inline Rates'!AU3/7</f>
        <v>12056</v>
      </c>
      <c r="BT4" s="673">
        <f>('Inline Rates'!AT18)/7</f>
        <v>63153</v>
      </c>
      <c r="BY4" s="672">
        <f>+'Inline Rates'!AZ3</f>
        <v>12056</v>
      </c>
      <c r="BZ4" s="895">
        <f>+'Inline Rates'!AZ14</f>
        <v>63153</v>
      </c>
      <c r="CA4" s="659"/>
      <c r="CB4" s="898">
        <f>+'Inline Rates'!BA3/8</f>
        <v>12056</v>
      </c>
      <c r="CC4" s="673">
        <f>('Inline Rates'!AZ18)/8</f>
        <v>63153</v>
      </c>
      <c r="CH4" s="677">
        <f>+'Inline Rates'!BF3</f>
        <v>12056</v>
      </c>
      <c r="CI4" s="675">
        <f>+'Inline Rates'!BF14</f>
        <v>63153</v>
      </c>
      <c r="CJ4" s="659"/>
      <c r="CK4" s="676">
        <f>+'Inline Rates'!BG3/9</f>
        <v>12056</v>
      </c>
      <c r="CL4" s="673">
        <f>('Inline Rates'!BF18)/9</f>
        <v>63153</v>
      </c>
      <c r="CQ4" s="676">
        <f>+'Inline Rates'!BL3</f>
        <v>12056</v>
      </c>
      <c r="CR4" s="675">
        <f>+'Inline Rates'!BL14</f>
        <v>63153</v>
      </c>
      <c r="CS4" s="659"/>
      <c r="CT4" s="676">
        <f>+'Inline Rates'!BM3/10</f>
        <v>12056</v>
      </c>
      <c r="CU4" s="673">
        <f>('Inline Rates'!BL18)/10</f>
        <v>63153</v>
      </c>
      <c r="CZ4" s="672">
        <f>+'Inline Rates'!BR3</f>
        <v>12056</v>
      </c>
      <c r="DA4" s="673">
        <f>+'Inline Rates'!BR14</f>
        <v>63153</v>
      </c>
      <c r="DB4" s="659"/>
      <c r="DC4" s="676">
        <f>+'Inline Rates'!BS3/11</f>
        <v>12056</v>
      </c>
      <c r="DD4" s="673">
        <f>('Inline Rates'!BR18)/11</f>
        <v>63153</v>
      </c>
      <c r="DI4" s="672">
        <f>+'Inline Rates'!BX3</f>
        <v>12056</v>
      </c>
      <c r="DJ4" s="673">
        <f>+'Inline Rates'!BX14</f>
        <v>63153</v>
      </c>
      <c r="DK4" s="659"/>
      <c r="DL4" s="676">
        <f>+'Inline Rates'!BY3/12</f>
        <v>12056</v>
      </c>
      <c r="DM4" s="673">
        <f>('Inline Rates'!BX18)/12</f>
        <v>63153</v>
      </c>
    </row>
    <row r="5" spans="1:123" s="666" customFormat="1">
      <c r="H5" s="678"/>
      <c r="J5" s="678" t="s">
        <v>21</v>
      </c>
      <c r="K5" s="905"/>
      <c r="L5" s="905"/>
      <c r="N5" s="679">
        <f>'Inline Rates'!J4-N4</f>
        <v>1200</v>
      </c>
      <c r="O5" s="680">
        <f>+'Inline Rates'!K14-O4</f>
        <v>1200</v>
      </c>
      <c r="P5" s="656"/>
      <c r="Q5" s="681">
        <f>'Inline Rates'!K4-Q4</f>
        <v>1200</v>
      </c>
      <c r="R5" s="682">
        <f>+O5</f>
        <v>1200</v>
      </c>
      <c r="W5" s="681">
        <f>'Inline Rates'!P4-W4</f>
        <v>1200</v>
      </c>
      <c r="X5" s="680">
        <f>+'Inline Rates'!Q14-'Min Rent Plan'!X4</f>
        <v>1200</v>
      </c>
      <c r="Y5" s="659"/>
      <c r="Z5" s="681">
        <f>+'Inline Rates'!Q4/2-Z4</f>
        <v>1200</v>
      </c>
      <c r="AA5" s="682">
        <f>(('Inline Rates'!Q18)/2)-AA4</f>
        <v>1200</v>
      </c>
      <c r="AF5" s="681">
        <f>'Inline Rates'!V4-AF4</f>
        <v>1200</v>
      </c>
      <c r="AG5" s="680">
        <f>+'Inline Rates'!W14-AG4</f>
        <v>1200</v>
      </c>
      <c r="AH5" s="659"/>
      <c r="AI5" s="681">
        <f>+'Inline Rates'!W4/3-AI4</f>
        <v>1200</v>
      </c>
      <c r="AJ5" s="682">
        <f>(('Inline Rates'!W18)/3)-AJ4</f>
        <v>1200</v>
      </c>
      <c r="AO5" s="679">
        <f>+'Inline Rates'!AB4-AO4</f>
        <v>1200</v>
      </c>
      <c r="AP5" s="680">
        <f>+'Inline Rates'!AC14-AP4</f>
        <v>1200</v>
      </c>
      <c r="AQ5" s="659"/>
      <c r="AR5" s="681">
        <f>+'Inline Rates'!AC4/4-AR4</f>
        <v>1200</v>
      </c>
      <c r="AS5" s="682">
        <f>(('Inline Rates'!AC18)/4)-AS4</f>
        <v>1200</v>
      </c>
      <c r="AX5" s="679">
        <f>+'Inline Rates'!AH4-AX4</f>
        <v>1200</v>
      </c>
      <c r="AY5" s="683">
        <f>+'Inline Rates'!AI14-AY4</f>
        <v>1200</v>
      </c>
      <c r="AZ5" s="659"/>
      <c r="BA5" s="679">
        <f>+'Inline Rates'!AI4/5-BA4</f>
        <v>1200</v>
      </c>
      <c r="BB5" s="682">
        <f>(('Inline Rates'!AI18)/5)-BB4</f>
        <v>1200</v>
      </c>
      <c r="BG5" s="679">
        <f>+'Inline Rates'!AN4-BG4</f>
        <v>1200</v>
      </c>
      <c r="BH5" s="683">
        <f>+'Inline Rates'!AO14-BH4</f>
        <v>1200</v>
      </c>
      <c r="BI5" s="659"/>
      <c r="BJ5" s="679">
        <f>+'Inline Rates'!AO4/6-BJ4</f>
        <v>1200</v>
      </c>
      <c r="BK5" s="682">
        <f>(('Inline Rates'!AO18)/6)-BK4</f>
        <v>1200</v>
      </c>
      <c r="BP5" s="679">
        <f>+'Inline Rates'!AT4-BP4</f>
        <v>1200</v>
      </c>
      <c r="BQ5" s="896">
        <f>+'Inline Rates'!AU14-BQ4</f>
        <v>1200</v>
      </c>
      <c r="BR5" s="659"/>
      <c r="BS5" s="684">
        <f>+'Inline Rates'!AU4/7-BS4</f>
        <v>1200</v>
      </c>
      <c r="BT5" s="682">
        <f>(('Inline Rates'!AU18)/7)-BT4</f>
        <v>1200</v>
      </c>
      <c r="BY5" s="679">
        <f>+'Inline Rates'!AZ4-BY4</f>
        <v>1200</v>
      </c>
      <c r="BZ5" s="896">
        <f>+'Inline Rates'!BA14-BZ4</f>
        <v>1200</v>
      </c>
      <c r="CA5" s="659"/>
      <c r="CB5" s="899">
        <f>+'Inline Rates'!BA4/8-CB4</f>
        <v>1200</v>
      </c>
      <c r="CC5" s="897">
        <f>(('Inline Rates'!BA18)/8)-CC4</f>
        <v>1200</v>
      </c>
      <c r="CH5" s="685">
        <f>+'Inline Rates'!BF4-CH4</f>
        <v>1200</v>
      </c>
      <c r="CI5" s="683">
        <f>+'Inline Rates'!BG14-CI4</f>
        <v>1200</v>
      </c>
      <c r="CJ5" s="659"/>
      <c r="CK5" s="684">
        <f>+'Inline Rates'!BG4/9-CK4</f>
        <v>1200</v>
      </c>
      <c r="CL5" s="682">
        <f>(('Inline Rates'!BG18)/9)-CL4</f>
        <v>1200</v>
      </c>
      <c r="CQ5" s="684">
        <f>+'Inline Rates'!BL4-CQ4</f>
        <v>1200</v>
      </c>
      <c r="CR5" s="683">
        <f>+'Inline Rates'!BM14-CR4</f>
        <v>1200</v>
      </c>
      <c r="CS5" s="659"/>
      <c r="CT5" s="900">
        <f>+'Inline Rates'!BM4/10-'Min Rent Plan'!CT4</f>
        <v>1200</v>
      </c>
      <c r="CU5" s="897">
        <f>(('Inline Rates'!BM18)/10)-CU4</f>
        <v>1200</v>
      </c>
      <c r="CZ5" s="679">
        <f>+'Inline Rates'!BR4-CZ4</f>
        <v>1200</v>
      </c>
      <c r="DA5" s="896">
        <f>+'Inline Rates'!BS14-DA4</f>
        <v>1200</v>
      </c>
      <c r="DB5" s="659"/>
      <c r="DC5" s="684">
        <f>+'Inline Rates'!BS4/11-DC4</f>
        <v>1200</v>
      </c>
      <c r="DD5" s="682">
        <f>(('Inline Rates'!BS18)/11)-DD4</f>
        <v>1200</v>
      </c>
      <c r="DI5" s="679">
        <f>+'Inline Rates'!BX4-DI4</f>
        <v>1200</v>
      </c>
      <c r="DJ5" s="682">
        <f>+'Inline Rates'!BY14-DJ4</f>
        <v>1200</v>
      </c>
      <c r="DK5" s="659"/>
      <c r="DL5" s="684">
        <f>+'Inline Rates'!BY4/12-DL4</f>
        <v>1200</v>
      </c>
      <c r="DM5" s="682">
        <f>(('Inline Rates'!BY18)/12)-DM4</f>
        <v>1200</v>
      </c>
    </row>
    <row r="6" spans="1:123" s="686" customFormat="1" ht="13">
      <c r="H6" s="687"/>
      <c r="J6" s="687" t="s">
        <v>22</v>
      </c>
      <c r="K6" s="906"/>
      <c r="L6" s="906"/>
      <c r="N6" s="688">
        <f>SUM(N4:N5)</f>
        <v>13256</v>
      </c>
      <c r="O6" s="689">
        <f>SUM(O4:O5)</f>
        <v>64353</v>
      </c>
      <c r="P6" s="656"/>
      <c r="Q6" s="690">
        <f>SUM(Q4:Q5)</f>
        <v>13256</v>
      </c>
      <c r="R6" s="689">
        <f>SUM(R4:R5)</f>
        <v>64353</v>
      </c>
      <c r="W6" s="690">
        <f>SUM(W4:W5)</f>
        <v>13256</v>
      </c>
      <c r="X6" s="689">
        <f>SUM(X4:X5)</f>
        <v>64353</v>
      </c>
      <c r="Y6" s="659"/>
      <c r="Z6" s="690">
        <f>SUM(Z4:Z5)</f>
        <v>13256</v>
      </c>
      <c r="AA6" s="689">
        <f>SUM(AA4:AA5)</f>
        <v>64353</v>
      </c>
      <c r="AF6" s="690">
        <f>SUM(AF4:AF5)</f>
        <v>13256</v>
      </c>
      <c r="AG6" s="689">
        <f>SUM(AG4:AG5)</f>
        <v>64353</v>
      </c>
      <c r="AH6" s="659"/>
      <c r="AI6" s="690">
        <f>SUM(AI4:AI5)</f>
        <v>13256</v>
      </c>
      <c r="AJ6" s="693">
        <f>SUM(AJ4:AJ5)</f>
        <v>64353</v>
      </c>
      <c r="AO6" s="690">
        <f>SUM(AO4:AO5)</f>
        <v>13256</v>
      </c>
      <c r="AP6" s="689">
        <f>SUM(AP4:AP5)</f>
        <v>64353</v>
      </c>
      <c r="AQ6" s="659"/>
      <c r="AR6" s="690">
        <f>SUM(AR4:AR5)</f>
        <v>13256</v>
      </c>
      <c r="AS6" s="689">
        <f>SUM(AS4:AS5)</f>
        <v>64353</v>
      </c>
      <c r="AX6" s="690">
        <f>SUM(AX4:AX5)</f>
        <v>13256</v>
      </c>
      <c r="AY6" s="691">
        <f>SUM(AY4:AY5)</f>
        <v>64353</v>
      </c>
      <c r="AZ6" s="659"/>
      <c r="BA6" s="690">
        <f>SUM(BA4:BA5)</f>
        <v>13256</v>
      </c>
      <c r="BB6" s="691">
        <f>SUM(BB4:BB5)</f>
        <v>64353</v>
      </c>
      <c r="BG6" s="690">
        <f>SUM(BG4:BG5)</f>
        <v>13256</v>
      </c>
      <c r="BH6" s="691">
        <f>SUM(BH4:BH5)</f>
        <v>64353</v>
      </c>
      <c r="BI6" s="659"/>
      <c r="BJ6" s="690">
        <f>SUM(BJ4:BJ5)</f>
        <v>13256</v>
      </c>
      <c r="BK6" s="691">
        <f>SUM(BK4:BK5)</f>
        <v>64353</v>
      </c>
      <c r="BP6" s="690">
        <f>SUM(BP4:BP5)</f>
        <v>13256</v>
      </c>
      <c r="BQ6" s="693">
        <f>SUM(BQ4:BQ5)</f>
        <v>64353</v>
      </c>
      <c r="BR6" s="659"/>
      <c r="BS6" s="690">
        <f>SUM(BS4:BS5)</f>
        <v>13256</v>
      </c>
      <c r="BT6" s="693">
        <f>SUM(BT4:BT5)</f>
        <v>64353</v>
      </c>
      <c r="BY6" s="690">
        <f>SUM(BY4:BY5)</f>
        <v>13256</v>
      </c>
      <c r="BZ6" s="693">
        <f>SUM(BZ4:BZ5)</f>
        <v>64353</v>
      </c>
      <c r="CA6" s="659"/>
      <c r="CB6" s="690">
        <f>SUM(CB4:CB5)</f>
        <v>13256</v>
      </c>
      <c r="CC6" s="693">
        <f>SUM(CC4:CC5)</f>
        <v>64353</v>
      </c>
      <c r="CH6" s="692">
        <f>SUM(CH4:CH5)</f>
        <v>13256</v>
      </c>
      <c r="CI6" s="691">
        <f>SUM(CI4:CI5)</f>
        <v>64353</v>
      </c>
      <c r="CJ6" s="659"/>
      <c r="CK6" s="690">
        <f>SUM(CK4:CK5)</f>
        <v>13256</v>
      </c>
      <c r="CL6" s="691">
        <f>SUM(CL4:CL5)</f>
        <v>64353</v>
      </c>
      <c r="CQ6" s="690">
        <f>SUM(CQ4:CQ5)</f>
        <v>13256</v>
      </c>
      <c r="CR6" s="691">
        <f>SUM(CR4:CR5)</f>
        <v>64353</v>
      </c>
      <c r="CS6" s="659"/>
      <c r="CT6" s="690">
        <f>SUM(CT4:CT5)</f>
        <v>13256</v>
      </c>
      <c r="CU6" s="693">
        <f>SUM(CU4:CU5)</f>
        <v>64353</v>
      </c>
      <c r="CZ6" s="690">
        <f>SUM(CZ4:CZ5)</f>
        <v>13256</v>
      </c>
      <c r="DA6" s="693">
        <f>SUM(DA4:DA5)</f>
        <v>64353</v>
      </c>
      <c r="DB6" s="659"/>
      <c r="DC6" s="690">
        <f>SUM(DC4:DC5)</f>
        <v>13256</v>
      </c>
      <c r="DD6" s="693">
        <f>SUM(DD4:DD5)</f>
        <v>64353</v>
      </c>
      <c r="DI6" s="690">
        <f>SUM(DI4:DI5)</f>
        <v>13256</v>
      </c>
      <c r="DJ6" s="693">
        <f>SUM(DJ4:DJ5)</f>
        <v>64353</v>
      </c>
      <c r="DK6" s="659"/>
      <c r="DL6" s="690">
        <f>SUM(DL4:DL5)</f>
        <v>13256</v>
      </c>
      <c r="DM6" s="693">
        <f>SUM(DM4:DM5)</f>
        <v>64353</v>
      </c>
    </row>
    <row r="7" spans="1:123" s="694" customFormat="1" ht="13">
      <c r="I7" s="695" t="s">
        <v>23</v>
      </c>
      <c r="J7" s="696" t="s">
        <v>24</v>
      </c>
      <c r="K7" s="907"/>
      <c r="L7" s="907"/>
      <c r="M7" s="695"/>
      <c r="N7" s="697">
        <f>+N4/N6</f>
        <v>0.90947495473747741</v>
      </c>
      <c r="O7" s="698">
        <f>+O4/O6</f>
        <v>0.98135285068295186</v>
      </c>
      <c r="P7" s="656"/>
      <c r="Q7" s="697">
        <f>+Q4/Q6</f>
        <v>0.90947495473747741</v>
      </c>
      <c r="R7" s="698">
        <f>+R4/R6</f>
        <v>0.98135285068295186</v>
      </c>
      <c r="W7" s="697">
        <f>+W4/W6</f>
        <v>0.90947495473747741</v>
      </c>
      <c r="X7" s="698">
        <f>+X4/X6</f>
        <v>0.98135285068295186</v>
      </c>
      <c r="Y7" s="699"/>
      <c r="Z7" s="697">
        <f>+Z4/Z6</f>
        <v>0.90947495473747741</v>
      </c>
      <c r="AA7" s="698">
        <f>+AA4/AA6</f>
        <v>0.98135285068295186</v>
      </c>
      <c r="AF7" s="697">
        <f>+AF4/AF6</f>
        <v>0.90947495473747741</v>
      </c>
      <c r="AG7" s="698">
        <f>+AG4/AG6</f>
        <v>0.98135285068295186</v>
      </c>
      <c r="AH7" s="699"/>
      <c r="AI7" s="697">
        <f>+AI4/AI6</f>
        <v>0.90947495473747741</v>
      </c>
      <c r="AJ7" s="698">
        <f>+AJ4/AJ6</f>
        <v>0.98135285068295186</v>
      </c>
      <c r="AO7" s="697">
        <f>+AO4/AO6</f>
        <v>0.90947495473747741</v>
      </c>
      <c r="AP7" s="698">
        <f>+AP4/AP6</f>
        <v>0.98135285068295186</v>
      </c>
      <c r="AQ7" s="699"/>
      <c r="AR7" s="697">
        <f>+AR4/AR6</f>
        <v>0.90947495473747741</v>
      </c>
      <c r="AS7" s="698">
        <f>+AS4/AS6</f>
        <v>0.98135285068295186</v>
      </c>
      <c r="AX7" s="697">
        <f>+AX4/AX6</f>
        <v>0.90947495473747741</v>
      </c>
      <c r="AY7" s="700">
        <f>+AY4/AY6</f>
        <v>0.98135285068295186</v>
      </c>
      <c r="AZ7" s="699"/>
      <c r="BA7" s="697">
        <f>+BA4/BA6</f>
        <v>0.90947495473747741</v>
      </c>
      <c r="BB7" s="700">
        <f>+BB4/BB6</f>
        <v>0.98135285068295186</v>
      </c>
      <c r="BG7" s="697">
        <f>+BG4/BG6</f>
        <v>0.90947495473747741</v>
      </c>
      <c r="BH7" s="700">
        <f>+BH4/BH6</f>
        <v>0.98135285068295186</v>
      </c>
      <c r="BI7" s="699"/>
      <c r="BJ7" s="697">
        <f>+BJ4/BJ6</f>
        <v>0.90947495473747741</v>
      </c>
      <c r="BK7" s="700">
        <f>+BK4/BK6</f>
        <v>0.98135285068295186</v>
      </c>
      <c r="BP7" s="697">
        <f>+BP4/BP6</f>
        <v>0.90947495473747741</v>
      </c>
      <c r="BQ7" s="698">
        <f>+BQ4/BQ6</f>
        <v>0.98135285068295186</v>
      </c>
      <c r="BR7" s="699"/>
      <c r="BS7" s="697">
        <f>+BS4/BS6</f>
        <v>0.90947495473747741</v>
      </c>
      <c r="BT7" s="698">
        <f>+BT4/BT6</f>
        <v>0.98135285068295186</v>
      </c>
      <c r="BY7" s="697">
        <f>+BY4/BY6</f>
        <v>0.90947495473747741</v>
      </c>
      <c r="BZ7" s="698">
        <f>+BZ4/BZ6</f>
        <v>0.98135285068295186</v>
      </c>
      <c r="CA7" s="699"/>
      <c r="CB7" s="697">
        <f>+CB4/CB6</f>
        <v>0.90947495473747741</v>
      </c>
      <c r="CC7" s="698">
        <f>+CC4/CC6</f>
        <v>0.98135285068295186</v>
      </c>
      <c r="CH7" s="697">
        <f>+CH4/CH6</f>
        <v>0.90947495473747741</v>
      </c>
      <c r="CI7" s="698">
        <f>+CI4/CI6</f>
        <v>0.98135285068295186</v>
      </c>
      <c r="CJ7" s="699"/>
      <c r="CK7" s="697">
        <f>+CK4/CK6</f>
        <v>0.90947495473747741</v>
      </c>
      <c r="CL7" s="698">
        <f>+CL4/CL6</f>
        <v>0.98135285068295186</v>
      </c>
      <c r="CQ7" s="697">
        <f>+CQ4/CQ6</f>
        <v>0.90947495473747741</v>
      </c>
      <c r="CR7" s="698">
        <f>+CR4/CR6</f>
        <v>0.98135285068295186</v>
      </c>
      <c r="CS7" s="699"/>
      <c r="CT7" s="697">
        <f>+CT4/CT6</f>
        <v>0.90947495473747741</v>
      </c>
      <c r="CU7" s="698">
        <f>+CU4/CU6</f>
        <v>0.98135285068295186</v>
      </c>
      <c r="CZ7" s="697">
        <f>+CZ4/CZ6</f>
        <v>0.90947495473747741</v>
      </c>
      <c r="DA7" s="698">
        <f>+DA4/DA6</f>
        <v>0.98135285068295186</v>
      </c>
      <c r="DB7" s="659"/>
      <c r="DC7" s="697">
        <f>+DC4/DC6</f>
        <v>0.90947495473747741</v>
      </c>
      <c r="DD7" s="698">
        <f>+DD4/DD6</f>
        <v>0.98135285068295186</v>
      </c>
      <c r="DI7" s="697">
        <f>+DI4/DI6</f>
        <v>0.90947495473747741</v>
      </c>
      <c r="DJ7" s="698">
        <f>+DJ4/DJ6</f>
        <v>0.98135285068295186</v>
      </c>
      <c r="DK7" s="659"/>
      <c r="DL7" s="697">
        <f>+DL4/DL6</f>
        <v>0.90947495473747741</v>
      </c>
      <c r="DM7" s="698">
        <f>+DM4/DM6</f>
        <v>0.98135285068295186</v>
      </c>
    </row>
    <row r="8" spans="1:123" s="701" customFormat="1" ht="13.5" thickBot="1">
      <c r="F8" s="702"/>
      <c r="G8" s="703"/>
      <c r="H8" s="704"/>
      <c r="I8" s="705"/>
      <c r="J8" s="706" t="s">
        <v>25</v>
      </c>
      <c r="K8" s="908"/>
      <c r="L8" s="908"/>
      <c r="M8" s="705"/>
      <c r="N8" s="707">
        <f>'Inline Rates'!J8</f>
        <v>52.953931751824811</v>
      </c>
      <c r="O8" s="708" t="s">
        <v>26</v>
      </c>
      <c r="P8" s="656"/>
      <c r="Q8" s="709">
        <f>'Inline Rates'!K8</f>
        <v>52.953931751824811</v>
      </c>
      <c r="R8" s="708" t="s">
        <v>26</v>
      </c>
      <c r="W8" s="707">
        <f>+'Inline Rates'!P8</f>
        <v>52.953931751824811</v>
      </c>
      <c r="X8" s="708" t="s">
        <v>26</v>
      </c>
      <c r="Y8" s="659"/>
      <c r="Z8" s="707">
        <f>+'Inline Rates'!Q8</f>
        <v>52.953931751824811</v>
      </c>
      <c r="AA8" s="708" t="s">
        <v>26</v>
      </c>
      <c r="AF8" s="707">
        <f>+'Inline Rates'!V8</f>
        <v>53.17166566025216</v>
      </c>
      <c r="AG8" s="708" t="s">
        <v>26</v>
      </c>
      <c r="AH8" s="659"/>
      <c r="AI8" s="707">
        <f>+'Inline Rates'!W8</f>
        <v>53.026509721300599</v>
      </c>
      <c r="AJ8" s="708" t="s">
        <v>26</v>
      </c>
      <c r="AO8" s="707">
        <f>+'Inline Rates'!AB8</f>
        <v>53.17166566025216</v>
      </c>
      <c r="AP8" s="708" t="s">
        <v>26</v>
      </c>
      <c r="AQ8" s="659"/>
      <c r="AR8" s="709">
        <f>+'Inline Rates'!AC8</f>
        <v>53.062798706038485</v>
      </c>
      <c r="AS8" s="708" t="s">
        <v>26</v>
      </c>
      <c r="AX8" s="707">
        <f>+'Inline Rates'!AH8</f>
        <v>49.305955640345061</v>
      </c>
      <c r="AY8" s="708" t="s">
        <v>26</v>
      </c>
      <c r="AZ8" s="659"/>
      <c r="BA8" s="707">
        <f>+'Inline Rates'!AI8</f>
        <v>49.667418812209689</v>
      </c>
      <c r="BB8" s="708" t="s">
        <v>26</v>
      </c>
      <c r="BG8" s="707">
        <f>+'Inline Rates'!AN8</f>
        <v>48.775351791639018</v>
      </c>
      <c r="BH8" s="708" t="s">
        <v>26</v>
      </c>
      <c r="BI8" s="659"/>
      <c r="BJ8" s="707">
        <f>+'Inline Rates'!AO8</f>
        <v>51.943863735899136</v>
      </c>
      <c r="BK8" s="708" t="s">
        <v>26</v>
      </c>
      <c r="BP8" s="707">
        <f>+'Inline Rates'!AT8</f>
        <v>54.436811645653606</v>
      </c>
      <c r="BQ8" s="708" t="s">
        <v>26</v>
      </c>
      <c r="BR8" s="659"/>
      <c r="BS8" s="710">
        <f>+'Inline Rates'!AU8</f>
        <v>52.69409859228363</v>
      </c>
      <c r="BT8" s="708" t="s">
        <v>26</v>
      </c>
      <c r="BY8" s="707">
        <f>+'Inline Rates'!AZ8</f>
        <v>54.436811645653606</v>
      </c>
      <c r="BZ8" s="708" t="s">
        <v>26</v>
      </c>
      <c r="CA8" s="659"/>
      <c r="CB8" s="709">
        <f>+'Inline Rates'!BA8</f>
        <v>52.911937723954871</v>
      </c>
      <c r="CC8" s="708" t="s">
        <v>26</v>
      </c>
      <c r="CH8" s="707">
        <f>+'Inline Rates'!BF8</f>
        <v>54.436811645653606</v>
      </c>
      <c r="CI8" s="708" t="s">
        <v>26</v>
      </c>
      <c r="CJ8" s="659"/>
      <c r="CK8" s="709">
        <f>+'Inline Rates'!BG8</f>
        <v>53.081368159699181</v>
      </c>
      <c r="CL8" s="708" t="s">
        <v>26</v>
      </c>
      <c r="CQ8" s="709">
        <f>+'Inline Rates'!BL8</f>
        <v>53.227455308560053</v>
      </c>
      <c r="CR8" s="708" t="s">
        <v>26</v>
      </c>
      <c r="CS8" s="659"/>
      <c r="CT8" s="709">
        <f>+'Inline Rates'!BM8</f>
        <v>52.926258891838089</v>
      </c>
      <c r="CU8" s="708" t="s">
        <v>26</v>
      </c>
      <c r="CZ8" s="707">
        <f>+'Inline Rates'!BR8</f>
        <v>53.227455308560053</v>
      </c>
      <c r="DA8" s="708" t="s">
        <v>26</v>
      </c>
      <c r="DB8" s="659"/>
      <c r="DC8" s="709">
        <f>+'Inline Rates'!BS8</f>
        <v>52.946736239971045</v>
      </c>
      <c r="DD8" s="708" t="s">
        <v>26</v>
      </c>
      <c r="DI8" s="709">
        <f>+'Inline Rates'!BX8</f>
        <v>51.291489814200389</v>
      </c>
      <c r="DJ8" s="708" t="s">
        <v>26</v>
      </c>
      <c r="DK8" s="659"/>
      <c r="DL8" s="709">
        <f>+'Inline Rates'!BY8</f>
        <v>52.256343828798933</v>
      </c>
      <c r="DM8" s="708" t="s">
        <v>26</v>
      </c>
    </row>
    <row r="9" spans="1:123">
      <c r="Y9" s="659"/>
      <c r="AH9" s="659"/>
      <c r="AI9" s="711"/>
      <c r="AQ9" s="659"/>
      <c r="AZ9" s="659"/>
      <c r="BI9" s="659"/>
      <c r="BR9" s="659"/>
      <c r="CA9" s="659"/>
      <c r="CJ9" s="659"/>
      <c r="CK9" s="712"/>
      <c r="CS9" s="659"/>
      <c r="DB9" s="659"/>
      <c r="DK9" s="659"/>
    </row>
    <row r="10" spans="1:123" ht="13" thickBot="1">
      <c r="I10" s="656">
        <v>12</v>
      </c>
      <c r="M10" s="713">
        <v>1</v>
      </c>
      <c r="N10" s="713"/>
      <c r="V10" s="713">
        <v>2</v>
      </c>
      <c r="AE10" s="713">
        <v>3</v>
      </c>
      <c r="AN10" s="713">
        <v>4</v>
      </c>
      <c r="AW10" s="713">
        <v>5</v>
      </c>
      <c r="BF10" s="713">
        <v>6</v>
      </c>
      <c r="BO10" s="713">
        <v>7</v>
      </c>
      <c r="BX10" s="713">
        <v>8</v>
      </c>
      <c r="CG10" s="713">
        <v>9</v>
      </c>
      <c r="CP10" s="713">
        <v>10</v>
      </c>
      <c r="CY10" s="713">
        <v>11</v>
      </c>
      <c r="DH10" s="713">
        <v>12</v>
      </c>
    </row>
    <row r="11" spans="1:123" ht="13">
      <c r="C11" s="1131" t="s">
        <v>27</v>
      </c>
      <c r="D11" s="1132"/>
      <c r="E11" s="1132"/>
      <c r="F11" s="1128" t="s">
        <v>28</v>
      </c>
      <c r="G11" s="1130"/>
      <c r="H11" s="1129"/>
      <c r="I11" s="714"/>
      <c r="K11" s="909" t="s">
        <v>29</v>
      </c>
      <c r="L11" s="909" t="s">
        <v>29</v>
      </c>
      <c r="M11" s="1128" t="s">
        <v>30</v>
      </c>
      <c r="N11" s="1130"/>
      <c r="O11" s="1129"/>
      <c r="Q11" s="1128" t="s">
        <v>31</v>
      </c>
      <c r="R11" s="1130"/>
      <c r="S11" s="1129"/>
      <c r="T11" s="909" t="s">
        <v>32</v>
      </c>
      <c r="U11" s="909" t="s">
        <v>32</v>
      </c>
      <c r="V11" s="1128" t="s">
        <v>33</v>
      </c>
      <c r="W11" s="1130"/>
      <c r="X11" s="1129"/>
      <c r="Z11" s="1128" t="s">
        <v>31</v>
      </c>
      <c r="AA11" s="1130"/>
      <c r="AB11" s="1129"/>
      <c r="AC11" s="909" t="s">
        <v>34</v>
      </c>
      <c r="AD11" s="909" t="s">
        <v>34</v>
      </c>
      <c r="AE11" s="1128" t="s">
        <v>35</v>
      </c>
      <c r="AF11" s="1130"/>
      <c r="AG11" s="1129"/>
      <c r="AI11" s="1128" t="s">
        <v>31</v>
      </c>
      <c r="AJ11" s="1130"/>
      <c r="AK11" s="1129"/>
      <c r="AL11" s="909" t="s">
        <v>36</v>
      </c>
      <c r="AM11" s="909" t="s">
        <v>36</v>
      </c>
      <c r="AN11" s="1128" t="s">
        <v>37</v>
      </c>
      <c r="AO11" s="1130"/>
      <c r="AP11" s="1129"/>
      <c r="AR11" s="1128" t="s">
        <v>31</v>
      </c>
      <c r="AS11" s="1130"/>
      <c r="AT11" s="1129"/>
      <c r="AU11" s="909" t="s">
        <v>38</v>
      </c>
      <c r="AV11" s="909" t="s">
        <v>38</v>
      </c>
      <c r="AW11" s="1128" t="s">
        <v>39</v>
      </c>
      <c r="AX11" s="1130"/>
      <c r="AY11" s="1129"/>
      <c r="BA11" s="1128" t="s">
        <v>31</v>
      </c>
      <c r="BB11" s="1130"/>
      <c r="BC11" s="1129"/>
      <c r="BD11" s="909" t="s">
        <v>40</v>
      </c>
      <c r="BE11" s="909" t="s">
        <v>40</v>
      </c>
      <c r="BF11" s="1128" t="s">
        <v>41</v>
      </c>
      <c r="BG11" s="1130"/>
      <c r="BH11" s="1129"/>
      <c r="BJ11" s="1128" t="s">
        <v>31</v>
      </c>
      <c r="BK11" s="1130"/>
      <c r="BL11" s="1129"/>
      <c r="BM11" s="909" t="s">
        <v>42</v>
      </c>
      <c r="BN11" s="909" t="s">
        <v>42</v>
      </c>
      <c r="BO11" s="1128" t="s">
        <v>43</v>
      </c>
      <c r="BP11" s="1130"/>
      <c r="BQ11" s="1129"/>
      <c r="BS11" s="1128" t="s">
        <v>31</v>
      </c>
      <c r="BT11" s="1130"/>
      <c r="BU11" s="1129"/>
      <c r="BV11" s="909" t="s">
        <v>44</v>
      </c>
      <c r="BW11" s="909" t="s">
        <v>44</v>
      </c>
      <c r="BX11" s="1128" t="s">
        <v>45</v>
      </c>
      <c r="BY11" s="1130"/>
      <c r="BZ11" s="1129"/>
      <c r="CB11" s="1128" t="s">
        <v>31</v>
      </c>
      <c r="CC11" s="1130"/>
      <c r="CD11" s="1129"/>
      <c r="CE11" s="909" t="s">
        <v>46</v>
      </c>
      <c r="CF11" s="909" t="s">
        <v>46</v>
      </c>
      <c r="CG11" s="1128" t="s">
        <v>47</v>
      </c>
      <c r="CH11" s="1130"/>
      <c r="CI11" s="1129"/>
      <c r="CK11" s="1128" t="s">
        <v>31</v>
      </c>
      <c r="CL11" s="1130"/>
      <c r="CM11" s="1129"/>
      <c r="CN11" s="909" t="s">
        <v>48</v>
      </c>
      <c r="CO11" s="909" t="s">
        <v>48</v>
      </c>
      <c r="CP11" s="1128" t="s">
        <v>49</v>
      </c>
      <c r="CQ11" s="1130"/>
      <c r="CR11" s="1129"/>
      <c r="CT11" s="1128" t="s">
        <v>31</v>
      </c>
      <c r="CU11" s="1130"/>
      <c r="CV11" s="1129"/>
      <c r="CW11" s="909" t="s">
        <v>50</v>
      </c>
      <c r="CX11" s="909" t="s">
        <v>50</v>
      </c>
      <c r="CY11" s="1128" t="s">
        <v>51</v>
      </c>
      <c r="CZ11" s="1130"/>
      <c r="DA11" s="1129"/>
      <c r="DC11" s="1128" t="s">
        <v>31</v>
      </c>
      <c r="DD11" s="1130"/>
      <c r="DE11" s="1129"/>
      <c r="DF11" s="909" t="s">
        <v>52</v>
      </c>
      <c r="DG11" s="909" t="s">
        <v>52</v>
      </c>
      <c r="DH11" s="1128" t="s">
        <v>53</v>
      </c>
      <c r="DI11" s="1130"/>
      <c r="DJ11" s="1129"/>
      <c r="DL11" s="1128" t="s">
        <v>31</v>
      </c>
      <c r="DM11" s="1130"/>
      <c r="DN11" s="1129"/>
      <c r="DO11" s="1039" t="s">
        <v>31</v>
      </c>
      <c r="DQ11" s="1131" t="s">
        <v>54</v>
      </c>
      <c r="DR11" s="1132"/>
      <c r="DS11" s="1133"/>
    </row>
    <row r="12" spans="1:123" ht="13.5" thickBot="1">
      <c r="C12" s="715" t="s">
        <v>55</v>
      </c>
      <c r="D12" s="716" t="s">
        <v>56</v>
      </c>
      <c r="E12" s="717" t="s">
        <v>57</v>
      </c>
      <c r="F12" s="718" t="s">
        <v>58</v>
      </c>
      <c r="G12" s="719" t="s">
        <v>59</v>
      </c>
      <c r="H12" s="720" t="s">
        <v>60</v>
      </c>
      <c r="I12" s="721" t="s">
        <v>61</v>
      </c>
      <c r="K12" s="909" t="s">
        <v>62</v>
      </c>
      <c r="L12" s="909" t="s">
        <v>63</v>
      </c>
      <c r="M12" s="715" t="s">
        <v>64</v>
      </c>
      <c r="N12" s="716" t="s">
        <v>65</v>
      </c>
      <c r="O12" s="717" t="s">
        <v>66</v>
      </c>
      <c r="Q12" s="722" t="s">
        <v>64</v>
      </c>
      <c r="R12" s="723" t="s">
        <v>65</v>
      </c>
      <c r="S12" s="717" t="s">
        <v>66</v>
      </c>
      <c r="T12" s="909" t="s">
        <v>62</v>
      </c>
      <c r="U12" s="909" t="s">
        <v>63</v>
      </c>
      <c r="V12" s="722" t="s">
        <v>64</v>
      </c>
      <c r="W12" s="723" t="s">
        <v>65</v>
      </c>
      <c r="X12" s="717" t="s">
        <v>66</v>
      </c>
      <c r="Z12" s="722" t="s">
        <v>64</v>
      </c>
      <c r="AA12" s="723" t="s">
        <v>65</v>
      </c>
      <c r="AB12" s="717" t="s">
        <v>66</v>
      </c>
      <c r="AC12" s="909" t="s">
        <v>62</v>
      </c>
      <c r="AD12" s="909" t="s">
        <v>63</v>
      </c>
      <c r="AE12" s="722" t="s">
        <v>64</v>
      </c>
      <c r="AF12" s="723" t="s">
        <v>65</v>
      </c>
      <c r="AG12" s="717" t="s">
        <v>66</v>
      </c>
      <c r="AI12" s="722" t="s">
        <v>64</v>
      </c>
      <c r="AJ12" s="723" t="s">
        <v>65</v>
      </c>
      <c r="AK12" s="717" t="s">
        <v>66</v>
      </c>
      <c r="AL12" s="909" t="s">
        <v>62</v>
      </c>
      <c r="AM12" s="909" t="s">
        <v>63</v>
      </c>
      <c r="AN12" s="722" t="s">
        <v>64</v>
      </c>
      <c r="AO12" s="723" t="s">
        <v>65</v>
      </c>
      <c r="AP12" s="717" t="s">
        <v>66</v>
      </c>
      <c r="AR12" s="722" t="s">
        <v>64</v>
      </c>
      <c r="AS12" s="723" t="s">
        <v>65</v>
      </c>
      <c r="AT12" s="717" t="s">
        <v>66</v>
      </c>
      <c r="AU12" s="909" t="s">
        <v>62</v>
      </c>
      <c r="AV12" s="909" t="s">
        <v>63</v>
      </c>
      <c r="AW12" s="722" t="s">
        <v>64</v>
      </c>
      <c r="AX12" s="723" t="s">
        <v>65</v>
      </c>
      <c r="AY12" s="717" t="s">
        <v>66</v>
      </c>
      <c r="BA12" s="722" t="s">
        <v>64</v>
      </c>
      <c r="BB12" s="723" t="s">
        <v>65</v>
      </c>
      <c r="BC12" s="717" t="s">
        <v>66</v>
      </c>
      <c r="BD12" s="909" t="s">
        <v>62</v>
      </c>
      <c r="BE12" s="909" t="s">
        <v>63</v>
      </c>
      <c r="BF12" s="722" t="s">
        <v>64</v>
      </c>
      <c r="BG12" s="723" t="s">
        <v>65</v>
      </c>
      <c r="BH12" s="717" t="s">
        <v>66</v>
      </c>
      <c r="BJ12" s="722" t="s">
        <v>64</v>
      </c>
      <c r="BK12" s="723" t="s">
        <v>65</v>
      </c>
      <c r="BL12" s="717" t="s">
        <v>66</v>
      </c>
      <c r="BM12" s="909" t="s">
        <v>62</v>
      </c>
      <c r="BN12" s="909" t="s">
        <v>63</v>
      </c>
      <c r="BO12" s="722" t="s">
        <v>64</v>
      </c>
      <c r="BP12" s="723" t="s">
        <v>65</v>
      </c>
      <c r="BQ12" s="717" t="s">
        <v>66</v>
      </c>
      <c r="BS12" s="722" t="s">
        <v>64</v>
      </c>
      <c r="BT12" s="723" t="s">
        <v>65</v>
      </c>
      <c r="BU12" s="717" t="s">
        <v>66</v>
      </c>
      <c r="BV12" s="909" t="s">
        <v>62</v>
      </c>
      <c r="BW12" s="909" t="s">
        <v>63</v>
      </c>
      <c r="BX12" s="722" t="s">
        <v>64</v>
      </c>
      <c r="BY12" s="723" t="s">
        <v>65</v>
      </c>
      <c r="BZ12" s="717" t="s">
        <v>66</v>
      </c>
      <c r="CB12" s="722" t="s">
        <v>64</v>
      </c>
      <c r="CC12" s="723" t="s">
        <v>65</v>
      </c>
      <c r="CD12" s="717" t="s">
        <v>66</v>
      </c>
      <c r="CE12" s="909" t="s">
        <v>62</v>
      </c>
      <c r="CF12" s="909" t="s">
        <v>63</v>
      </c>
      <c r="CG12" s="722" t="s">
        <v>64</v>
      </c>
      <c r="CH12" s="723" t="s">
        <v>65</v>
      </c>
      <c r="CI12" s="717" t="s">
        <v>66</v>
      </c>
      <c r="CK12" s="722" t="s">
        <v>64</v>
      </c>
      <c r="CL12" s="723" t="s">
        <v>65</v>
      </c>
      <c r="CM12" s="717" t="s">
        <v>66</v>
      </c>
      <c r="CN12" s="909" t="s">
        <v>62</v>
      </c>
      <c r="CO12" s="909" t="s">
        <v>63</v>
      </c>
      <c r="CP12" s="722" t="s">
        <v>64</v>
      </c>
      <c r="CQ12" s="723" t="s">
        <v>65</v>
      </c>
      <c r="CR12" s="717" t="s">
        <v>66</v>
      </c>
      <c r="CT12" s="722" t="s">
        <v>64</v>
      </c>
      <c r="CU12" s="723" t="s">
        <v>65</v>
      </c>
      <c r="CV12" s="717" t="s">
        <v>66</v>
      </c>
      <c r="CW12" s="909" t="s">
        <v>62</v>
      </c>
      <c r="CX12" s="909" t="s">
        <v>63</v>
      </c>
      <c r="CY12" s="722" t="s">
        <v>64</v>
      </c>
      <c r="CZ12" s="723" t="s">
        <v>65</v>
      </c>
      <c r="DA12" s="717" t="s">
        <v>66</v>
      </c>
      <c r="DC12" s="722" t="s">
        <v>64</v>
      </c>
      <c r="DD12" s="723" t="s">
        <v>65</v>
      </c>
      <c r="DE12" s="717" t="s">
        <v>66</v>
      </c>
      <c r="DF12" s="909" t="s">
        <v>62</v>
      </c>
      <c r="DG12" s="909" t="s">
        <v>63</v>
      </c>
      <c r="DH12" s="722" t="s">
        <v>64</v>
      </c>
      <c r="DI12" s="723" t="s">
        <v>65</v>
      </c>
      <c r="DJ12" s="717" t="s">
        <v>66</v>
      </c>
      <c r="DL12" s="722" t="s">
        <v>64</v>
      </c>
      <c r="DM12" s="723" t="s">
        <v>65</v>
      </c>
      <c r="DN12" s="717" t="s">
        <v>66</v>
      </c>
      <c r="DO12" s="724" t="s">
        <v>67</v>
      </c>
      <c r="DQ12" s="722" t="s">
        <v>65</v>
      </c>
      <c r="DR12" s="725" t="s">
        <v>68</v>
      </c>
      <c r="DS12" s="726" t="s">
        <v>67</v>
      </c>
    </row>
    <row r="13" spans="1:123" ht="12.75" customHeight="1">
      <c r="C13" s="727" t="s">
        <v>17</v>
      </c>
      <c r="T13" s="901"/>
      <c r="U13" s="901"/>
      <c r="AC13" s="901"/>
      <c r="AD13" s="901"/>
      <c r="AL13" s="901"/>
      <c r="AM13" s="901"/>
      <c r="AU13" s="901"/>
      <c r="AV13" s="901"/>
      <c r="BD13" s="901"/>
      <c r="BE13" s="901"/>
      <c r="BM13" s="901"/>
      <c r="BN13" s="901"/>
      <c r="BV13" s="901"/>
      <c r="BW13" s="901"/>
      <c r="CE13" s="901"/>
      <c r="CF13" s="901"/>
      <c r="CN13" s="901"/>
      <c r="CO13" s="901"/>
      <c r="CW13" s="901"/>
      <c r="CX13" s="901"/>
      <c r="DF13" s="901"/>
      <c r="DG13" s="901"/>
    </row>
    <row r="14" spans="1:123" s="665" customFormat="1" ht="14.15" customHeight="1">
      <c r="A14" s="665">
        <v>1</v>
      </c>
      <c r="B14" s="220" t="s">
        <v>69</v>
      </c>
      <c r="C14" s="728" t="s">
        <v>70</v>
      </c>
      <c r="D14" s="866">
        <v>32295</v>
      </c>
      <c r="E14" s="866">
        <v>40694</v>
      </c>
      <c r="F14" s="730" t="s">
        <v>71</v>
      </c>
      <c r="G14" s="729" t="s">
        <v>72</v>
      </c>
      <c r="H14" s="731">
        <v>1500</v>
      </c>
      <c r="I14" s="732">
        <f t="shared" ref="I14:I39" si="0">HLOOKUP(I$10,M$10:DI$53,ROW()-9,FALSE)</f>
        <v>11843.75</v>
      </c>
      <c r="J14" s="656"/>
      <c r="K14" s="901">
        <f>IF(ISERROR(VLOOKUP($B14,'MRI Data'!$A:$P,M$10+3,FALSE)),0,VLOOKUP($B14,'MRI Data'!$A:$P,M$10+3,FALSE))</f>
        <v>11388.75</v>
      </c>
      <c r="L14" s="901"/>
      <c r="M14" s="901">
        <f>SUM(K14:L14)</f>
        <v>11388.75</v>
      </c>
      <c r="N14" s="659">
        <v>11389</v>
      </c>
      <c r="O14" s="712">
        <f t="shared" ref="O14:O23" si="1">+M14-N14</f>
        <v>-0.25</v>
      </c>
      <c r="P14" s="656"/>
      <c r="Q14" s="659">
        <f t="shared" ref="Q14:Q23" si="2">+M14</f>
        <v>11388.75</v>
      </c>
      <c r="R14" s="659">
        <f t="shared" ref="R14:R23" si="3">+N14</f>
        <v>11389</v>
      </c>
      <c r="S14" s="712">
        <f t="shared" ref="S14:S28" si="4">O14</f>
        <v>-0.25</v>
      </c>
      <c r="T14" s="901">
        <f>IF(ISERROR(VLOOKUP($B14,'MRI Data'!$A:$P,V$10+3,FALSE)),0,VLOOKUP($B14,'MRI Data'!$A:$P,V$10+3,FALSE))</f>
        <v>11388.75</v>
      </c>
      <c r="U14" s="901"/>
      <c r="V14" s="901">
        <f>SUM(T14:U14)</f>
        <v>11388.75</v>
      </c>
      <c r="W14" s="659">
        <v>11389</v>
      </c>
      <c r="X14" s="712">
        <f t="shared" ref="X14:X23" si="5">+V14-W14</f>
        <v>-0.25</v>
      </c>
      <c r="Y14" s="659"/>
      <c r="Z14" s="712">
        <f t="shared" ref="Z14:Z23" si="6">+Q14+V14</f>
        <v>22777.5</v>
      </c>
      <c r="AA14" s="712">
        <f t="shared" ref="AA14:AA23" si="7">+R14+W14</f>
        <v>22778</v>
      </c>
      <c r="AB14" s="712">
        <f t="shared" ref="AB14:AB23" si="8">+Z14-AA14</f>
        <v>-0.5</v>
      </c>
      <c r="AC14" s="901">
        <f>IF(ISERROR(VLOOKUP($B14,'MRI Data'!$A:$P,AE$10+3,FALSE)),0,VLOOKUP($B14,'MRI Data'!$A:$P,AE$10+3,FALSE))</f>
        <v>11388.75</v>
      </c>
      <c r="AD14" s="901"/>
      <c r="AE14" s="901">
        <f>SUM(AC14:AD14)</f>
        <v>11388.75</v>
      </c>
      <c r="AF14" s="659">
        <v>11389</v>
      </c>
      <c r="AG14" s="712">
        <f t="shared" ref="AG14:AG23" si="9">+AE14-AF14</f>
        <v>-0.25</v>
      </c>
      <c r="AH14" s="659"/>
      <c r="AI14" s="712">
        <f t="shared" ref="AI14:AI23" si="10">+Z14+AE14</f>
        <v>34166.25</v>
      </c>
      <c r="AJ14" s="712">
        <f t="shared" ref="AJ14:AJ23" si="11">+AA14+AF14</f>
        <v>34167</v>
      </c>
      <c r="AK14" s="712">
        <f t="shared" ref="AK14:AK23" si="12">+AI14-AJ14</f>
        <v>-0.75</v>
      </c>
      <c r="AL14" s="901">
        <f>IF(ISERROR(VLOOKUP($B14,'MRI Data'!$A:$P,AN$10+3,FALSE)),0,VLOOKUP($B14,'MRI Data'!$A:$P,AN$10+3,FALSE))</f>
        <v>11388.75</v>
      </c>
      <c r="AM14" s="901"/>
      <c r="AN14" s="901">
        <f>SUM(AL14:AM14)</f>
        <v>11388.75</v>
      </c>
      <c r="AO14" s="659">
        <v>11389</v>
      </c>
      <c r="AP14" s="712">
        <f t="shared" ref="AP14:AP23" si="13">+AN14-AO14</f>
        <v>-0.25</v>
      </c>
      <c r="AQ14" s="659"/>
      <c r="AR14" s="712">
        <f t="shared" ref="AR14:AR23" si="14">+AI14+AN14</f>
        <v>45555</v>
      </c>
      <c r="AS14" s="712">
        <f t="shared" ref="AS14:AS23" si="15">+AJ14+AO14</f>
        <v>45556</v>
      </c>
      <c r="AT14" s="712">
        <f t="shared" ref="AT14:AT23" si="16">+AR14-AS14</f>
        <v>-1</v>
      </c>
      <c r="AU14" s="901">
        <f>IF(ISERROR(VLOOKUP($B14,'MRI Data'!$A:$P,AW$10+3,FALSE)),0,VLOOKUP($B14,'MRI Data'!$A:$P,AW$10+3,FALSE))</f>
        <v>11388.75</v>
      </c>
      <c r="AV14" s="901"/>
      <c r="AW14" s="901">
        <f>SUM(AU14:AV14)</f>
        <v>11388.75</v>
      </c>
      <c r="AX14" s="659">
        <v>11389</v>
      </c>
      <c r="AY14" s="712">
        <f t="shared" ref="AY14:AY23" si="17">+AW14-AX14</f>
        <v>-0.25</v>
      </c>
      <c r="AZ14" s="659"/>
      <c r="BA14" s="712">
        <f t="shared" ref="BA14:BA23" si="18">+AR14+AW14</f>
        <v>56943.75</v>
      </c>
      <c r="BB14" s="712">
        <f t="shared" ref="BB14:BB23" si="19">+AS14+AX14</f>
        <v>56945</v>
      </c>
      <c r="BC14" s="712">
        <f t="shared" ref="BC14:BC23" si="20">+BA14-BB14</f>
        <v>-1.25</v>
      </c>
      <c r="BD14" s="901">
        <f>IF(ISERROR(VLOOKUP($B14,'MRI Data'!$A:$P,BF$10+3,FALSE)),0,VLOOKUP($B14,'MRI Data'!$A:$P,BF$10+3,FALSE))</f>
        <v>11388.75</v>
      </c>
      <c r="BE14" s="901"/>
      <c r="BF14" s="901">
        <f>SUM(BD14:BE14)</f>
        <v>11388.75</v>
      </c>
      <c r="BG14" s="659">
        <v>11389</v>
      </c>
      <c r="BH14" s="712">
        <f t="shared" ref="BH14:BH23" si="21">+BF14-BG14</f>
        <v>-0.25</v>
      </c>
      <c r="BI14" s="659"/>
      <c r="BJ14" s="712">
        <f t="shared" ref="BJ14:BJ23" si="22">+BA14+BF14</f>
        <v>68332.5</v>
      </c>
      <c r="BK14" s="712">
        <f t="shared" ref="BK14:BK23" si="23">+BB14+BG14</f>
        <v>68334</v>
      </c>
      <c r="BL14" s="712">
        <f t="shared" ref="BL14:BL23" si="24">+BJ14-BK14</f>
        <v>-1.5</v>
      </c>
      <c r="BM14" s="901">
        <f>IF(ISERROR(VLOOKUP($B14,'MRI Data'!$A:$P,BO$10+3,FALSE)),0,VLOOKUP($B14,'MRI Data'!$A:$P,BO$10+3,FALSE))</f>
        <v>11388.75</v>
      </c>
      <c r="BN14" s="901"/>
      <c r="BO14" s="901">
        <f>SUM(BM14:BN14)</f>
        <v>11388.75</v>
      </c>
      <c r="BP14" s="659">
        <v>11389</v>
      </c>
      <c r="BQ14" s="712">
        <f t="shared" ref="BQ14:BQ23" si="25">+BO14-BP14</f>
        <v>-0.25</v>
      </c>
      <c r="BR14" s="659"/>
      <c r="BS14" s="712">
        <f t="shared" ref="BS14:BS39" si="26">+BJ14+BO14</f>
        <v>79721.25</v>
      </c>
      <c r="BT14" s="712">
        <f t="shared" ref="BT14:BT39" si="27">+BK14+BP14</f>
        <v>79723</v>
      </c>
      <c r="BU14" s="712">
        <f t="shared" ref="BU14:BU23" si="28">+BS14-BT14</f>
        <v>-1.75</v>
      </c>
      <c r="BV14" s="901">
        <f>IF(ISERROR(VLOOKUP($B14,'MRI Data'!$A:$P,BX$10+3,FALSE)),0,VLOOKUP($B14,'MRI Data'!$A:$P,BX$10+3,FALSE))</f>
        <v>11388.75</v>
      </c>
      <c r="BW14" s="901"/>
      <c r="BX14" s="901">
        <f>SUM(BV14:BW14)</f>
        <v>11388.75</v>
      </c>
      <c r="BY14" s="659">
        <v>11389</v>
      </c>
      <c r="BZ14" s="712">
        <f t="shared" ref="BZ14:BZ23" si="29">+BX14-BY14</f>
        <v>-0.25</v>
      </c>
      <c r="CA14" s="659"/>
      <c r="CB14" s="712">
        <f t="shared" ref="CB14:CB23" si="30">+BS14+BX14</f>
        <v>91110</v>
      </c>
      <c r="CC14" s="712">
        <f t="shared" ref="CC14:CC23" si="31">+BT14+BY14</f>
        <v>91112</v>
      </c>
      <c r="CD14" s="712">
        <f t="shared" ref="CD14:CD23" si="32">+CB14-CC14</f>
        <v>-2</v>
      </c>
      <c r="CE14" s="901">
        <f>IF(ISERROR(VLOOKUP($B14,'MRI Data'!$A:$P,CG$10+3,FALSE)),0,VLOOKUP($B14,'MRI Data'!$A:$P,CG$10+3,FALSE))</f>
        <v>11388.75</v>
      </c>
      <c r="CF14" s="901"/>
      <c r="CG14" s="901">
        <f>SUM(CE14:CF14)</f>
        <v>11388.75</v>
      </c>
      <c r="CH14" s="659">
        <v>11389</v>
      </c>
      <c r="CI14" s="712">
        <f t="shared" ref="CI14:CI23" si="33">+CG14-CH14</f>
        <v>-0.25</v>
      </c>
      <c r="CJ14" s="659"/>
      <c r="CK14" s="712">
        <f t="shared" ref="CK14:CK23" si="34">+CB14+CG14</f>
        <v>102498.75</v>
      </c>
      <c r="CL14" s="712">
        <f t="shared" ref="CL14:CL23" si="35">+CC14+CH14</f>
        <v>102501</v>
      </c>
      <c r="CM14" s="712">
        <f t="shared" ref="CM14:CM23" si="36">+CK14-CL14</f>
        <v>-2.25</v>
      </c>
      <c r="CN14" s="901">
        <f>IF(ISERROR(VLOOKUP($B14,'MRI Data'!$A:$P,CP$10+3,FALSE)),0,VLOOKUP($B14,'MRI Data'!$A:$P,CP$10+3,FALSE))</f>
        <v>11388.75</v>
      </c>
      <c r="CO14" s="901"/>
      <c r="CP14" s="901">
        <f>SUM(CN14:CO14)</f>
        <v>11388.75</v>
      </c>
      <c r="CQ14" s="659">
        <v>11389</v>
      </c>
      <c r="CR14" s="712">
        <f t="shared" ref="CR14:CR23" si="37">+CP14-CQ14</f>
        <v>-0.25</v>
      </c>
      <c r="CS14" s="659"/>
      <c r="CT14" s="712">
        <f t="shared" ref="CT14:CT23" si="38">+CK14+CP14</f>
        <v>113887.5</v>
      </c>
      <c r="CU14" s="712">
        <f t="shared" ref="CU14:CU23" si="39">+CL14+CQ14</f>
        <v>113890</v>
      </c>
      <c r="CV14" s="712">
        <f t="shared" ref="CV14:CV23" si="40">+CT14-CU14</f>
        <v>-2.5</v>
      </c>
      <c r="CW14" s="901">
        <f>IF(ISERROR(VLOOKUP($B14,'MRI Data'!$A:$P,CY$10+3,FALSE)),0,VLOOKUP($B14,'MRI Data'!$A:$P,CY$10+3,FALSE))</f>
        <v>11388.75</v>
      </c>
      <c r="CX14" s="901"/>
      <c r="CY14" s="901">
        <f>SUM(CW14:CX14)</f>
        <v>11388.75</v>
      </c>
      <c r="CZ14" s="659">
        <v>11389</v>
      </c>
      <c r="DA14" s="712">
        <f t="shared" ref="DA14:DA23" si="41">+CY14-CZ14</f>
        <v>-0.25</v>
      </c>
      <c r="DB14" s="659"/>
      <c r="DC14" s="712">
        <f t="shared" ref="DC14:DC23" si="42">+CT14+CY14</f>
        <v>125276.25</v>
      </c>
      <c r="DD14" s="712">
        <f t="shared" ref="DD14:DD23" si="43">+CU14+CZ14</f>
        <v>125279</v>
      </c>
      <c r="DE14" s="712">
        <f t="shared" ref="DE14:DE23" si="44">+DC14-DD14</f>
        <v>-2.75</v>
      </c>
      <c r="DF14" s="901">
        <f>IF(ISERROR(VLOOKUP($B14,'MRI Data'!$A:$P,DH$10+3,FALSE)),0,VLOOKUP($B14,'MRI Data'!$A:$P,DH$10+3,FALSE))</f>
        <v>11843.75</v>
      </c>
      <c r="DG14" s="901"/>
      <c r="DH14" s="901">
        <f>SUM(DF14:DG14)</f>
        <v>11843.75</v>
      </c>
      <c r="DI14" s="659">
        <v>11844</v>
      </c>
      <c r="DJ14" s="712">
        <f t="shared" ref="DJ14:DJ23" si="45">+DH14-DI14</f>
        <v>-0.25</v>
      </c>
      <c r="DK14" s="659"/>
      <c r="DL14" s="712">
        <f t="shared" ref="DL14:DL23" si="46">+DC14+DH14</f>
        <v>137120</v>
      </c>
      <c r="DM14" s="712">
        <f t="shared" ref="DM14:DM23" si="47">+DD14+DI14</f>
        <v>137123</v>
      </c>
      <c r="DN14" s="712">
        <f t="shared" ref="DN14:DN23" si="48">+DL14-DM14</f>
        <v>-3</v>
      </c>
      <c r="DO14" s="733"/>
      <c r="DQ14" s="734">
        <f t="shared" ref="DQ14:DQ23" si="49">+DM14</f>
        <v>137123</v>
      </c>
      <c r="DR14" s="734">
        <v>0</v>
      </c>
      <c r="DS14" s="735"/>
    </row>
    <row r="15" spans="1:123" s="665" customFormat="1" ht="14.15" customHeight="1">
      <c r="A15" s="665">
        <v>2</v>
      </c>
      <c r="B15" s="220" t="s">
        <v>73</v>
      </c>
      <c r="C15" s="728" t="s">
        <v>74</v>
      </c>
      <c r="D15" s="866">
        <v>35223</v>
      </c>
      <c r="E15" s="866">
        <v>40724</v>
      </c>
      <c r="F15" s="730" t="s">
        <v>71</v>
      </c>
      <c r="G15" s="729" t="s">
        <v>75</v>
      </c>
      <c r="H15" s="731">
        <v>1055</v>
      </c>
      <c r="I15" s="732">
        <f t="shared" si="0"/>
        <v>5417.43</v>
      </c>
      <c r="J15" s="656"/>
      <c r="K15" s="901">
        <f>IF(ISERROR(VLOOKUP($B15,'MRI Data'!$A:$P,M$10+3,FALSE)),0,VLOOKUP($B15,'MRI Data'!$A:$P,M$10+3,FALSE))</f>
        <v>5417.43</v>
      </c>
      <c r="L15" s="901"/>
      <c r="M15" s="901">
        <f t="shared" ref="M15:M39" si="50">SUM(K15:L15)</f>
        <v>5417.43</v>
      </c>
      <c r="N15" s="659">
        <v>5417</v>
      </c>
      <c r="O15" s="712">
        <f t="shared" si="1"/>
        <v>0.43000000000029104</v>
      </c>
      <c r="P15" s="656"/>
      <c r="Q15" s="659">
        <f t="shared" si="2"/>
        <v>5417.43</v>
      </c>
      <c r="R15" s="659">
        <f t="shared" si="3"/>
        <v>5417</v>
      </c>
      <c r="S15" s="712">
        <f t="shared" si="4"/>
        <v>0.43000000000029104</v>
      </c>
      <c r="T15" s="901">
        <f>IF(ISERROR(VLOOKUP($B15,'MRI Data'!$A:$P,V$10+3,FALSE)),0,VLOOKUP($B15,'MRI Data'!$A:$P,V$10+3,FALSE))</f>
        <v>5417.43</v>
      </c>
      <c r="U15" s="901"/>
      <c r="V15" s="901">
        <f t="shared" ref="V15:V39" si="51">SUM(T15:U15)</f>
        <v>5417.43</v>
      </c>
      <c r="W15" s="659">
        <v>5417</v>
      </c>
      <c r="X15" s="712">
        <f t="shared" si="5"/>
        <v>0.43000000000029104</v>
      </c>
      <c r="Y15" s="659"/>
      <c r="Z15" s="712">
        <f t="shared" si="6"/>
        <v>10834.86</v>
      </c>
      <c r="AA15" s="712">
        <f t="shared" si="7"/>
        <v>10834</v>
      </c>
      <c r="AB15" s="712">
        <f t="shared" si="8"/>
        <v>0.86000000000058208</v>
      </c>
      <c r="AC15" s="901">
        <f>IF(ISERROR(VLOOKUP($B15,'MRI Data'!$A:$P,AE$10+3,FALSE)),0,VLOOKUP($B15,'MRI Data'!$A:$P,AE$10+3,FALSE))</f>
        <v>5417.43</v>
      </c>
      <c r="AD15" s="901"/>
      <c r="AE15" s="901">
        <f t="shared" ref="AE15:AE39" si="52">SUM(AC15:AD15)</f>
        <v>5417.43</v>
      </c>
      <c r="AF15" s="659">
        <v>5417</v>
      </c>
      <c r="AG15" s="712">
        <f t="shared" si="9"/>
        <v>0.43000000000029104</v>
      </c>
      <c r="AH15" s="659"/>
      <c r="AI15" s="712">
        <f t="shared" si="10"/>
        <v>16252.29</v>
      </c>
      <c r="AJ15" s="712">
        <f t="shared" si="11"/>
        <v>16251</v>
      </c>
      <c r="AK15" s="712">
        <f t="shared" si="12"/>
        <v>1.2900000000008731</v>
      </c>
      <c r="AL15" s="901">
        <f>IF(ISERROR(VLOOKUP($B15,'MRI Data'!$A:$P,AN$10+3,FALSE)),0,VLOOKUP($B15,'MRI Data'!$A:$P,AN$10+3,FALSE))</f>
        <v>5417.43</v>
      </c>
      <c r="AM15" s="901"/>
      <c r="AN15" s="901">
        <f t="shared" ref="AN15:AN39" si="53">SUM(AL15:AM15)</f>
        <v>5417.43</v>
      </c>
      <c r="AO15" s="659">
        <v>5417</v>
      </c>
      <c r="AP15" s="712">
        <f t="shared" si="13"/>
        <v>0.43000000000029104</v>
      </c>
      <c r="AQ15" s="659"/>
      <c r="AR15" s="712">
        <f t="shared" si="14"/>
        <v>21669.72</v>
      </c>
      <c r="AS15" s="712">
        <f t="shared" si="15"/>
        <v>21668</v>
      </c>
      <c r="AT15" s="712">
        <f t="shared" si="16"/>
        <v>1.7200000000011642</v>
      </c>
      <c r="AU15" s="901">
        <f>IF(ISERROR(VLOOKUP($B15,'MRI Data'!$A:$P,AW$10+3,FALSE)),0,VLOOKUP($B15,'MRI Data'!$A:$P,AW$10+3,FALSE))</f>
        <v>5417.43</v>
      </c>
      <c r="AV15" s="901"/>
      <c r="AW15" s="901">
        <f t="shared" ref="AW15:AW39" si="54">SUM(AU15:AV15)</f>
        <v>5417.43</v>
      </c>
      <c r="AX15" s="659">
        <v>5417</v>
      </c>
      <c r="AY15" s="712">
        <f t="shared" si="17"/>
        <v>0.43000000000029104</v>
      </c>
      <c r="AZ15" s="659"/>
      <c r="BA15" s="712">
        <f t="shared" si="18"/>
        <v>27087.15</v>
      </c>
      <c r="BB15" s="712">
        <f t="shared" si="19"/>
        <v>27085</v>
      </c>
      <c r="BC15" s="712">
        <f t="shared" si="20"/>
        <v>2.1500000000014552</v>
      </c>
      <c r="BD15" s="901">
        <f>IF(ISERROR(VLOOKUP($B15,'MRI Data'!$A:$P,BF$10+3,FALSE)),0,VLOOKUP($B15,'MRI Data'!$A:$P,BF$10+3,FALSE))</f>
        <v>5417.43</v>
      </c>
      <c r="BE15" s="901"/>
      <c r="BF15" s="901">
        <f t="shared" ref="BF15:BF39" si="55">SUM(BD15:BE15)</f>
        <v>5417.43</v>
      </c>
      <c r="BG15" s="659">
        <v>5417</v>
      </c>
      <c r="BH15" s="712">
        <f t="shared" si="21"/>
        <v>0.43000000000029104</v>
      </c>
      <c r="BI15" s="659"/>
      <c r="BJ15" s="712">
        <f t="shared" si="22"/>
        <v>32504.58</v>
      </c>
      <c r="BK15" s="712">
        <f t="shared" si="23"/>
        <v>32502</v>
      </c>
      <c r="BL15" s="712">
        <f t="shared" si="24"/>
        <v>2.5800000000017462</v>
      </c>
      <c r="BM15" s="901">
        <f>IF(ISERROR(VLOOKUP($B15,'MRI Data'!$A:$P,BO$10+3,FALSE)),0,VLOOKUP($B15,'MRI Data'!$A:$P,BO$10+3,FALSE))</f>
        <v>5417.43</v>
      </c>
      <c r="BN15" s="901"/>
      <c r="BO15" s="901">
        <f t="shared" ref="BO15:BO39" si="56">SUM(BM15:BN15)</f>
        <v>5417.43</v>
      </c>
      <c r="BP15" s="659">
        <v>5417</v>
      </c>
      <c r="BQ15" s="712">
        <f t="shared" si="25"/>
        <v>0.43000000000029104</v>
      </c>
      <c r="BR15" s="659"/>
      <c r="BS15" s="712">
        <f t="shared" si="26"/>
        <v>37922.01</v>
      </c>
      <c r="BT15" s="712">
        <f t="shared" si="27"/>
        <v>37919</v>
      </c>
      <c r="BU15" s="712">
        <f t="shared" si="28"/>
        <v>3.0100000000020373</v>
      </c>
      <c r="BV15" s="901">
        <f>IF(ISERROR(VLOOKUP($B15,'MRI Data'!$A:$P,BX$10+3,FALSE)),0,VLOOKUP($B15,'MRI Data'!$A:$P,BX$10+3,FALSE))</f>
        <v>5417.43</v>
      </c>
      <c r="BW15" s="901"/>
      <c r="BX15" s="901">
        <f t="shared" ref="BX15:BX39" si="57">SUM(BV15:BW15)</f>
        <v>5417.43</v>
      </c>
      <c r="BY15" s="659">
        <v>5417</v>
      </c>
      <c r="BZ15" s="712">
        <f t="shared" si="29"/>
        <v>0.43000000000029104</v>
      </c>
      <c r="CA15" s="659"/>
      <c r="CB15" s="712">
        <f t="shared" si="30"/>
        <v>43339.44</v>
      </c>
      <c r="CC15" s="712">
        <f t="shared" si="31"/>
        <v>43336</v>
      </c>
      <c r="CD15" s="712">
        <f t="shared" si="32"/>
        <v>3.4400000000023283</v>
      </c>
      <c r="CE15" s="901">
        <f>IF(ISERROR(VLOOKUP($B15,'MRI Data'!$A:$P,CG$10+3,FALSE)),0,VLOOKUP($B15,'MRI Data'!$A:$P,CG$10+3,FALSE))</f>
        <v>5417.43</v>
      </c>
      <c r="CF15" s="901"/>
      <c r="CG15" s="901">
        <f t="shared" ref="CG15:CG39" si="58">SUM(CE15:CF15)</f>
        <v>5417.43</v>
      </c>
      <c r="CH15" s="659">
        <v>5417</v>
      </c>
      <c r="CI15" s="712">
        <f t="shared" si="33"/>
        <v>0.43000000000029104</v>
      </c>
      <c r="CJ15" s="659"/>
      <c r="CK15" s="712">
        <f t="shared" si="34"/>
        <v>48756.87</v>
      </c>
      <c r="CL15" s="712">
        <f t="shared" si="35"/>
        <v>48753</v>
      </c>
      <c r="CM15" s="712">
        <f t="shared" si="36"/>
        <v>3.8700000000026193</v>
      </c>
      <c r="CN15" s="901">
        <f>IF(ISERROR(VLOOKUP($B15,'MRI Data'!$A:$P,CP$10+3,FALSE)),0,VLOOKUP($B15,'MRI Data'!$A:$P,CP$10+3,FALSE))</f>
        <v>5417.43</v>
      </c>
      <c r="CO15" s="901"/>
      <c r="CP15" s="901">
        <f t="shared" ref="CP15:CP39" si="59">SUM(CN15:CO15)</f>
        <v>5417.43</v>
      </c>
      <c r="CQ15" s="659">
        <v>5417</v>
      </c>
      <c r="CR15" s="712">
        <f t="shared" si="37"/>
        <v>0.43000000000029104</v>
      </c>
      <c r="CS15" s="659"/>
      <c r="CT15" s="712">
        <f t="shared" si="38"/>
        <v>54174.3</v>
      </c>
      <c r="CU15" s="712">
        <f t="shared" si="39"/>
        <v>54170</v>
      </c>
      <c r="CV15" s="712">
        <f t="shared" si="40"/>
        <v>4.3000000000029104</v>
      </c>
      <c r="CW15" s="901">
        <f>IF(ISERROR(VLOOKUP($B15,'MRI Data'!$A:$P,CY$10+3,FALSE)),0,VLOOKUP($B15,'MRI Data'!$A:$P,CY$10+3,FALSE))</f>
        <v>5417.43</v>
      </c>
      <c r="CX15" s="901"/>
      <c r="CY15" s="901">
        <f t="shared" ref="CY15:CY39" si="60">SUM(CW15:CX15)</f>
        <v>5417.43</v>
      </c>
      <c r="CZ15" s="659">
        <v>5417</v>
      </c>
      <c r="DA15" s="712">
        <f t="shared" si="41"/>
        <v>0.43000000000029104</v>
      </c>
      <c r="DB15" s="659"/>
      <c r="DC15" s="712">
        <f t="shared" si="42"/>
        <v>59591.73</v>
      </c>
      <c r="DD15" s="712">
        <f t="shared" si="43"/>
        <v>59587</v>
      </c>
      <c r="DE15" s="712">
        <f t="shared" si="44"/>
        <v>4.7300000000032014</v>
      </c>
      <c r="DF15" s="901">
        <f>IF(ISERROR(VLOOKUP($B15,'MRI Data'!$A:$P,DH$10+3,FALSE)),0,VLOOKUP($B15,'MRI Data'!$A:$P,DH$10+3,FALSE))</f>
        <v>5417.43</v>
      </c>
      <c r="DG15" s="901"/>
      <c r="DH15" s="901">
        <f t="shared" ref="DH15:DH39" si="61">SUM(DF15:DG15)</f>
        <v>5417.43</v>
      </c>
      <c r="DI15" s="659">
        <v>5417</v>
      </c>
      <c r="DJ15" s="712">
        <f t="shared" si="45"/>
        <v>0.43000000000029104</v>
      </c>
      <c r="DK15" s="659"/>
      <c r="DL15" s="712">
        <f t="shared" si="46"/>
        <v>65009.16</v>
      </c>
      <c r="DM15" s="712">
        <f t="shared" si="47"/>
        <v>65004</v>
      </c>
      <c r="DN15" s="712">
        <f t="shared" si="48"/>
        <v>5.1600000000034925</v>
      </c>
      <c r="DO15" s="736"/>
      <c r="DP15" s="712"/>
      <c r="DQ15" s="734">
        <f t="shared" si="49"/>
        <v>65004</v>
      </c>
      <c r="DR15" s="734">
        <v>0</v>
      </c>
      <c r="DS15" s="735"/>
    </row>
    <row r="16" spans="1:123" s="665" customFormat="1" ht="14.15" customHeight="1">
      <c r="A16" s="665">
        <v>3</v>
      </c>
      <c r="B16" s="220" t="s">
        <v>76</v>
      </c>
      <c r="C16" s="728" t="s">
        <v>77</v>
      </c>
      <c r="D16" s="866">
        <v>34700</v>
      </c>
      <c r="E16" s="866">
        <v>41820</v>
      </c>
      <c r="F16" s="730" t="s">
        <v>71</v>
      </c>
      <c r="G16" s="729" t="s">
        <v>78</v>
      </c>
      <c r="H16" s="731">
        <v>1320</v>
      </c>
      <c r="I16" s="732">
        <f t="shared" si="0"/>
        <v>6490</v>
      </c>
      <c r="J16" s="656"/>
      <c r="K16" s="901">
        <f>IF(ISERROR(VLOOKUP($B16,'MRI Data'!$A:$P,M$10+3,FALSE)),0,VLOOKUP($B16,'MRI Data'!$A:$P,M$10+3,FALSE))</f>
        <v>6490</v>
      </c>
      <c r="L16" s="901"/>
      <c r="M16" s="901">
        <f t="shared" si="50"/>
        <v>6490</v>
      </c>
      <c r="N16" s="659">
        <v>6490</v>
      </c>
      <c r="O16" s="712">
        <f t="shared" si="1"/>
        <v>0</v>
      </c>
      <c r="P16" s="656"/>
      <c r="Q16" s="659">
        <f t="shared" si="2"/>
        <v>6490</v>
      </c>
      <c r="R16" s="659">
        <f t="shared" si="3"/>
        <v>6490</v>
      </c>
      <c r="S16" s="712">
        <f t="shared" si="4"/>
        <v>0</v>
      </c>
      <c r="T16" s="901">
        <f>IF(ISERROR(VLOOKUP($B16,'MRI Data'!$A:$P,V$10+3,FALSE)),0,VLOOKUP($B16,'MRI Data'!$A:$P,V$10+3,FALSE))</f>
        <v>6490</v>
      </c>
      <c r="U16" s="901"/>
      <c r="V16" s="901">
        <f t="shared" si="51"/>
        <v>6490</v>
      </c>
      <c r="W16" s="659">
        <v>6490</v>
      </c>
      <c r="X16" s="712">
        <f t="shared" si="5"/>
        <v>0</v>
      </c>
      <c r="Y16" s="659"/>
      <c r="Z16" s="712">
        <f t="shared" si="6"/>
        <v>12980</v>
      </c>
      <c r="AA16" s="712">
        <f t="shared" si="7"/>
        <v>12980</v>
      </c>
      <c r="AB16" s="712">
        <f t="shared" si="8"/>
        <v>0</v>
      </c>
      <c r="AC16" s="901">
        <f>IF(ISERROR(VLOOKUP($B16,'MRI Data'!$A:$P,AE$10+3,FALSE)),0,VLOOKUP($B16,'MRI Data'!$A:$P,AE$10+3,FALSE))</f>
        <v>6490</v>
      </c>
      <c r="AD16" s="901"/>
      <c r="AE16" s="901">
        <f t="shared" si="52"/>
        <v>6490</v>
      </c>
      <c r="AF16" s="659">
        <v>6490</v>
      </c>
      <c r="AG16" s="712">
        <f t="shared" si="9"/>
        <v>0</v>
      </c>
      <c r="AH16" s="659"/>
      <c r="AI16" s="712">
        <f t="shared" si="10"/>
        <v>19470</v>
      </c>
      <c r="AJ16" s="712">
        <f t="shared" si="11"/>
        <v>19470</v>
      </c>
      <c r="AK16" s="712">
        <f t="shared" si="12"/>
        <v>0</v>
      </c>
      <c r="AL16" s="901">
        <f>IF(ISERROR(VLOOKUP($B16,'MRI Data'!$A:$P,AN$10+3,FALSE)),0,VLOOKUP($B16,'MRI Data'!$A:$P,AN$10+3,FALSE))</f>
        <v>6490</v>
      </c>
      <c r="AM16" s="901"/>
      <c r="AN16" s="901">
        <f t="shared" si="53"/>
        <v>6490</v>
      </c>
      <c r="AO16" s="659">
        <v>6490</v>
      </c>
      <c r="AP16" s="712">
        <f t="shared" si="13"/>
        <v>0</v>
      </c>
      <c r="AQ16" s="659"/>
      <c r="AR16" s="712">
        <f t="shared" si="14"/>
        <v>25960</v>
      </c>
      <c r="AS16" s="712">
        <f t="shared" si="15"/>
        <v>25960</v>
      </c>
      <c r="AT16" s="712">
        <f t="shared" si="16"/>
        <v>0</v>
      </c>
      <c r="AU16" s="901">
        <f>IF(ISERROR(VLOOKUP($B16,'MRI Data'!$A:$P,AW$10+3,FALSE)),0,VLOOKUP($B16,'MRI Data'!$A:$P,AW$10+3,FALSE))</f>
        <v>6490</v>
      </c>
      <c r="AV16" s="901"/>
      <c r="AW16" s="901">
        <f t="shared" si="54"/>
        <v>6490</v>
      </c>
      <c r="AX16" s="659">
        <v>6490</v>
      </c>
      <c r="AY16" s="712">
        <f t="shared" si="17"/>
        <v>0</v>
      </c>
      <c r="AZ16" s="659"/>
      <c r="BA16" s="712">
        <f t="shared" si="18"/>
        <v>32450</v>
      </c>
      <c r="BB16" s="712">
        <f t="shared" si="19"/>
        <v>32450</v>
      </c>
      <c r="BC16" s="712">
        <f t="shared" si="20"/>
        <v>0</v>
      </c>
      <c r="BD16" s="901">
        <f>IF(ISERROR(VLOOKUP($B16,'MRI Data'!$A:$P,BF$10+3,FALSE)),0,VLOOKUP($B16,'MRI Data'!$A:$P,BF$10+3,FALSE))</f>
        <v>6490</v>
      </c>
      <c r="BE16" s="901"/>
      <c r="BF16" s="901">
        <f t="shared" si="55"/>
        <v>6490</v>
      </c>
      <c r="BG16" s="659">
        <v>6490</v>
      </c>
      <c r="BH16" s="712">
        <f t="shared" si="21"/>
        <v>0</v>
      </c>
      <c r="BI16" s="659"/>
      <c r="BJ16" s="712">
        <f t="shared" si="22"/>
        <v>38940</v>
      </c>
      <c r="BK16" s="712">
        <f t="shared" si="23"/>
        <v>38940</v>
      </c>
      <c r="BL16" s="712">
        <f t="shared" si="24"/>
        <v>0</v>
      </c>
      <c r="BM16" s="901">
        <f>IF(ISERROR(VLOOKUP($B16,'MRI Data'!$A:$P,BO$10+3,FALSE)),0,VLOOKUP($B16,'MRI Data'!$A:$P,BO$10+3,FALSE))</f>
        <v>6490</v>
      </c>
      <c r="BN16" s="901"/>
      <c r="BO16" s="901">
        <f t="shared" si="56"/>
        <v>6490</v>
      </c>
      <c r="BP16" s="659">
        <v>6490</v>
      </c>
      <c r="BQ16" s="712">
        <f t="shared" si="25"/>
        <v>0</v>
      </c>
      <c r="BR16" s="659"/>
      <c r="BS16" s="712">
        <f t="shared" si="26"/>
        <v>45430</v>
      </c>
      <c r="BT16" s="712">
        <f t="shared" si="27"/>
        <v>45430</v>
      </c>
      <c r="BU16" s="712">
        <f t="shared" si="28"/>
        <v>0</v>
      </c>
      <c r="BV16" s="901">
        <f>IF(ISERROR(VLOOKUP($B16,'MRI Data'!$A:$P,BX$10+3,FALSE)),0,VLOOKUP($B16,'MRI Data'!$A:$P,BX$10+3,FALSE))</f>
        <v>6490</v>
      </c>
      <c r="BW16" s="901"/>
      <c r="BX16" s="901">
        <f t="shared" si="57"/>
        <v>6490</v>
      </c>
      <c r="BY16" s="659">
        <v>6490</v>
      </c>
      <c r="BZ16" s="712">
        <f t="shared" si="29"/>
        <v>0</v>
      </c>
      <c r="CA16" s="659"/>
      <c r="CB16" s="712">
        <f t="shared" si="30"/>
        <v>51920</v>
      </c>
      <c r="CC16" s="712">
        <f t="shared" si="31"/>
        <v>51920</v>
      </c>
      <c r="CD16" s="712">
        <f t="shared" si="32"/>
        <v>0</v>
      </c>
      <c r="CE16" s="901">
        <f>IF(ISERROR(VLOOKUP($B16,'MRI Data'!$A:$P,CG$10+3,FALSE)),0,VLOOKUP($B16,'MRI Data'!$A:$P,CG$10+3,FALSE))</f>
        <v>6490</v>
      </c>
      <c r="CF16" s="901"/>
      <c r="CG16" s="901">
        <f t="shared" si="58"/>
        <v>6490</v>
      </c>
      <c r="CH16" s="659">
        <v>6490</v>
      </c>
      <c r="CI16" s="712">
        <f t="shared" si="33"/>
        <v>0</v>
      </c>
      <c r="CJ16" s="659"/>
      <c r="CK16" s="712">
        <f t="shared" si="34"/>
        <v>58410</v>
      </c>
      <c r="CL16" s="712">
        <f t="shared" si="35"/>
        <v>58410</v>
      </c>
      <c r="CM16" s="712">
        <f t="shared" si="36"/>
        <v>0</v>
      </c>
      <c r="CN16" s="901">
        <f>IF(ISERROR(VLOOKUP($B16,'MRI Data'!$A:$P,CP$10+3,FALSE)),0,VLOOKUP($B16,'MRI Data'!$A:$P,CP$10+3,FALSE))</f>
        <v>6490</v>
      </c>
      <c r="CO16" s="901"/>
      <c r="CP16" s="901">
        <f t="shared" si="59"/>
        <v>6490</v>
      </c>
      <c r="CQ16" s="659">
        <v>6490</v>
      </c>
      <c r="CR16" s="712">
        <f t="shared" si="37"/>
        <v>0</v>
      </c>
      <c r="CS16" s="659"/>
      <c r="CT16" s="712">
        <f t="shared" si="38"/>
        <v>64900</v>
      </c>
      <c r="CU16" s="712">
        <f t="shared" si="39"/>
        <v>64900</v>
      </c>
      <c r="CV16" s="712">
        <f t="shared" si="40"/>
        <v>0</v>
      </c>
      <c r="CW16" s="901">
        <f>IF(ISERROR(VLOOKUP($B16,'MRI Data'!$A:$P,CY$10+3,FALSE)),0,VLOOKUP($B16,'MRI Data'!$A:$P,CY$10+3,FALSE))</f>
        <v>6490</v>
      </c>
      <c r="CX16" s="901"/>
      <c r="CY16" s="901">
        <f t="shared" si="60"/>
        <v>6490</v>
      </c>
      <c r="CZ16" s="659">
        <v>6490</v>
      </c>
      <c r="DA16" s="712">
        <f t="shared" si="41"/>
        <v>0</v>
      </c>
      <c r="DB16" s="659"/>
      <c r="DC16" s="712">
        <f t="shared" si="42"/>
        <v>71390</v>
      </c>
      <c r="DD16" s="712">
        <f t="shared" si="43"/>
        <v>71390</v>
      </c>
      <c r="DE16" s="712">
        <f t="shared" si="44"/>
        <v>0</v>
      </c>
      <c r="DF16" s="901">
        <f>IF(ISERROR(VLOOKUP($B16,'MRI Data'!$A:$P,DH$10+3,FALSE)),0,VLOOKUP($B16,'MRI Data'!$A:$P,DH$10+3,FALSE))</f>
        <v>6490</v>
      </c>
      <c r="DG16" s="901"/>
      <c r="DH16" s="901">
        <f t="shared" si="61"/>
        <v>6490</v>
      </c>
      <c r="DI16" s="659">
        <v>6490</v>
      </c>
      <c r="DJ16" s="712">
        <f t="shared" si="45"/>
        <v>0</v>
      </c>
      <c r="DK16" s="659"/>
      <c r="DL16" s="712">
        <f t="shared" si="46"/>
        <v>77880</v>
      </c>
      <c r="DM16" s="712">
        <f t="shared" si="47"/>
        <v>77880</v>
      </c>
      <c r="DN16" s="712">
        <f t="shared" si="48"/>
        <v>0</v>
      </c>
      <c r="DO16" s="737"/>
      <c r="DP16" s="712"/>
      <c r="DQ16" s="734">
        <f t="shared" si="49"/>
        <v>77880</v>
      </c>
      <c r="DR16" s="734">
        <v>0</v>
      </c>
      <c r="DS16" s="735"/>
    </row>
    <row r="17" spans="1:123" s="665" customFormat="1" ht="14.15" customHeight="1">
      <c r="A17" s="665">
        <f t="shared" ref="A17:A23" si="62">+A16+1</f>
        <v>4</v>
      </c>
      <c r="B17" s="220" t="s">
        <v>79</v>
      </c>
      <c r="C17" s="728" t="s">
        <v>80</v>
      </c>
      <c r="D17" s="866">
        <v>35217</v>
      </c>
      <c r="E17" s="866">
        <v>41243</v>
      </c>
      <c r="F17" s="730" t="s">
        <v>71</v>
      </c>
      <c r="G17" s="729" t="s">
        <v>81</v>
      </c>
      <c r="H17" s="731">
        <v>650</v>
      </c>
      <c r="I17" s="732">
        <f t="shared" si="0"/>
        <v>3690.92</v>
      </c>
      <c r="J17" s="656"/>
      <c r="K17" s="901">
        <f>IF(ISERROR(VLOOKUP($B17,'MRI Data'!$A:$P,M$10+3,FALSE)),0,VLOOKUP($B17,'MRI Data'!$A:$P,M$10+3,FALSE))</f>
        <v>3549</v>
      </c>
      <c r="L17" s="901"/>
      <c r="M17" s="901">
        <f t="shared" si="50"/>
        <v>3549</v>
      </c>
      <c r="N17" s="659">
        <v>3549</v>
      </c>
      <c r="O17" s="712">
        <f t="shared" si="1"/>
        <v>0</v>
      </c>
      <c r="P17" s="656"/>
      <c r="Q17" s="659">
        <f t="shared" si="2"/>
        <v>3549</v>
      </c>
      <c r="R17" s="659">
        <f t="shared" si="3"/>
        <v>3549</v>
      </c>
      <c r="S17" s="712">
        <f t="shared" si="4"/>
        <v>0</v>
      </c>
      <c r="T17" s="901">
        <f>IF(ISERROR(VLOOKUP($B17,'MRI Data'!$A:$P,V$10+3,FALSE)),0,VLOOKUP($B17,'MRI Data'!$A:$P,V$10+3,FALSE))</f>
        <v>3549</v>
      </c>
      <c r="U17" s="901"/>
      <c r="V17" s="901">
        <f t="shared" si="51"/>
        <v>3549</v>
      </c>
      <c r="W17" s="659">
        <v>3549</v>
      </c>
      <c r="X17" s="712">
        <f t="shared" si="5"/>
        <v>0</v>
      </c>
      <c r="Y17" s="659"/>
      <c r="Z17" s="712">
        <f t="shared" si="6"/>
        <v>7098</v>
      </c>
      <c r="AA17" s="712">
        <f t="shared" si="7"/>
        <v>7098</v>
      </c>
      <c r="AB17" s="712">
        <f t="shared" si="8"/>
        <v>0</v>
      </c>
      <c r="AC17" s="901">
        <f>IF(ISERROR(VLOOKUP($B17,'MRI Data'!$A:$P,AE$10+3,FALSE)),0,VLOOKUP($B17,'MRI Data'!$A:$P,AE$10+3,FALSE))</f>
        <v>3549</v>
      </c>
      <c r="AD17" s="901"/>
      <c r="AE17" s="901">
        <f t="shared" si="52"/>
        <v>3549</v>
      </c>
      <c r="AF17" s="659">
        <v>3549</v>
      </c>
      <c r="AG17" s="712">
        <f t="shared" si="9"/>
        <v>0</v>
      </c>
      <c r="AH17" s="659"/>
      <c r="AI17" s="712">
        <f t="shared" si="10"/>
        <v>10647</v>
      </c>
      <c r="AJ17" s="712">
        <f t="shared" si="11"/>
        <v>10647</v>
      </c>
      <c r="AK17" s="712">
        <f t="shared" si="12"/>
        <v>0</v>
      </c>
      <c r="AL17" s="901">
        <f>IF(ISERROR(VLOOKUP($B17,'MRI Data'!$A:$P,AN$10+3,FALSE)),0,VLOOKUP($B17,'MRI Data'!$A:$P,AN$10+3,FALSE))</f>
        <v>3549</v>
      </c>
      <c r="AM17" s="901"/>
      <c r="AN17" s="901">
        <f t="shared" si="53"/>
        <v>3549</v>
      </c>
      <c r="AO17" s="659">
        <v>3549</v>
      </c>
      <c r="AP17" s="712">
        <f t="shared" si="13"/>
        <v>0</v>
      </c>
      <c r="AQ17" s="659"/>
      <c r="AR17" s="712">
        <f t="shared" si="14"/>
        <v>14196</v>
      </c>
      <c r="AS17" s="712">
        <f t="shared" si="15"/>
        <v>14196</v>
      </c>
      <c r="AT17" s="712">
        <f t="shared" si="16"/>
        <v>0</v>
      </c>
      <c r="AU17" s="901">
        <f>IF(ISERROR(VLOOKUP($B17,'MRI Data'!$A:$P,AW$10+3,FALSE)),0,VLOOKUP($B17,'MRI Data'!$A:$P,AW$10+3,FALSE))</f>
        <v>3549</v>
      </c>
      <c r="AV17" s="901"/>
      <c r="AW17" s="901">
        <f t="shared" si="54"/>
        <v>3549</v>
      </c>
      <c r="AX17" s="659">
        <v>3549</v>
      </c>
      <c r="AY17" s="712">
        <f t="shared" si="17"/>
        <v>0</v>
      </c>
      <c r="AZ17" s="659"/>
      <c r="BA17" s="712">
        <f t="shared" si="18"/>
        <v>17745</v>
      </c>
      <c r="BB17" s="712">
        <f t="shared" si="19"/>
        <v>17745</v>
      </c>
      <c r="BC17" s="712">
        <f t="shared" si="20"/>
        <v>0</v>
      </c>
      <c r="BD17" s="901">
        <f>IF(ISERROR(VLOOKUP($B17,'MRI Data'!$A:$P,BF$10+3,FALSE)),0,VLOOKUP($B17,'MRI Data'!$A:$P,BF$10+3,FALSE))</f>
        <v>3690.92</v>
      </c>
      <c r="BE17" s="901"/>
      <c r="BF17" s="901">
        <f t="shared" si="55"/>
        <v>3690.92</v>
      </c>
      <c r="BG17" s="659">
        <v>3691</v>
      </c>
      <c r="BH17" s="712">
        <f t="shared" si="21"/>
        <v>-7.999999999992724E-2</v>
      </c>
      <c r="BI17" s="659"/>
      <c r="BJ17" s="712">
        <f t="shared" si="22"/>
        <v>21435.919999999998</v>
      </c>
      <c r="BK17" s="712">
        <f t="shared" si="23"/>
        <v>21436</v>
      </c>
      <c r="BL17" s="712">
        <f t="shared" si="24"/>
        <v>-8.000000000174623E-2</v>
      </c>
      <c r="BM17" s="901">
        <f>IF(ISERROR(VLOOKUP($B17,'MRI Data'!$A:$P,BO$10+3,FALSE)),0,VLOOKUP($B17,'MRI Data'!$A:$P,BO$10+3,FALSE))</f>
        <v>3690.92</v>
      </c>
      <c r="BN17" s="901"/>
      <c r="BO17" s="901">
        <f t="shared" si="56"/>
        <v>3690.92</v>
      </c>
      <c r="BP17" s="659">
        <v>3691</v>
      </c>
      <c r="BQ17" s="712">
        <f t="shared" si="25"/>
        <v>-7.999999999992724E-2</v>
      </c>
      <c r="BR17" s="659"/>
      <c r="BS17" s="712">
        <f t="shared" si="26"/>
        <v>25126.839999999997</v>
      </c>
      <c r="BT17" s="712">
        <f t="shared" si="27"/>
        <v>25127</v>
      </c>
      <c r="BU17" s="712">
        <f t="shared" si="28"/>
        <v>-0.16000000000349246</v>
      </c>
      <c r="BV17" s="901">
        <f>IF(ISERROR(VLOOKUP($B17,'MRI Data'!$A:$P,BX$10+3,FALSE)),0,VLOOKUP($B17,'MRI Data'!$A:$P,BX$10+3,FALSE))</f>
        <v>3690.92</v>
      </c>
      <c r="BW17" s="901"/>
      <c r="BX17" s="901">
        <f t="shared" si="57"/>
        <v>3690.92</v>
      </c>
      <c r="BY17" s="659">
        <v>3691</v>
      </c>
      <c r="BZ17" s="712">
        <f t="shared" si="29"/>
        <v>-7.999999999992724E-2</v>
      </c>
      <c r="CA17" s="659"/>
      <c r="CB17" s="712">
        <f t="shared" si="30"/>
        <v>28817.759999999995</v>
      </c>
      <c r="CC17" s="712">
        <f t="shared" si="31"/>
        <v>28818</v>
      </c>
      <c r="CD17" s="712">
        <f t="shared" si="32"/>
        <v>-0.24000000000523869</v>
      </c>
      <c r="CE17" s="901">
        <f>IF(ISERROR(VLOOKUP($B17,'MRI Data'!$A:$P,CG$10+3,FALSE)),0,VLOOKUP($B17,'MRI Data'!$A:$P,CG$10+3,FALSE))</f>
        <v>3690.92</v>
      </c>
      <c r="CF17" s="901"/>
      <c r="CG17" s="901">
        <f t="shared" si="58"/>
        <v>3690.92</v>
      </c>
      <c r="CH17" s="659">
        <v>3691</v>
      </c>
      <c r="CI17" s="712">
        <f t="shared" si="33"/>
        <v>-7.999999999992724E-2</v>
      </c>
      <c r="CJ17" s="659"/>
      <c r="CK17" s="712">
        <f t="shared" si="34"/>
        <v>32508.679999999993</v>
      </c>
      <c r="CL17" s="712">
        <f t="shared" si="35"/>
        <v>32509</v>
      </c>
      <c r="CM17" s="712">
        <f t="shared" si="36"/>
        <v>-0.32000000000698492</v>
      </c>
      <c r="CN17" s="901">
        <f>IF(ISERROR(VLOOKUP($B17,'MRI Data'!$A:$P,CP$10+3,FALSE)),0,VLOOKUP($B17,'MRI Data'!$A:$P,CP$10+3,FALSE))</f>
        <v>3690.92</v>
      </c>
      <c r="CO17" s="901"/>
      <c r="CP17" s="901">
        <f t="shared" si="59"/>
        <v>3690.92</v>
      </c>
      <c r="CQ17" s="659">
        <v>3691</v>
      </c>
      <c r="CR17" s="712">
        <f t="shared" si="37"/>
        <v>-7.999999999992724E-2</v>
      </c>
      <c r="CS17" s="659"/>
      <c r="CT17" s="712">
        <f t="shared" si="38"/>
        <v>36199.599999999991</v>
      </c>
      <c r="CU17" s="712">
        <f t="shared" si="39"/>
        <v>36200</v>
      </c>
      <c r="CV17" s="712">
        <f t="shared" si="40"/>
        <v>-0.40000000000873115</v>
      </c>
      <c r="CW17" s="901">
        <f>IF(ISERROR(VLOOKUP($B17,'MRI Data'!$A:$P,CY$10+3,FALSE)),0,VLOOKUP($B17,'MRI Data'!$A:$P,CY$10+3,FALSE))</f>
        <v>3690.92</v>
      </c>
      <c r="CX17" s="901"/>
      <c r="CY17" s="901">
        <f t="shared" si="60"/>
        <v>3690.92</v>
      </c>
      <c r="CZ17" s="659">
        <v>3691</v>
      </c>
      <c r="DA17" s="712">
        <f t="shared" si="41"/>
        <v>-7.999999999992724E-2</v>
      </c>
      <c r="DB17" s="659"/>
      <c r="DC17" s="712">
        <f t="shared" si="42"/>
        <v>39890.51999999999</v>
      </c>
      <c r="DD17" s="712">
        <f t="shared" si="43"/>
        <v>39891</v>
      </c>
      <c r="DE17" s="712">
        <f t="shared" si="44"/>
        <v>-0.48000000001047738</v>
      </c>
      <c r="DF17" s="901">
        <f>IF(ISERROR(VLOOKUP($B17,'MRI Data'!$A:$P,DH$10+3,FALSE)),0,VLOOKUP($B17,'MRI Data'!$A:$P,DH$10+3,FALSE))</f>
        <v>3690.92</v>
      </c>
      <c r="DG17" s="901"/>
      <c r="DH17" s="901">
        <f t="shared" si="61"/>
        <v>3690.92</v>
      </c>
      <c r="DI17" s="659">
        <v>3691</v>
      </c>
      <c r="DJ17" s="712">
        <f t="shared" si="45"/>
        <v>-7.999999999992724E-2</v>
      </c>
      <c r="DK17" s="659"/>
      <c r="DL17" s="712">
        <f t="shared" si="46"/>
        <v>43581.439999999988</v>
      </c>
      <c r="DM17" s="712">
        <f t="shared" si="47"/>
        <v>43582</v>
      </c>
      <c r="DN17" s="712">
        <f t="shared" si="48"/>
        <v>-0.56000000001222361</v>
      </c>
      <c r="DO17" s="738"/>
      <c r="DP17" s="712"/>
      <c r="DQ17" s="734">
        <f t="shared" si="49"/>
        <v>43582</v>
      </c>
      <c r="DR17" s="734">
        <v>0</v>
      </c>
      <c r="DS17" s="735"/>
    </row>
    <row r="18" spans="1:123" s="665" customFormat="1" ht="81" customHeight="1">
      <c r="A18" s="665">
        <f t="shared" si="62"/>
        <v>5</v>
      </c>
      <c r="B18" s="220" t="s">
        <v>82</v>
      </c>
      <c r="C18" s="728" t="s">
        <v>83</v>
      </c>
      <c r="D18" s="866">
        <v>33574</v>
      </c>
      <c r="E18" s="866">
        <v>41090</v>
      </c>
      <c r="F18" s="730" t="s">
        <v>71</v>
      </c>
      <c r="G18" s="729" t="s">
        <v>84</v>
      </c>
      <c r="H18" s="731">
        <v>1080</v>
      </c>
      <c r="I18" s="732">
        <f t="shared" si="0"/>
        <v>4825.8500000000004</v>
      </c>
      <c r="J18" s="656"/>
      <c r="K18" s="901">
        <f>IF(ISERROR(VLOOKUP($B18,'MRI Data'!$A:$P,M$10+3,FALSE)),0,VLOOKUP($B18,'MRI Data'!$A:$P,M$10+3,FALSE))</f>
        <v>4554.24</v>
      </c>
      <c r="L18" s="901"/>
      <c r="M18" s="901">
        <f t="shared" si="50"/>
        <v>4554.24</v>
      </c>
      <c r="N18" s="659">
        <v>4860</v>
      </c>
      <c r="O18" s="712">
        <f t="shared" si="1"/>
        <v>-305.76000000000022</v>
      </c>
      <c r="P18" s="656"/>
      <c r="Q18" s="659">
        <f t="shared" si="2"/>
        <v>4554.24</v>
      </c>
      <c r="R18" s="659">
        <f t="shared" si="3"/>
        <v>4860</v>
      </c>
      <c r="S18" s="712">
        <f t="shared" si="4"/>
        <v>-305.76000000000022</v>
      </c>
      <c r="T18" s="901">
        <f>IF(ISERROR(VLOOKUP($B18,'MRI Data'!$A:$P,V$10+3,FALSE)),0,VLOOKUP($B18,'MRI Data'!$A:$P,V$10+3,FALSE))</f>
        <v>4860</v>
      </c>
      <c r="U18" s="901"/>
      <c r="V18" s="901">
        <f t="shared" si="51"/>
        <v>4860</v>
      </c>
      <c r="W18" s="659">
        <v>4860</v>
      </c>
      <c r="X18" s="712">
        <f t="shared" si="5"/>
        <v>0</v>
      </c>
      <c r="Y18" s="659"/>
      <c r="Z18" s="712">
        <f t="shared" si="6"/>
        <v>9414.24</v>
      </c>
      <c r="AA18" s="712">
        <f t="shared" si="7"/>
        <v>9720</v>
      </c>
      <c r="AB18" s="712">
        <f t="shared" si="8"/>
        <v>-305.76000000000022</v>
      </c>
      <c r="AC18" s="901">
        <f>IF(ISERROR(VLOOKUP($B18,'MRI Data'!$A:$P,AE$10+3,FALSE)),0,VLOOKUP($B18,'MRI Data'!$A:$P,AE$10+3,FALSE))</f>
        <v>4860</v>
      </c>
      <c r="AD18" s="901"/>
      <c r="AE18" s="901">
        <f t="shared" si="52"/>
        <v>4860</v>
      </c>
      <c r="AF18" s="659">
        <v>4860</v>
      </c>
      <c r="AG18" s="712">
        <f t="shared" si="9"/>
        <v>0</v>
      </c>
      <c r="AH18" s="659"/>
      <c r="AI18" s="712">
        <f t="shared" si="10"/>
        <v>14274.24</v>
      </c>
      <c r="AJ18" s="712">
        <f t="shared" si="11"/>
        <v>14580</v>
      </c>
      <c r="AK18" s="712">
        <f t="shared" si="12"/>
        <v>-305.76000000000022</v>
      </c>
      <c r="AL18" s="901">
        <f>IF(ISERROR(VLOOKUP($B18,'MRI Data'!$A:$P,AN$10+3,FALSE)),0,VLOOKUP($B18,'MRI Data'!$A:$P,AN$10+3,FALSE))</f>
        <v>4860</v>
      </c>
      <c r="AM18" s="901"/>
      <c r="AN18" s="901">
        <f t="shared" si="53"/>
        <v>4860</v>
      </c>
      <c r="AO18" s="659">
        <v>4860</v>
      </c>
      <c r="AP18" s="712">
        <f t="shared" si="13"/>
        <v>0</v>
      </c>
      <c r="AQ18" s="659"/>
      <c r="AR18" s="712">
        <f t="shared" si="14"/>
        <v>19134.239999999998</v>
      </c>
      <c r="AS18" s="712">
        <f t="shared" si="15"/>
        <v>19440</v>
      </c>
      <c r="AT18" s="712">
        <f t="shared" si="16"/>
        <v>-305.76000000000204</v>
      </c>
      <c r="AU18" s="901">
        <f>IF(ISERROR(VLOOKUP($B18,'MRI Data'!$A:$P,AW$10+3,FALSE)),0,VLOOKUP($B18,'MRI Data'!$A:$P,AW$10+3,FALSE))</f>
        <v>4860</v>
      </c>
      <c r="AV18" s="901">
        <f>-12150+6075</f>
        <v>-6075</v>
      </c>
      <c r="AW18" s="901">
        <f t="shared" si="54"/>
        <v>-1215</v>
      </c>
      <c r="AX18" s="659">
        <v>4860</v>
      </c>
      <c r="AY18" s="712">
        <f t="shared" si="17"/>
        <v>-6075</v>
      </c>
      <c r="AZ18" s="659"/>
      <c r="BA18" s="712">
        <f t="shared" si="18"/>
        <v>17919.239999999998</v>
      </c>
      <c r="BB18" s="712">
        <f t="shared" si="19"/>
        <v>24300</v>
      </c>
      <c r="BC18" s="712">
        <f t="shared" si="20"/>
        <v>-6380.760000000002</v>
      </c>
      <c r="BD18" s="901">
        <f>IF(ISERROR(VLOOKUP($B18,'MRI Data'!$A:$P,BF$10+3,FALSE)),0,VLOOKUP($B18,'MRI Data'!$A:$P,BF$10+3,FALSE))</f>
        <v>-9720</v>
      </c>
      <c r="BE18" s="901">
        <v>18711</v>
      </c>
      <c r="BF18" s="901">
        <f t="shared" si="55"/>
        <v>8991</v>
      </c>
      <c r="BG18" s="659">
        <v>4860</v>
      </c>
      <c r="BH18" s="712">
        <f t="shared" si="21"/>
        <v>4131</v>
      </c>
      <c r="BI18" s="659"/>
      <c r="BJ18" s="712">
        <f t="shared" si="22"/>
        <v>26910.239999999998</v>
      </c>
      <c r="BK18" s="712">
        <f t="shared" si="23"/>
        <v>29160</v>
      </c>
      <c r="BL18" s="712">
        <f t="shared" si="24"/>
        <v>-2249.760000000002</v>
      </c>
      <c r="BM18" s="901">
        <f>IF(ISERROR(VLOOKUP($B18,'MRI Data'!$A:$P,BO$10+3,FALSE)),0,VLOOKUP($B18,'MRI Data'!$A:$P,BO$10+3,FALSE))</f>
        <v>4860</v>
      </c>
      <c r="BN18" s="901">
        <v>0</v>
      </c>
      <c r="BO18" s="901">
        <f t="shared" si="56"/>
        <v>4860</v>
      </c>
      <c r="BP18" s="659">
        <v>4860</v>
      </c>
      <c r="BQ18" s="712">
        <f t="shared" si="25"/>
        <v>0</v>
      </c>
      <c r="BR18" s="659"/>
      <c r="BS18" s="712">
        <f t="shared" si="26"/>
        <v>31770.239999999998</v>
      </c>
      <c r="BT18" s="712">
        <f t="shared" si="27"/>
        <v>34020</v>
      </c>
      <c r="BU18" s="712">
        <f t="shared" si="28"/>
        <v>-2249.760000000002</v>
      </c>
      <c r="BV18" s="901">
        <f>IF(ISERROR(VLOOKUP($B18,'MRI Data'!$A:$P,BX$10+3,FALSE)),0,VLOOKUP($B18,'MRI Data'!$A:$P,BX$10+3,FALSE))</f>
        <v>4860</v>
      </c>
      <c r="BW18" s="901">
        <v>0</v>
      </c>
      <c r="BX18" s="901">
        <f t="shared" si="57"/>
        <v>4860</v>
      </c>
      <c r="BY18" s="659">
        <v>4860</v>
      </c>
      <c r="BZ18" s="712">
        <f t="shared" si="29"/>
        <v>0</v>
      </c>
      <c r="CA18" s="659"/>
      <c r="CB18" s="712">
        <f t="shared" si="30"/>
        <v>36630.239999999998</v>
      </c>
      <c r="CC18" s="712">
        <f t="shared" si="31"/>
        <v>38880</v>
      </c>
      <c r="CD18" s="712">
        <f t="shared" si="32"/>
        <v>-2249.760000000002</v>
      </c>
      <c r="CE18" s="901">
        <f>IF(ISERROR(VLOOKUP($B18,'MRI Data'!$A:$P,CG$10+3,FALSE)),0,VLOOKUP($B18,'MRI Data'!$A:$P,CG$10+3,FALSE))</f>
        <v>4860</v>
      </c>
      <c r="CF18" s="901">
        <v>0</v>
      </c>
      <c r="CG18" s="901">
        <f t="shared" si="58"/>
        <v>4860</v>
      </c>
      <c r="CH18" s="659">
        <v>4860</v>
      </c>
      <c r="CI18" s="712">
        <f t="shared" si="33"/>
        <v>0</v>
      </c>
      <c r="CJ18" s="659"/>
      <c r="CK18" s="712">
        <f t="shared" si="34"/>
        <v>41490.239999999998</v>
      </c>
      <c r="CL18" s="712">
        <f t="shared" si="35"/>
        <v>43740</v>
      </c>
      <c r="CM18" s="712">
        <f t="shared" si="36"/>
        <v>-2249.760000000002</v>
      </c>
      <c r="CN18" s="901">
        <f>IF(ISERROR(VLOOKUP($B18,'MRI Data'!$A:$P,CP$10+3,FALSE)),0,VLOOKUP($B18,'MRI Data'!$A:$P,CP$10+3,FALSE))</f>
        <v>-980.2</v>
      </c>
      <c r="CO18" s="901">
        <v>2920.1</v>
      </c>
      <c r="CP18" s="901">
        <f t="shared" si="59"/>
        <v>1939.8999999999999</v>
      </c>
      <c r="CQ18" s="659">
        <v>4860</v>
      </c>
      <c r="CR18" s="712">
        <f t="shared" si="37"/>
        <v>-2920.1000000000004</v>
      </c>
      <c r="CS18" s="659"/>
      <c r="CT18" s="712">
        <f t="shared" si="38"/>
        <v>43430.14</v>
      </c>
      <c r="CU18" s="712">
        <f t="shared" si="39"/>
        <v>48600</v>
      </c>
      <c r="CV18" s="712">
        <f t="shared" si="40"/>
        <v>-5169.8600000000006</v>
      </c>
      <c r="CW18" s="901">
        <f>IF(ISERROR(VLOOKUP($B18,'MRI Data'!$A:$P,CY$10+3,FALSE)),0,VLOOKUP($B18,'MRI Data'!$A:$P,CY$10+3,FALSE))</f>
        <v>3492.4</v>
      </c>
      <c r="CX18" s="901">
        <f>-2920.1+3603.9</f>
        <v>683.80000000000018</v>
      </c>
      <c r="CY18" s="901">
        <f t="shared" si="60"/>
        <v>4176.2000000000007</v>
      </c>
      <c r="CZ18" s="659">
        <v>4860</v>
      </c>
      <c r="DA18" s="712">
        <f t="shared" si="41"/>
        <v>-683.79999999999927</v>
      </c>
      <c r="DB18" s="659"/>
      <c r="DC18" s="712">
        <f t="shared" si="42"/>
        <v>47606.34</v>
      </c>
      <c r="DD18" s="712">
        <f t="shared" si="43"/>
        <v>53460</v>
      </c>
      <c r="DE18" s="712">
        <f t="shared" si="44"/>
        <v>-5853.6600000000035</v>
      </c>
      <c r="DF18" s="901">
        <f>IF(ISERROR(VLOOKUP($B18,'MRI Data'!$A:$P,DH$10+3,FALSE)),0,VLOOKUP($B18,'MRI Data'!$A:$P,DH$10+3,FALSE))</f>
        <v>5174.2</v>
      </c>
      <c r="DG18" s="901">
        <f>-3603.9+3255.55</f>
        <v>-348.34999999999991</v>
      </c>
      <c r="DH18" s="901">
        <f t="shared" si="61"/>
        <v>4825.8500000000004</v>
      </c>
      <c r="DI18" s="659">
        <v>4860</v>
      </c>
      <c r="DJ18" s="712">
        <f t="shared" si="45"/>
        <v>-34.149999999999636</v>
      </c>
      <c r="DK18" s="659"/>
      <c r="DL18" s="712">
        <f t="shared" si="46"/>
        <v>52432.189999999995</v>
      </c>
      <c r="DM18" s="712">
        <f t="shared" si="47"/>
        <v>58320</v>
      </c>
      <c r="DN18" s="712">
        <f t="shared" si="48"/>
        <v>-5887.8100000000049</v>
      </c>
      <c r="DO18" s="911" t="s">
        <v>85</v>
      </c>
      <c r="DP18" s="712"/>
      <c r="DQ18" s="734">
        <f t="shared" si="49"/>
        <v>58320</v>
      </c>
      <c r="DR18" s="734">
        <v>-5888</v>
      </c>
      <c r="DS18" s="739" t="s">
        <v>85</v>
      </c>
    </row>
    <row r="19" spans="1:123" s="665" customFormat="1" ht="60" customHeight="1">
      <c r="A19" s="665">
        <f t="shared" si="62"/>
        <v>6</v>
      </c>
      <c r="B19" s="220" t="s">
        <v>86</v>
      </c>
      <c r="C19" s="728" t="s">
        <v>87</v>
      </c>
      <c r="D19" s="866">
        <v>35217</v>
      </c>
      <c r="E19" s="866">
        <v>41060</v>
      </c>
      <c r="F19" s="730" t="s">
        <v>71</v>
      </c>
      <c r="G19" s="729" t="s">
        <v>88</v>
      </c>
      <c r="H19" s="731">
        <v>900</v>
      </c>
      <c r="I19" s="732">
        <f t="shared" si="0"/>
        <v>-875</v>
      </c>
      <c r="J19" s="656"/>
      <c r="K19" s="901">
        <f>IF(ISERROR(VLOOKUP($B19,'MRI Data'!$A:$P,M$10+3,FALSE)),0,VLOOKUP($B19,'MRI Data'!$A:$P,M$10+3,FALSE))</f>
        <v>-2475</v>
      </c>
      <c r="L19" s="901">
        <v>4950</v>
      </c>
      <c r="M19" s="901">
        <f t="shared" si="50"/>
        <v>2475</v>
      </c>
      <c r="N19" s="659">
        <v>4950</v>
      </c>
      <c r="O19" s="712">
        <f t="shared" si="1"/>
        <v>-2475</v>
      </c>
      <c r="P19" s="656"/>
      <c r="Q19" s="659">
        <f t="shared" si="2"/>
        <v>2475</v>
      </c>
      <c r="R19" s="659">
        <f t="shared" si="3"/>
        <v>4950</v>
      </c>
      <c r="S19" s="712">
        <f t="shared" si="4"/>
        <v>-2475</v>
      </c>
      <c r="T19" s="901">
        <f>IF(ISERROR(VLOOKUP($B19,'MRI Data'!$A:$P,V$10+3,FALSE)),0,VLOOKUP($B19,'MRI Data'!$A:$P,V$10+3,FALSE))</f>
        <v>2475</v>
      </c>
      <c r="U19" s="901"/>
      <c r="V19" s="901">
        <f t="shared" si="51"/>
        <v>2475</v>
      </c>
      <c r="W19" s="659">
        <v>4950</v>
      </c>
      <c r="X19" s="712">
        <f t="shared" si="5"/>
        <v>-2475</v>
      </c>
      <c r="Y19" s="712"/>
      <c r="Z19" s="712">
        <f t="shared" si="6"/>
        <v>4950</v>
      </c>
      <c r="AA19" s="712">
        <f t="shared" si="7"/>
        <v>9900</v>
      </c>
      <c r="AB19" s="712">
        <f t="shared" si="8"/>
        <v>-4950</v>
      </c>
      <c r="AC19" s="901">
        <f>IF(ISERROR(VLOOKUP($B19,'MRI Data'!$A:$P,AE$10+3,FALSE)),0,VLOOKUP($B19,'MRI Data'!$A:$P,AE$10+3,FALSE))</f>
        <v>2475</v>
      </c>
      <c r="AD19" s="901"/>
      <c r="AE19" s="901">
        <f t="shared" si="52"/>
        <v>2475</v>
      </c>
      <c r="AF19" s="659">
        <v>4950</v>
      </c>
      <c r="AG19" s="712">
        <f t="shared" si="9"/>
        <v>-2475</v>
      </c>
      <c r="AH19" s="712"/>
      <c r="AI19" s="712">
        <f t="shared" si="10"/>
        <v>7425</v>
      </c>
      <c r="AJ19" s="712">
        <f t="shared" si="11"/>
        <v>14850</v>
      </c>
      <c r="AK19" s="712">
        <f t="shared" si="12"/>
        <v>-7425</v>
      </c>
      <c r="AL19" s="901">
        <f>IF(ISERROR(VLOOKUP($B19,'MRI Data'!$A:$P,AN$10+3,FALSE)),0,VLOOKUP($B19,'MRI Data'!$A:$P,AN$10+3,FALSE))</f>
        <v>2475</v>
      </c>
      <c r="AM19" s="901"/>
      <c r="AN19" s="901">
        <f t="shared" si="53"/>
        <v>2475</v>
      </c>
      <c r="AO19" s="712">
        <v>4950</v>
      </c>
      <c r="AP19" s="712">
        <f t="shared" si="13"/>
        <v>-2475</v>
      </c>
      <c r="AQ19" s="712"/>
      <c r="AR19" s="712">
        <f t="shared" si="14"/>
        <v>9900</v>
      </c>
      <c r="AS19" s="712">
        <f t="shared" si="15"/>
        <v>19800</v>
      </c>
      <c r="AT19" s="712">
        <f t="shared" si="16"/>
        <v>-9900</v>
      </c>
      <c r="AU19" s="901">
        <f>IF(ISERROR(VLOOKUP($B19,'MRI Data'!$A:$P,AW$10+3,FALSE)),0,VLOOKUP($B19,'MRI Data'!$A:$P,AW$10+3,FALSE))</f>
        <v>2475</v>
      </c>
      <c r="AV19" s="901"/>
      <c r="AW19" s="901">
        <f t="shared" si="54"/>
        <v>2475</v>
      </c>
      <c r="AX19" s="712">
        <v>4950</v>
      </c>
      <c r="AY19" s="712">
        <f t="shared" si="17"/>
        <v>-2475</v>
      </c>
      <c r="AZ19" s="712"/>
      <c r="BA19" s="712">
        <f t="shared" si="18"/>
        <v>12375</v>
      </c>
      <c r="BB19" s="712">
        <f t="shared" si="19"/>
        <v>24750</v>
      </c>
      <c r="BC19" s="712">
        <f t="shared" si="20"/>
        <v>-12375</v>
      </c>
      <c r="BD19" s="901">
        <f>IF(ISERROR(VLOOKUP($B19,'MRI Data'!$A:$P,BF$10+3,FALSE)),0,VLOOKUP($B19,'MRI Data'!$A:$P,BF$10+3,FALSE))</f>
        <v>2659.39</v>
      </c>
      <c r="BE19" s="901"/>
      <c r="BF19" s="901">
        <f t="shared" si="55"/>
        <v>2659.39</v>
      </c>
      <c r="BG19" s="712">
        <v>4950</v>
      </c>
      <c r="BH19" s="712">
        <f t="shared" si="21"/>
        <v>-2290.61</v>
      </c>
      <c r="BI19" s="712"/>
      <c r="BJ19" s="712">
        <f t="shared" si="22"/>
        <v>15034.39</v>
      </c>
      <c r="BK19" s="712">
        <f t="shared" si="23"/>
        <v>29700</v>
      </c>
      <c r="BL19" s="712">
        <f t="shared" si="24"/>
        <v>-14665.61</v>
      </c>
      <c r="BM19" s="901">
        <f>IF(ISERROR(VLOOKUP($B19,'MRI Data'!$A:$P,BO$10+3,FALSE)),0,VLOOKUP($B19,'MRI Data'!$A:$P,BO$10+3,FALSE))</f>
        <v>4950</v>
      </c>
      <c r="BN19" s="901">
        <v>2771.57</v>
      </c>
      <c r="BO19" s="901">
        <f t="shared" si="56"/>
        <v>7721.57</v>
      </c>
      <c r="BP19" s="712">
        <v>4950</v>
      </c>
      <c r="BQ19" s="712">
        <f t="shared" si="25"/>
        <v>2771.5699999999997</v>
      </c>
      <c r="BR19" s="712"/>
      <c r="BS19" s="712">
        <f t="shared" si="26"/>
        <v>22755.96</v>
      </c>
      <c r="BT19" s="712">
        <f t="shared" si="27"/>
        <v>34650</v>
      </c>
      <c r="BU19" s="712">
        <f t="shared" si="28"/>
        <v>-11894.04</v>
      </c>
      <c r="BV19" s="901">
        <f>IF(ISERROR(VLOOKUP($B19,'MRI Data'!$A:$P,BX$10+3,FALSE)),0,VLOOKUP($B19,'MRI Data'!$A:$P,BX$10+3,FALSE))</f>
        <v>7721.57</v>
      </c>
      <c r="BW19" s="901">
        <f>-2772</f>
        <v>-2772</v>
      </c>
      <c r="BX19" s="901">
        <f t="shared" si="57"/>
        <v>4949.57</v>
      </c>
      <c r="BY19" s="659">
        <v>4950</v>
      </c>
      <c r="BZ19" s="712">
        <f t="shared" si="29"/>
        <v>-0.43000000000029104</v>
      </c>
      <c r="CA19" s="712"/>
      <c r="CB19" s="712">
        <f t="shared" si="30"/>
        <v>27705.53</v>
      </c>
      <c r="CC19" s="712">
        <f t="shared" si="31"/>
        <v>39600</v>
      </c>
      <c r="CD19" s="712">
        <f t="shared" si="32"/>
        <v>-11894.470000000001</v>
      </c>
      <c r="CE19" s="901">
        <f>IF(ISERROR(VLOOKUP($B19,'MRI Data'!$A:$P,CG$10+3,FALSE)),0,VLOOKUP($B19,'MRI Data'!$A:$P,CG$10+3,FALSE))</f>
        <v>4950</v>
      </c>
      <c r="CF19" s="901">
        <v>0</v>
      </c>
      <c r="CG19" s="901">
        <f t="shared" si="58"/>
        <v>4950</v>
      </c>
      <c r="CH19" s="712">
        <v>4950</v>
      </c>
      <c r="CI19" s="712">
        <f t="shared" si="33"/>
        <v>0</v>
      </c>
      <c r="CJ19" s="712"/>
      <c r="CK19" s="712">
        <f t="shared" si="34"/>
        <v>32655.53</v>
      </c>
      <c r="CL19" s="712">
        <f t="shared" si="35"/>
        <v>44550</v>
      </c>
      <c r="CM19" s="712">
        <f t="shared" si="36"/>
        <v>-11894.470000000001</v>
      </c>
      <c r="CN19" s="901">
        <f>IF(ISERROR(VLOOKUP($B19,'MRI Data'!$A:$P,CP$10+3,FALSE)),0,VLOOKUP($B19,'MRI Data'!$A:$P,CP$10+3,FALSE))</f>
        <v>4950</v>
      </c>
      <c r="CO19" s="901">
        <v>0</v>
      </c>
      <c r="CP19" s="901">
        <f t="shared" si="59"/>
        <v>4950</v>
      </c>
      <c r="CQ19" s="712">
        <v>4950</v>
      </c>
      <c r="CR19" s="712">
        <f t="shared" si="37"/>
        <v>0</v>
      </c>
      <c r="CS19" s="712"/>
      <c r="CT19" s="712">
        <f t="shared" si="38"/>
        <v>37605.53</v>
      </c>
      <c r="CU19" s="712">
        <f t="shared" si="39"/>
        <v>49500</v>
      </c>
      <c r="CV19" s="712">
        <f t="shared" si="40"/>
        <v>-11894.470000000001</v>
      </c>
      <c r="CW19" s="901">
        <f>IF(ISERROR(VLOOKUP($B19,'MRI Data'!$A:$P,CY$10+3,FALSE)),0,VLOOKUP($B19,'MRI Data'!$A:$P,CY$10+3,FALSE))</f>
        <v>4950</v>
      </c>
      <c r="CX19" s="901">
        <v>0</v>
      </c>
      <c r="CY19" s="901">
        <f t="shared" si="60"/>
        <v>4950</v>
      </c>
      <c r="CZ19" s="712">
        <v>4950</v>
      </c>
      <c r="DA19" s="712">
        <f t="shared" si="41"/>
        <v>0</v>
      </c>
      <c r="DB19" s="712"/>
      <c r="DC19" s="712">
        <f t="shared" si="42"/>
        <v>42555.53</v>
      </c>
      <c r="DD19" s="712">
        <f t="shared" si="43"/>
        <v>54450</v>
      </c>
      <c r="DE19" s="712">
        <f t="shared" si="44"/>
        <v>-11894.470000000001</v>
      </c>
      <c r="DF19" s="901">
        <f>IF(ISERROR(VLOOKUP($B19,'MRI Data'!$A:$P,DH$10+3,FALSE)),0,VLOOKUP($B19,'MRI Data'!$A:$P,DH$10+3,FALSE))</f>
        <v>-4875</v>
      </c>
      <c r="DG19" s="901">
        <v>4000</v>
      </c>
      <c r="DH19" s="901">
        <f t="shared" si="61"/>
        <v>-875</v>
      </c>
      <c r="DI19" s="712">
        <v>5100</v>
      </c>
      <c r="DJ19" s="712">
        <f t="shared" si="45"/>
        <v>-5975</v>
      </c>
      <c r="DK19" s="712"/>
      <c r="DL19" s="712">
        <f t="shared" si="46"/>
        <v>41680.53</v>
      </c>
      <c r="DM19" s="712">
        <f t="shared" si="47"/>
        <v>59550</v>
      </c>
      <c r="DN19" s="712">
        <f t="shared" si="48"/>
        <v>-17869.47</v>
      </c>
      <c r="DO19" s="742" t="s">
        <v>89</v>
      </c>
      <c r="DP19" s="712"/>
      <c r="DQ19" s="734">
        <f t="shared" si="49"/>
        <v>59550</v>
      </c>
      <c r="DR19" s="734">
        <v>-17869</v>
      </c>
      <c r="DS19" s="742" t="s">
        <v>89</v>
      </c>
    </row>
    <row r="20" spans="1:123" s="665" customFormat="1" ht="27" customHeight="1">
      <c r="A20" s="665">
        <f t="shared" si="62"/>
        <v>7</v>
      </c>
      <c r="B20" s="220" t="s">
        <v>90</v>
      </c>
      <c r="C20" s="728" t="s">
        <v>91</v>
      </c>
      <c r="D20" s="866">
        <v>37838</v>
      </c>
      <c r="E20" s="866">
        <v>40786</v>
      </c>
      <c r="F20" s="730" t="s">
        <v>71</v>
      </c>
      <c r="G20" s="729" t="s">
        <v>92</v>
      </c>
      <c r="H20" s="740">
        <v>1500</v>
      </c>
      <c r="I20" s="732">
        <f t="shared" si="0"/>
        <v>6468.75</v>
      </c>
      <c r="J20" s="656"/>
      <c r="K20" s="901">
        <f>IF(ISERROR(VLOOKUP($B20,'MRI Data'!$A:$P,M$10+3,FALSE)),0,VLOOKUP($B20,'MRI Data'!$A:$P,M$10+3,FALSE))</f>
        <v>6250</v>
      </c>
      <c r="L20" s="901"/>
      <c r="M20" s="901">
        <f t="shared" si="50"/>
        <v>6250</v>
      </c>
      <c r="N20" s="659">
        <v>6250</v>
      </c>
      <c r="O20" s="712">
        <f t="shared" si="1"/>
        <v>0</v>
      </c>
      <c r="P20" s="656"/>
      <c r="Q20" s="659">
        <f t="shared" si="2"/>
        <v>6250</v>
      </c>
      <c r="R20" s="659">
        <f t="shared" si="3"/>
        <v>6250</v>
      </c>
      <c r="S20" s="712">
        <f t="shared" si="4"/>
        <v>0</v>
      </c>
      <c r="T20" s="901">
        <f>IF(ISERROR(VLOOKUP($B20,'MRI Data'!$A:$P,V$10+3,FALSE)),0,VLOOKUP($B20,'MRI Data'!$A:$P,V$10+3,FALSE))</f>
        <v>6250</v>
      </c>
      <c r="U20" s="901"/>
      <c r="V20" s="901">
        <f t="shared" si="51"/>
        <v>6250</v>
      </c>
      <c r="W20" s="659">
        <v>6250</v>
      </c>
      <c r="X20" s="712">
        <f t="shared" si="5"/>
        <v>0</v>
      </c>
      <c r="Y20" s="659"/>
      <c r="Z20" s="712">
        <f t="shared" si="6"/>
        <v>12500</v>
      </c>
      <c r="AA20" s="712">
        <f t="shared" si="7"/>
        <v>12500</v>
      </c>
      <c r="AB20" s="712">
        <f t="shared" si="8"/>
        <v>0</v>
      </c>
      <c r="AC20" s="901">
        <f>IF(ISERROR(VLOOKUP($B20,'MRI Data'!$A:$P,AE$10+3,FALSE)),0,VLOOKUP($B20,'MRI Data'!$A:$P,AE$10+3,FALSE))</f>
        <v>6468.75</v>
      </c>
      <c r="AD20" s="901"/>
      <c r="AE20" s="901">
        <f t="shared" si="52"/>
        <v>6468.75</v>
      </c>
      <c r="AF20" s="659">
        <v>6469</v>
      </c>
      <c r="AG20" s="712">
        <f t="shared" si="9"/>
        <v>-0.25</v>
      </c>
      <c r="AH20" s="659"/>
      <c r="AI20" s="712">
        <f t="shared" si="10"/>
        <v>18968.75</v>
      </c>
      <c r="AJ20" s="712">
        <f t="shared" si="11"/>
        <v>18969</v>
      </c>
      <c r="AK20" s="712">
        <f t="shared" si="12"/>
        <v>-0.25</v>
      </c>
      <c r="AL20" s="901">
        <f>IF(ISERROR(VLOOKUP($B20,'MRI Data'!$A:$P,AN$10+3,FALSE)),0,VLOOKUP($B20,'MRI Data'!$A:$P,AN$10+3,FALSE))</f>
        <v>6468.75</v>
      </c>
      <c r="AM20" s="901"/>
      <c r="AN20" s="901">
        <f t="shared" si="53"/>
        <v>6468.75</v>
      </c>
      <c r="AO20" s="659">
        <v>6469</v>
      </c>
      <c r="AP20" s="712">
        <f t="shared" si="13"/>
        <v>-0.25</v>
      </c>
      <c r="AQ20" s="659"/>
      <c r="AR20" s="712">
        <f t="shared" si="14"/>
        <v>25437.5</v>
      </c>
      <c r="AS20" s="712">
        <f t="shared" si="15"/>
        <v>25438</v>
      </c>
      <c r="AT20" s="712">
        <f t="shared" si="16"/>
        <v>-0.5</v>
      </c>
      <c r="AU20" s="901">
        <f>IF(ISERROR(VLOOKUP($B20,'MRI Data'!$A:$P,AW$10+3,FALSE)),0,VLOOKUP($B20,'MRI Data'!$A:$P,AW$10+3,FALSE))</f>
        <v>6468.75</v>
      </c>
      <c r="AV20" s="901">
        <f>-12828.13+1737.62</f>
        <v>-11090.509999999998</v>
      </c>
      <c r="AW20" s="901">
        <f t="shared" si="54"/>
        <v>-4621.7599999999984</v>
      </c>
      <c r="AX20" s="659">
        <v>6469</v>
      </c>
      <c r="AY20" s="712">
        <f t="shared" si="17"/>
        <v>-11090.759999999998</v>
      </c>
      <c r="AZ20" s="659"/>
      <c r="BA20" s="712">
        <f t="shared" si="18"/>
        <v>20815.740000000002</v>
      </c>
      <c r="BB20" s="712">
        <f t="shared" si="19"/>
        <v>31907</v>
      </c>
      <c r="BC20" s="712">
        <f t="shared" si="20"/>
        <v>-11091.259999999998</v>
      </c>
      <c r="BD20" s="901">
        <f>IF(ISERROR(VLOOKUP($B20,'MRI Data'!$A:$P,BF$10+3,FALSE)),0,VLOOKUP($B20,'MRI Data'!$A:$P,BF$10+3,FALSE))</f>
        <v>-8640.5</v>
      </c>
      <c r="BE20" s="901">
        <v>26200</v>
      </c>
      <c r="BF20" s="901">
        <f t="shared" si="55"/>
        <v>17559.5</v>
      </c>
      <c r="BG20" s="659">
        <v>6469</v>
      </c>
      <c r="BH20" s="712">
        <f t="shared" si="21"/>
        <v>11090.5</v>
      </c>
      <c r="BI20" s="659"/>
      <c r="BJ20" s="712">
        <f t="shared" si="22"/>
        <v>38375.240000000005</v>
      </c>
      <c r="BK20" s="712">
        <f t="shared" si="23"/>
        <v>38376</v>
      </c>
      <c r="BL20" s="712">
        <f t="shared" si="24"/>
        <v>-0.75999999999476131</v>
      </c>
      <c r="BM20" s="901">
        <f>IF(ISERROR(VLOOKUP($B20,'MRI Data'!$A:$P,BO$10+3,FALSE)),0,VLOOKUP($B20,'MRI Data'!$A:$P,BO$10+3,FALSE))</f>
        <v>6250</v>
      </c>
      <c r="BN20" s="901">
        <v>219</v>
      </c>
      <c r="BO20" s="901">
        <f t="shared" si="56"/>
        <v>6469</v>
      </c>
      <c r="BP20" s="659">
        <v>6469</v>
      </c>
      <c r="BQ20" s="712">
        <f t="shared" si="25"/>
        <v>0</v>
      </c>
      <c r="BR20" s="659"/>
      <c r="BS20" s="712">
        <f t="shared" si="26"/>
        <v>44844.240000000005</v>
      </c>
      <c r="BT20" s="712">
        <f t="shared" si="27"/>
        <v>44845</v>
      </c>
      <c r="BU20" s="712">
        <f t="shared" si="28"/>
        <v>-0.75999999999476131</v>
      </c>
      <c r="BV20" s="901">
        <f>IF(ISERROR(VLOOKUP($B20,'MRI Data'!$A:$P,BX$10+3,FALSE)),0,VLOOKUP($B20,'MRI Data'!$A:$P,BX$10+3,FALSE))</f>
        <v>7794.17</v>
      </c>
      <c r="BW20" s="901">
        <v>-1325</v>
      </c>
      <c r="BX20" s="901">
        <f t="shared" si="57"/>
        <v>6469.17</v>
      </c>
      <c r="BY20" s="659">
        <v>6469</v>
      </c>
      <c r="BZ20" s="712">
        <f t="shared" si="29"/>
        <v>0.17000000000007276</v>
      </c>
      <c r="CA20" s="659"/>
      <c r="CB20" s="712">
        <f t="shared" si="30"/>
        <v>51313.41</v>
      </c>
      <c r="CC20" s="712">
        <f t="shared" si="31"/>
        <v>51314</v>
      </c>
      <c r="CD20" s="712">
        <f t="shared" si="32"/>
        <v>-0.58999999999650754</v>
      </c>
      <c r="CE20" s="901">
        <f>IF(ISERROR(VLOOKUP($B20,'MRI Data'!$A:$P,CG$10+3,FALSE)),0,VLOOKUP($B20,'MRI Data'!$A:$P,CG$10+3,FALSE))</f>
        <v>6250</v>
      </c>
      <c r="CF20" s="901">
        <f>219</f>
        <v>219</v>
      </c>
      <c r="CG20" s="901">
        <f t="shared" si="58"/>
        <v>6469</v>
      </c>
      <c r="CH20" s="659">
        <v>6469</v>
      </c>
      <c r="CI20" s="712">
        <f t="shared" si="33"/>
        <v>0</v>
      </c>
      <c r="CJ20" s="659"/>
      <c r="CK20" s="712">
        <f t="shared" si="34"/>
        <v>57782.41</v>
      </c>
      <c r="CL20" s="712">
        <f t="shared" si="35"/>
        <v>57783</v>
      </c>
      <c r="CM20" s="712">
        <f t="shared" si="36"/>
        <v>-0.58999999999650754</v>
      </c>
      <c r="CN20" s="901">
        <f>IF(ISERROR(VLOOKUP($B20,'MRI Data'!$A:$P,CP$10+3,FALSE)),0,VLOOKUP($B20,'MRI Data'!$A:$P,CP$10+3,FALSE))</f>
        <v>6250</v>
      </c>
      <c r="CO20" s="901">
        <f>219</f>
        <v>219</v>
      </c>
      <c r="CP20" s="901">
        <f t="shared" si="59"/>
        <v>6469</v>
      </c>
      <c r="CQ20" s="659">
        <v>6469</v>
      </c>
      <c r="CR20" s="712">
        <f t="shared" si="37"/>
        <v>0</v>
      </c>
      <c r="CS20" s="659"/>
      <c r="CT20" s="712">
        <f t="shared" si="38"/>
        <v>64251.41</v>
      </c>
      <c r="CU20" s="712">
        <f t="shared" si="39"/>
        <v>64252</v>
      </c>
      <c r="CV20" s="712">
        <f t="shared" si="40"/>
        <v>-0.58999999999650754</v>
      </c>
      <c r="CW20" s="901">
        <f>IF(ISERROR(VLOOKUP($B20,'MRI Data'!$A:$P,CY$10+3,FALSE)),0,VLOOKUP($B20,'MRI Data'!$A:$P,CY$10+3,FALSE))</f>
        <v>6250</v>
      </c>
      <c r="CX20" s="901">
        <v>218.75</v>
      </c>
      <c r="CY20" s="901">
        <f t="shared" si="60"/>
        <v>6468.75</v>
      </c>
      <c r="CZ20" s="659">
        <v>6469</v>
      </c>
      <c r="DA20" s="712">
        <f t="shared" si="41"/>
        <v>-0.25</v>
      </c>
      <c r="DB20" s="659"/>
      <c r="DC20" s="712">
        <f t="shared" si="42"/>
        <v>70720.160000000003</v>
      </c>
      <c r="DD20" s="712">
        <f t="shared" si="43"/>
        <v>70721</v>
      </c>
      <c r="DE20" s="712">
        <f t="shared" si="44"/>
        <v>-0.83999999999650754</v>
      </c>
      <c r="DF20" s="901">
        <f>IF(ISERROR(VLOOKUP($B20,'MRI Data'!$A:$P,DH$10+3,FALSE)),0,VLOOKUP($B20,'MRI Data'!$A:$P,DH$10+3,FALSE))</f>
        <v>6250</v>
      </c>
      <c r="DG20" s="901">
        <v>218.75</v>
      </c>
      <c r="DH20" s="901">
        <f t="shared" si="61"/>
        <v>6468.75</v>
      </c>
      <c r="DI20" s="659">
        <v>6469</v>
      </c>
      <c r="DJ20" s="712">
        <f t="shared" si="45"/>
        <v>-0.25</v>
      </c>
      <c r="DK20" s="659"/>
      <c r="DL20" s="712">
        <f t="shared" si="46"/>
        <v>77188.91</v>
      </c>
      <c r="DM20" s="712">
        <f t="shared" si="47"/>
        <v>77190</v>
      </c>
      <c r="DN20" s="712">
        <f t="shared" si="48"/>
        <v>-1.0899999999965075</v>
      </c>
      <c r="DO20" s="739" t="s">
        <v>93</v>
      </c>
      <c r="DP20" s="712"/>
      <c r="DQ20" s="734">
        <f t="shared" si="49"/>
        <v>77190</v>
      </c>
      <c r="DR20" s="734">
        <v>0</v>
      </c>
      <c r="DS20" s="739"/>
    </row>
    <row r="21" spans="1:123" s="665" customFormat="1" ht="25.5" customHeight="1">
      <c r="A21" s="665">
        <f t="shared" si="62"/>
        <v>8</v>
      </c>
      <c r="B21" s="220" t="s">
        <v>94</v>
      </c>
      <c r="C21" s="728" t="s">
        <v>95</v>
      </c>
      <c r="D21" s="866">
        <v>32674</v>
      </c>
      <c r="E21" s="866">
        <v>42735</v>
      </c>
      <c r="F21" s="730" t="s">
        <v>71</v>
      </c>
      <c r="G21" s="729" t="s">
        <v>96</v>
      </c>
      <c r="H21" s="731">
        <v>2742</v>
      </c>
      <c r="I21" s="732">
        <f t="shared" si="0"/>
        <v>11425</v>
      </c>
      <c r="J21" s="656"/>
      <c r="K21" s="901">
        <f>IF(ISERROR(VLOOKUP($B21,'MRI Data'!$A:$P,M$10+3,FALSE)),0,VLOOKUP($B21,'MRI Data'!$A:$P,M$10+3,FALSE))</f>
        <v>12770.87</v>
      </c>
      <c r="L21" s="901"/>
      <c r="M21" s="901">
        <f t="shared" si="50"/>
        <v>12770.87</v>
      </c>
      <c r="N21" s="659">
        <v>12771</v>
      </c>
      <c r="O21" s="712">
        <f t="shared" si="1"/>
        <v>-0.12999999999919964</v>
      </c>
      <c r="P21" s="656"/>
      <c r="Q21" s="659">
        <f t="shared" si="2"/>
        <v>12770.87</v>
      </c>
      <c r="R21" s="659">
        <f t="shared" si="3"/>
        <v>12771</v>
      </c>
      <c r="S21" s="712">
        <f t="shared" si="4"/>
        <v>-0.12999999999919964</v>
      </c>
      <c r="T21" s="901">
        <f>IF(ISERROR(VLOOKUP($B21,'MRI Data'!$A:$P,V$10+3,FALSE)),0,VLOOKUP($B21,'MRI Data'!$A:$P,V$10+3,FALSE))</f>
        <v>12770.87</v>
      </c>
      <c r="U21" s="901"/>
      <c r="V21" s="901">
        <f t="shared" si="51"/>
        <v>12770.87</v>
      </c>
      <c r="W21" s="659">
        <v>12771</v>
      </c>
      <c r="X21" s="712">
        <f t="shared" si="5"/>
        <v>-0.12999999999919964</v>
      </c>
      <c r="Y21" s="659"/>
      <c r="Z21" s="712">
        <f t="shared" si="6"/>
        <v>25541.74</v>
      </c>
      <c r="AA21" s="712">
        <f t="shared" si="7"/>
        <v>25542</v>
      </c>
      <c r="AB21" s="712">
        <f t="shared" si="8"/>
        <v>-0.25999999999839929</v>
      </c>
      <c r="AC21" s="901">
        <f>IF(ISERROR(VLOOKUP($B21,'MRI Data'!$A:$P,AE$10+3,FALSE)),0,VLOOKUP($B21,'MRI Data'!$A:$P,AE$10+3,FALSE))</f>
        <v>12770.87</v>
      </c>
      <c r="AD21" s="901"/>
      <c r="AE21" s="901">
        <f t="shared" si="52"/>
        <v>12770.87</v>
      </c>
      <c r="AF21" s="659">
        <v>12771</v>
      </c>
      <c r="AG21" s="712">
        <f t="shared" si="9"/>
        <v>-0.12999999999919964</v>
      </c>
      <c r="AH21" s="659"/>
      <c r="AI21" s="712">
        <f t="shared" si="10"/>
        <v>38312.61</v>
      </c>
      <c r="AJ21" s="712">
        <f t="shared" si="11"/>
        <v>38313</v>
      </c>
      <c r="AK21" s="712">
        <f t="shared" si="12"/>
        <v>-0.38999999999941792</v>
      </c>
      <c r="AL21" s="901">
        <f>IF(ISERROR(VLOOKUP($B21,'MRI Data'!$A:$P,AN$10+3,FALSE)),0,VLOOKUP($B21,'MRI Data'!$A:$P,AN$10+3,FALSE))</f>
        <v>12770.87</v>
      </c>
      <c r="AM21" s="901"/>
      <c r="AN21" s="901">
        <f t="shared" si="53"/>
        <v>12770.87</v>
      </c>
      <c r="AO21" s="659">
        <v>12771</v>
      </c>
      <c r="AP21" s="712">
        <f t="shared" si="13"/>
        <v>-0.12999999999919964</v>
      </c>
      <c r="AQ21" s="659"/>
      <c r="AR21" s="712">
        <f t="shared" si="14"/>
        <v>51083.48</v>
      </c>
      <c r="AS21" s="712">
        <f t="shared" si="15"/>
        <v>51084</v>
      </c>
      <c r="AT21" s="712">
        <f t="shared" si="16"/>
        <v>-0.51999999999679858</v>
      </c>
      <c r="AU21" s="901">
        <f>IF(ISERROR(VLOOKUP($B21,'MRI Data'!$A:$P,AW$10+3,FALSE)),0,VLOOKUP($B21,'MRI Data'!$A:$P,AW$10+3,FALSE))</f>
        <v>12770.87</v>
      </c>
      <c r="AV21" s="901"/>
      <c r="AW21" s="901">
        <f t="shared" si="54"/>
        <v>12770.87</v>
      </c>
      <c r="AX21" s="659">
        <v>12771</v>
      </c>
      <c r="AY21" s="712">
        <f t="shared" si="17"/>
        <v>-0.12999999999919964</v>
      </c>
      <c r="AZ21" s="659"/>
      <c r="BA21" s="712">
        <f t="shared" si="18"/>
        <v>63854.350000000006</v>
      </c>
      <c r="BB21" s="712">
        <f t="shared" si="19"/>
        <v>63855</v>
      </c>
      <c r="BC21" s="712">
        <f t="shared" si="20"/>
        <v>-0.64999999999417923</v>
      </c>
      <c r="BD21" s="901">
        <f>IF(ISERROR(VLOOKUP($B21,'MRI Data'!$A:$P,BF$10+3,FALSE)),0,VLOOKUP($B21,'MRI Data'!$A:$P,BF$10+3,FALSE))</f>
        <v>12770.87</v>
      </c>
      <c r="BE21" s="901"/>
      <c r="BF21" s="901">
        <f t="shared" si="55"/>
        <v>12770.87</v>
      </c>
      <c r="BG21" s="659">
        <v>12771</v>
      </c>
      <c r="BH21" s="712">
        <f t="shared" si="21"/>
        <v>-0.12999999999919964</v>
      </c>
      <c r="BI21" s="659"/>
      <c r="BJ21" s="712">
        <f t="shared" si="22"/>
        <v>76625.22</v>
      </c>
      <c r="BK21" s="712">
        <f t="shared" si="23"/>
        <v>76626</v>
      </c>
      <c r="BL21" s="712">
        <f t="shared" si="24"/>
        <v>-0.77999999999883585</v>
      </c>
      <c r="BM21" s="901">
        <f>IF(ISERROR(VLOOKUP($B21,'MRI Data'!$A:$P,BO$10+3,FALSE)),0,VLOOKUP($B21,'MRI Data'!$A:$P,BO$10+3,FALSE))</f>
        <v>11425</v>
      </c>
      <c r="BN21" s="901"/>
      <c r="BO21" s="901">
        <f t="shared" si="56"/>
        <v>11425</v>
      </c>
      <c r="BP21" s="659">
        <v>12771</v>
      </c>
      <c r="BQ21" s="712">
        <f t="shared" si="25"/>
        <v>-1346</v>
      </c>
      <c r="BR21" s="659"/>
      <c r="BS21" s="712">
        <f t="shared" si="26"/>
        <v>88050.22</v>
      </c>
      <c r="BT21" s="712">
        <f t="shared" si="27"/>
        <v>89397</v>
      </c>
      <c r="BU21" s="712">
        <f t="shared" si="28"/>
        <v>-1346.7799999999988</v>
      </c>
      <c r="BV21" s="901">
        <f>IF(ISERROR(VLOOKUP($B21,'MRI Data'!$A:$P,BX$10+3,FALSE)),0,VLOOKUP($B21,'MRI Data'!$A:$P,BX$10+3,FALSE))</f>
        <v>11425</v>
      </c>
      <c r="BW21" s="901"/>
      <c r="BX21" s="901">
        <f t="shared" si="57"/>
        <v>11425</v>
      </c>
      <c r="BY21" s="659">
        <v>12771</v>
      </c>
      <c r="BZ21" s="712">
        <f t="shared" si="29"/>
        <v>-1346</v>
      </c>
      <c r="CA21" s="659"/>
      <c r="CB21" s="712">
        <f t="shared" si="30"/>
        <v>99475.22</v>
      </c>
      <c r="CC21" s="712">
        <f t="shared" si="31"/>
        <v>102168</v>
      </c>
      <c r="CD21" s="712">
        <f t="shared" si="32"/>
        <v>-2692.7799999999988</v>
      </c>
      <c r="CE21" s="901">
        <f>IF(ISERROR(VLOOKUP($B21,'MRI Data'!$A:$P,CG$10+3,FALSE)),0,VLOOKUP($B21,'MRI Data'!$A:$P,CG$10+3,FALSE))</f>
        <v>11425</v>
      </c>
      <c r="CF21" s="901"/>
      <c r="CG21" s="901">
        <f t="shared" si="58"/>
        <v>11425</v>
      </c>
      <c r="CH21" s="659">
        <v>12771</v>
      </c>
      <c r="CI21" s="712">
        <f t="shared" si="33"/>
        <v>-1346</v>
      </c>
      <c r="CJ21" s="659"/>
      <c r="CK21" s="712">
        <f t="shared" si="34"/>
        <v>110900.22</v>
      </c>
      <c r="CL21" s="712">
        <f t="shared" si="35"/>
        <v>114939</v>
      </c>
      <c r="CM21" s="712">
        <f t="shared" si="36"/>
        <v>-4038.7799999999988</v>
      </c>
      <c r="CN21" s="901">
        <f>IF(ISERROR(VLOOKUP($B21,'MRI Data'!$A:$P,CP$10+3,FALSE)),0,VLOOKUP($B21,'MRI Data'!$A:$P,CP$10+3,FALSE))</f>
        <v>11425</v>
      </c>
      <c r="CO21" s="901"/>
      <c r="CP21" s="901">
        <f t="shared" si="59"/>
        <v>11425</v>
      </c>
      <c r="CQ21" s="659">
        <v>12771</v>
      </c>
      <c r="CR21" s="712">
        <f t="shared" si="37"/>
        <v>-1346</v>
      </c>
      <c r="CS21" s="659"/>
      <c r="CT21" s="712">
        <f t="shared" si="38"/>
        <v>122325.22</v>
      </c>
      <c r="CU21" s="712">
        <f t="shared" si="39"/>
        <v>127710</v>
      </c>
      <c r="CV21" s="712">
        <f t="shared" si="40"/>
        <v>-5384.7799999999988</v>
      </c>
      <c r="CW21" s="901">
        <f>IF(ISERROR(VLOOKUP($B21,'MRI Data'!$A:$P,CY$10+3,FALSE)),0,VLOOKUP($B21,'MRI Data'!$A:$P,CY$10+3,FALSE))</f>
        <v>11425</v>
      </c>
      <c r="CX21" s="901"/>
      <c r="CY21" s="901">
        <f t="shared" si="60"/>
        <v>11425</v>
      </c>
      <c r="CZ21" s="659">
        <v>12771</v>
      </c>
      <c r="DA21" s="712">
        <f t="shared" si="41"/>
        <v>-1346</v>
      </c>
      <c r="DB21" s="659"/>
      <c r="DC21" s="712">
        <f t="shared" si="42"/>
        <v>133750.22</v>
      </c>
      <c r="DD21" s="712">
        <f t="shared" si="43"/>
        <v>140481</v>
      </c>
      <c r="DE21" s="712">
        <f t="shared" si="44"/>
        <v>-6730.7799999999988</v>
      </c>
      <c r="DF21" s="901">
        <f>IF(ISERROR(VLOOKUP($B21,'MRI Data'!$A:$P,DH$10+3,FALSE)),0,VLOOKUP($B21,'MRI Data'!$A:$P,DH$10+3,FALSE))</f>
        <v>11425</v>
      </c>
      <c r="DG21" s="901"/>
      <c r="DH21" s="901">
        <f t="shared" si="61"/>
        <v>11425</v>
      </c>
      <c r="DI21" s="659">
        <v>12771</v>
      </c>
      <c r="DJ21" s="712">
        <f t="shared" si="45"/>
        <v>-1346</v>
      </c>
      <c r="DK21" s="659"/>
      <c r="DL21" s="712">
        <f t="shared" si="46"/>
        <v>145175.22</v>
      </c>
      <c r="DM21" s="712">
        <f t="shared" si="47"/>
        <v>153252</v>
      </c>
      <c r="DN21" s="712">
        <f t="shared" si="48"/>
        <v>-8076.7799999999988</v>
      </c>
      <c r="DO21" s="739" t="s">
        <v>97</v>
      </c>
      <c r="DP21" s="712"/>
      <c r="DQ21" s="734">
        <f t="shared" si="49"/>
        <v>153252</v>
      </c>
      <c r="DR21" s="734">
        <f>(11425-12771)*6</f>
        <v>-8076</v>
      </c>
      <c r="DS21" s="739" t="s">
        <v>97</v>
      </c>
    </row>
    <row r="22" spans="1:123" s="665" customFormat="1" ht="14.15" customHeight="1">
      <c r="A22" s="665">
        <f t="shared" si="62"/>
        <v>9</v>
      </c>
      <c r="C22" s="741" t="s">
        <v>98</v>
      </c>
      <c r="D22" s="867">
        <v>39234</v>
      </c>
      <c r="E22" s="866">
        <v>42735</v>
      </c>
      <c r="F22" s="730" t="s">
        <v>71</v>
      </c>
      <c r="G22" s="729" t="s">
        <v>99</v>
      </c>
      <c r="H22" s="731">
        <v>1309</v>
      </c>
      <c r="I22" s="732">
        <f t="shared" si="0"/>
        <v>1E-4</v>
      </c>
      <c r="J22" s="656"/>
      <c r="K22" s="901">
        <f>IF(ISERROR(VLOOKUP($B22,'MRI Data'!$A:$P,M$10+3,FALSE)),0,VLOOKUP($B22,'MRI Data'!$A:$P,M$10+3,FALSE))</f>
        <v>0</v>
      </c>
      <c r="L22" s="901">
        <v>1E-4</v>
      </c>
      <c r="M22" s="901">
        <f t="shared" si="50"/>
        <v>1E-4</v>
      </c>
      <c r="N22" s="712">
        <v>0</v>
      </c>
      <c r="O22" s="712">
        <f t="shared" si="1"/>
        <v>1E-4</v>
      </c>
      <c r="P22" s="656"/>
      <c r="Q22" s="659">
        <f t="shared" si="2"/>
        <v>1E-4</v>
      </c>
      <c r="R22" s="712">
        <f t="shared" si="3"/>
        <v>0</v>
      </c>
      <c r="S22" s="712">
        <f t="shared" si="4"/>
        <v>1E-4</v>
      </c>
      <c r="T22" s="901">
        <f>IF(ISERROR(VLOOKUP($B22,'MRI Data'!$A:$P,V$10+3,FALSE)),0,VLOOKUP($B22,'MRI Data'!$A:$P,V$10+3,FALSE))</f>
        <v>0</v>
      </c>
      <c r="U22" s="901">
        <v>1E-4</v>
      </c>
      <c r="V22" s="901">
        <f t="shared" si="51"/>
        <v>1E-4</v>
      </c>
      <c r="W22" s="659">
        <v>0</v>
      </c>
      <c r="X22" s="712">
        <f t="shared" si="5"/>
        <v>1E-4</v>
      </c>
      <c r="Y22" s="659"/>
      <c r="Z22" s="712">
        <f t="shared" si="6"/>
        <v>2.0000000000000001E-4</v>
      </c>
      <c r="AA22" s="712">
        <f t="shared" si="7"/>
        <v>0</v>
      </c>
      <c r="AB22" s="712">
        <f t="shared" si="8"/>
        <v>2.0000000000000001E-4</v>
      </c>
      <c r="AC22" s="901">
        <f>IF(ISERROR(VLOOKUP($B22,'MRI Data'!$A:$P,AE$10+3,FALSE)),0,VLOOKUP($B22,'MRI Data'!$A:$P,AE$10+3,FALSE))</f>
        <v>0</v>
      </c>
      <c r="AD22" s="901">
        <v>1E-4</v>
      </c>
      <c r="AE22" s="901">
        <f t="shared" si="52"/>
        <v>1E-4</v>
      </c>
      <c r="AF22" s="659">
        <v>0</v>
      </c>
      <c r="AG22" s="712">
        <f t="shared" si="9"/>
        <v>1E-4</v>
      </c>
      <c r="AH22" s="659"/>
      <c r="AI22" s="712">
        <f t="shared" si="10"/>
        <v>3.0000000000000003E-4</v>
      </c>
      <c r="AJ22" s="712">
        <f t="shared" si="11"/>
        <v>0</v>
      </c>
      <c r="AK22" s="712">
        <f t="shared" si="12"/>
        <v>3.0000000000000003E-4</v>
      </c>
      <c r="AL22" s="901">
        <f>IF(ISERROR(VLOOKUP($B22,'MRI Data'!$A:$P,AN$10+3,FALSE)),0,VLOOKUP($B22,'MRI Data'!$A:$P,AN$10+3,FALSE))</f>
        <v>0</v>
      </c>
      <c r="AM22" s="901">
        <v>1E-4</v>
      </c>
      <c r="AN22" s="901">
        <f t="shared" si="53"/>
        <v>1E-4</v>
      </c>
      <c r="AO22" s="659">
        <v>0</v>
      </c>
      <c r="AP22" s="712">
        <f t="shared" si="13"/>
        <v>1E-4</v>
      </c>
      <c r="AQ22" s="659"/>
      <c r="AR22" s="712">
        <f t="shared" si="14"/>
        <v>4.0000000000000002E-4</v>
      </c>
      <c r="AS22" s="712">
        <f t="shared" si="15"/>
        <v>0</v>
      </c>
      <c r="AT22" s="712">
        <f t="shared" si="16"/>
        <v>4.0000000000000002E-4</v>
      </c>
      <c r="AU22" s="901">
        <f>IF(ISERROR(VLOOKUP($B22,'MRI Data'!$A:$P,AW$10+3,FALSE)),0,VLOOKUP($B22,'MRI Data'!$A:$P,AW$10+3,FALSE))</f>
        <v>0</v>
      </c>
      <c r="AV22" s="901">
        <v>1E-4</v>
      </c>
      <c r="AW22" s="901">
        <f t="shared" si="54"/>
        <v>1E-4</v>
      </c>
      <c r="AX22" s="659">
        <v>0</v>
      </c>
      <c r="AY22" s="712">
        <f t="shared" si="17"/>
        <v>1E-4</v>
      </c>
      <c r="AZ22" s="659"/>
      <c r="BA22" s="712">
        <f t="shared" si="18"/>
        <v>5.0000000000000001E-4</v>
      </c>
      <c r="BB22" s="712">
        <f t="shared" si="19"/>
        <v>0</v>
      </c>
      <c r="BC22" s="712">
        <f t="shared" si="20"/>
        <v>5.0000000000000001E-4</v>
      </c>
      <c r="BD22" s="901">
        <f>IF(ISERROR(VLOOKUP($B22,'MRI Data'!$A:$P,BF$10+3,FALSE)),0,VLOOKUP($B22,'MRI Data'!$A:$P,BF$10+3,FALSE))</f>
        <v>0</v>
      </c>
      <c r="BE22" s="901">
        <v>1E-4</v>
      </c>
      <c r="BF22" s="901">
        <f t="shared" si="55"/>
        <v>1E-4</v>
      </c>
      <c r="BG22" s="659">
        <v>0</v>
      </c>
      <c r="BH22" s="712">
        <f t="shared" si="21"/>
        <v>1E-4</v>
      </c>
      <c r="BI22" s="659"/>
      <c r="BJ22" s="712">
        <f t="shared" si="22"/>
        <v>6.0000000000000006E-4</v>
      </c>
      <c r="BK22" s="712">
        <f t="shared" si="23"/>
        <v>0</v>
      </c>
      <c r="BL22" s="712">
        <f t="shared" si="24"/>
        <v>6.0000000000000006E-4</v>
      </c>
      <c r="BM22" s="901">
        <f>IF(ISERROR(VLOOKUP($B22,'MRI Data'!$A:$P,BO$10+3,FALSE)),0,VLOOKUP($B22,'MRI Data'!$A:$P,BO$10+3,FALSE))</f>
        <v>0</v>
      </c>
      <c r="BN22" s="901">
        <v>1E-4</v>
      </c>
      <c r="BO22" s="901">
        <f t="shared" si="56"/>
        <v>1E-4</v>
      </c>
      <c r="BP22" s="659">
        <v>0</v>
      </c>
      <c r="BQ22" s="712">
        <f t="shared" si="25"/>
        <v>1E-4</v>
      </c>
      <c r="BR22" s="659"/>
      <c r="BS22" s="712">
        <f t="shared" si="26"/>
        <v>7.000000000000001E-4</v>
      </c>
      <c r="BT22" s="712">
        <f t="shared" si="27"/>
        <v>0</v>
      </c>
      <c r="BU22" s="712">
        <f t="shared" si="28"/>
        <v>7.000000000000001E-4</v>
      </c>
      <c r="BV22" s="901">
        <f>IF(ISERROR(VLOOKUP($B22,'MRI Data'!$A:$P,BX$10+3,FALSE)),0,VLOOKUP($B22,'MRI Data'!$A:$P,BX$10+3,FALSE))</f>
        <v>0</v>
      </c>
      <c r="BW22" s="901">
        <v>1E-4</v>
      </c>
      <c r="BX22" s="901">
        <f t="shared" si="57"/>
        <v>1E-4</v>
      </c>
      <c r="BY22" s="659">
        <v>0</v>
      </c>
      <c r="BZ22" s="712">
        <f t="shared" si="29"/>
        <v>1E-4</v>
      </c>
      <c r="CA22" s="659"/>
      <c r="CB22" s="712">
        <f t="shared" si="30"/>
        <v>8.0000000000000015E-4</v>
      </c>
      <c r="CC22" s="712">
        <f t="shared" si="31"/>
        <v>0</v>
      </c>
      <c r="CD22" s="712">
        <f t="shared" si="32"/>
        <v>8.0000000000000015E-4</v>
      </c>
      <c r="CE22" s="901">
        <f>IF(ISERROR(VLOOKUP($B22,'MRI Data'!$A:$P,CG$10+3,FALSE)),0,VLOOKUP($B22,'MRI Data'!$A:$P,CG$10+3,FALSE))</f>
        <v>0</v>
      </c>
      <c r="CF22" s="901">
        <v>1E-4</v>
      </c>
      <c r="CG22" s="901">
        <f t="shared" si="58"/>
        <v>1E-4</v>
      </c>
      <c r="CH22" s="659">
        <v>0</v>
      </c>
      <c r="CI22" s="712">
        <f t="shared" si="33"/>
        <v>1E-4</v>
      </c>
      <c r="CJ22" s="659"/>
      <c r="CK22" s="712">
        <f t="shared" si="34"/>
        <v>9.0000000000000019E-4</v>
      </c>
      <c r="CL22" s="712">
        <f t="shared" si="35"/>
        <v>0</v>
      </c>
      <c r="CM22" s="712">
        <f t="shared" si="36"/>
        <v>9.0000000000000019E-4</v>
      </c>
      <c r="CN22" s="901">
        <f>IF(ISERROR(VLOOKUP($B22,'MRI Data'!$A:$P,CP$10+3,FALSE)),0,VLOOKUP($B22,'MRI Data'!$A:$P,CP$10+3,FALSE))</f>
        <v>0</v>
      </c>
      <c r="CO22" s="901">
        <v>1E-4</v>
      </c>
      <c r="CP22" s="901">
        <f t="shared" si="59"/>
        <v>1E-4</v>
      </c>
      <c r="CQ22" s="712">
        <v>0</v>
      </c>
      <c r="CR22" s="712">
        <f t="shared" si="37"/>
        <v>1E-4</v>
      </c>
      <c r="CS22" s="659"/>
      <c r="CT22" s="712">
        <f t="shared" si="38"/>
        <v>1.0000000000000002E-3</v>
      </c>
      <c r="CU22" s="712">
        <f t="shared" si="39"/>
        <v>0</v>
      </c>
      <c r="CV22" s="712">
        <f t="shared" si="40"/>
        <v>1.0000000000000002E-3</v>
      </c>
      <c r="CW22" s="901">
        <f>IF(ISERROR(VLOOKUP($B22,'MRI Data'!$A:$P,CY$10+3,FALSE)),0,VLOOKUP($B22,'MRI Data'!$A:$P,CY$10+3,FALSE))</f>
        <v>0</v>
      </c>
      <c r="CX22" s="901">
        <v>1E-4</v>
      </c>
      <c r="CY22" s="901">
        <f t="shared" si="60"/>
        <v>1E-4</v>
      </c>
      <c r="CZ22" s="659">
        <v>0</v>
      </c>
      <c r="DA22" s="712">
        <f t="shared" si="41"/>
        <v>1E-4</v>
      </c>
      <c r="DB22" s="659"/>
      <c r="DC22" s="712">
        <f t="shared" si="42"/>
        <v>1.1000000000000003E-3</v>
      </c>
      <c r="DD22" s="712">
        <f t="shared" si="43"/>
        <v>0</v>
      </c>
      <c r="DE22" s="712">
        <f t="shared" si="44"/>
        <v>1.1000000000000003E-3</v>
      </c>
      <c r="DF22" s="901">
        <f>IF(ISERROR(VLOOKUP($B22,'MRI Data'!$A:$P,DH$10+3,FALSE)),0,VLOOKUP($B22,'MRI Data'!$A:$P,DH$10+3,FALSE))</f>
        <v>0</v>
      </c>
      <c r="DG22" s="901">
        <v>1E-4</v>
      </c>
      <c r="DH22" s="901">
        <f t="shared" si="61"/>
        <v>1E-4</v>
      </c>
      <c r="DI22" s="659">
        <v>0</v>
      </c>
      <c r="DJ22" s="712">
        <f t="shared" si="45"/>
        <v>1E-4</v>
      </c>
      <c r="DK22" s="659"/>
      <c r="DL22" s="712">
        <f t="shared" si="46"/>
        <v>1.2000000000000003E-3</v>
      </c>
      <c r="DM22" s="712">
        <f t="shared" si="47"/>
        <v>0</v>
      </c>
      <c r="DN22" s="712">
        <f t="shared" si="48"/>
        <v>1.2000000000000003E-3</v>
      </c>
      <c r="DO22" s="742"/>
      <c r="DP22" s="712"/>
      <c r="DQ22" s="734">
        <f t="shared" si="49"/>
        <v>0</v>
      </c>
      <c r="DR22" s="734">
        <v>0</v>
      </c>
      <c r="DS22" s="735"/>
    </row>
    <row r="23" spans="1:123" s="665" customFormat="1" ht="14.15" customHeight="1">
      <c r="A23" s="665">
        <f t="shared" si="62"/>
        <v>10</v>
      </c>
      <c r="C23" s="728" t="s">
        <v>100</v>
      </c>
      <c r="D23" s="866"/>
      <c r="E23" s="866"/>
      <c r="F23" s="730" t="s">
        <v>100</v>
      </c>
      <c r="G23" s="729" t="s">
        <v>101</v>
      </c>
      <c r="H23" s="731">
        <v>1200</v>
      </c>
      <c r="I23" s="732">
        <f t="shared" si="0"/>
        <v>0</v>
      </c>
      <c r="J23" s="656"/>
      <c r="K23" s="901">
        <f>IF(ISERROR(VLOOKUP($B23,'MRI Data'!$A:$P,M$10+3,FALSE)),0,VLOOKUP($B23,'MRI Data'!$A:$P,M$10+3,FALSE))</f>
        <v>0</v>
      </c>
      <c r="L23" s="901"/>
      <c r="M23" s="901">
        <f t="shared" si="50"/>
        <v>0</v>
      </c>
      <c r="N23" s="712">
        <v>0</v>
      </c>
      <c r="O23" s="712">
        <f t="shared" si="1"/>
        <v>0</v>
      </c>
      <c r="P23" s="656"/>
      <c r="Q23" s="712">
        <f t="shared" si="2"/>
        <v>0</v>
      </c>
      <c r="R23" s="712">
        <f t="shared" si="3"/>
        <v>0</v>
      </c>
      <c r="S23" s="712">
        <f t="shared" si="4"/>
        <v>0</v>
      </c>
      <c r="T23" s="901">
        <f>IF(ISERROR(VLOOKUP($B23,'MRI Data'!$A:$P,V$10+3,FALSE)),0,VLOOKUP($B23,'MRI Data'!$A:$P,V$10+3,FALSE))</f>
        <v>0</v>
      </c>
      <c r="U23" s="901"/>
      <c r="V23" s="901">
        <f t="shared" si="51"/>
        <v>0</v>
      </c>
      <c r="W23" s="712">
        <v>0</v>
      </c>
      <c r="X23" s="712">
        <f t="shared" si="5"/>
        <v>0</v>
      </c>
      <c r="Y23" s="659"/>
      <c r="Z23" s="712">
        <f t="shared" si="6"/>
        <v>0</v>
      </c>
      <c r="AA23" s="712">
        <f t="shared" si="7"/>
        <v>0</v>
      </c>
      <c r="AB23" s="712">
        <f t="shared" si="8"/>
        <v>0</v>
      </c>
      <c r="AC23" s="901">
        <f>IF(ISERROR(VLOOKUP($B23,'MRI Data'!$A:$P,AE$10+3,FALSE)),0,VLOOKUP($B23,'MRI Data'!$A:$P,AE$10+3,FALSE))</f>
        <v>0</v>
      </c>
      <c r="AD23" s="901"/>
      <c r="AE23" s="901">
        <f t="shared" si="52"/>
        <v>0</v>
      </c>
      <c r="AF23" s="712">
        <v>0</v>
      </c>
      <c r="AG23" s="712">
        <f t="shared" si="9"/>
        <v>0</v>
      </c>
      <c r="AH23" s="659"/>
      <c r="AI23" s="712">
        <f t="shared" si="10"/>
        <v>0</v>
      </c>
      <c r="AJ23" s="712">
        <f t="shared" si="11"/>
        <v>0</v>
      </c>
      <c r="AK23" s="712">
        <f t="shared" si="12"/>
        <v>0</v>
      </c>
      <c r="AL23" s="901">
        <f>IF(ISERROR(VLOOKUP($B23,'MRI Data'!$A:$P,AN$10+3,FALSE)),0,VLOOKUP($B23,'MRI Data'!$A:$P,AN$10+3,FALSE))</f>
        <v>0</v>
      </c>
      <c r="AM23" s="901"/>
      <c r="AN23" s="901">
        <f t="shared" si="53"/>
        <v>0</v>
      </c>
      <c r="AO23" s="712">
        <v>0</v>
      </c>
      <c r="AP23" s="712">
        <f t="shared" si="13"/>
        <v>0</v>
      </c>
      <c r="AQ23" s="659"/>
      <c r="AR23" s="712">
        <f t="shared" si="14"/>
        <v>0</v>
      </c>
      <c r="AS23" s="712">
        <f t="shared" si="15"/>
        <v>0</v>
      </c>
      <c r="AT23" s="712">
        <f t="shared" si="16"/>
        <v>0</v>
      </c>
      <c r="AU23" s="901">
        <f>IF(ISERROR(VLOOKUP($B23,'MRI Data'!$A:$P,AW$10+3,FALSE)),0,VLOOKUP($B23,'MRI Data'!$A:$P,AW$10+3,FALSE))</f>
        <v>0</v>
      </c>
      <c r="AV23" s="901"/>
      <c r="AW23" s="901">
        <f t="shared" si="54"/>
        <v>0</v>
      </c>
      <c r="AX23" s="712">
        <v>0</v>
      </c>
      <c r="AY23" s="712">
        <f t="shared" si="17"/>
        <v>0</v>
      </c>
      <c r="AZ23" s="659"/>
      <c r="BA23" s="712">
        <f t="shared" si="18"/>
        <v>0</v>
      </c>
      <c r="BB23" s="712">
        <f t="shared" si="19"/>
        <v>0</v>
      </c>
      <c r="BC23" s="712">
        <f t="shared" si="20"/>
        <v>0</v>
      </c>
      <c r="BD23" s="901">
        <f>IF(ISERROR(VLOOKUP($B23,'MRI Data'!$A:$P,BF$10+3,FALSE)),0,VLOOKUP($B23,'MRI Data'!$A:$P,BF$10+3,FALSE))</f>
        <v>0</v>
      </c>
      <c r="BE23" s="901"/>
      <c r="BF23" s="901">
        <f t="shared" si="55"/>
        <v>0</v>
      </c>
      <c r="BG23" s="712">
        <v>5500</v>
      </c>
      <c r="BH23" s="712">
        <f t="shared" si="21"/>
        <v>-5500</v>
      </c>
      <c r="BI23" s="659"/>
      <c r="BJ23" s="712">
        <f t="shared" si="22"/>
        <v>0</v>
      </c>
      <c r="BK23" s="712">
        <f t="shared" si="23"/>
        <v>5500</v>
      </c>
      <c r="BL23" s="712">
        <f t="shared" si="24"/>
        <v>-5500</v>
      </c>
      <c r="BM23" s="901">
        <f>IF(ISERROR(VLOOKUP($B23,'MRI Data'!$A:$P,BO$10+3,FALSE)),0,VLOOKUP($B23,'MRI Data'!$A:$P,BO$10+3,FALSE))</f>
        <v>0</v>
      </c>
      <c r="BN23" s="901"/>
      <c r="BO23" s="901">
        <f t="shared" si="56"/>
        <v>0</v>
      </c>
      <c r="BP23" s="712">
        <v>5500</v>
      </c>
      <c r="BQ23" s="712">
        <f t="shared" si="25"/>
        <v>-5500</v>
      </c>
      <c r="BR23" s="659"/>
      <c r="BS23" s="712">
        <f t="shared" si="26"/>
        <v>0</v>
      </c>
      <c r="BT23" s="712">
        <f t="shared" si="27"/>
        <v>11000</v>
      </c>
      <c r="BU23" s="712">
        <f t="shared" si="28"/>
        <v>-11000</v>
      </c>
      <c r="BV23" s="901">
        <f>IF(ISERROR(VLOOKUP($B23,'MRI Data'!$A:$P,BX$10+3,FALSE)),0,VLOOKUP($B23,'MRI Data'!$A:$P,BX$10+3,FALSE))</f>
        <v>0</v>
      </c>
      <c r="BW23" s="901"/>
      <c r="BX23" s="901">
        <f t="shared" si="57"/>
        <v>0</v>
      </c>
      <c r="BY23" s="712">
        <v>5500</v>
      </c>
      <c r="BZ23" s="712">
        <f t="shared" si="29"/>
        <v>-5500</v>
      </c>
      <c r="CA23" s="659"/>
      <c r="CB23" s="712">
        <f t="shared" si="30"/>
        <v>0</v>
      </c>
      <c r="CC23" s="712">
        <f t="shared" si="31"/>
        <v>16500</v>
      </c>
      <c r="CD23" s="712">
        <f t="shared" si="32"/>
        <v>-16500</v>
      </c>
      <c r="CE23" s="901">
        <f>IF(ISERROR(VLOOKUP($B23,'MRI Data'!$A:$P,CG$10+3,FALSE)),0,VLOOKUP($B23,'MRI Data'!$A:$P,CG$10+3,FALSE))</f>
        <v>0</v>
      </c>
      <c r="CF23" s="901"/>
      <c r="CG23" s="901">
        <f t="shared" si="58"/>
        <v>0</v>
      </c>
      <c r="CH23" s="712">
        <v>5500</v>
      </c>
      <c r="CI23" s="712">
        <f t="shared" si="33"/>
        <v>-5500</v>
      </c>
      <c r="CJ23" s="659"/>
      <c r="CK23" s="712">
        <f t="shared" si="34"/>
        <v>0</v>
      </c>
      <c r="CL23" s="712">
        <f t="shared" si="35"/>
        <v>22000</v>
      </c>
      <c r="CM23" s="712">
        <f t="shared" si="36"/>
        <v>-22000</v>
      </c>
      <c r="CN23" s="901">
        <f>IF(ISERROR(VLOOKUP($B23,'MRI Data'!$A:$P,CP$10+3,FALSE)),0,VLOOKUP($B23,'MRI Data'!$A:$P,CP$10+3,FALSE))</f>
        <v>0</v>
      </c>
      <c r="CO23" s="901"/>
      <c r="CP23" s="901">
        <f t="shared" si="59"/>
        <v>0</v>
      </c>
      <c r="CQ23" s="712">
        <v>5500</v>
      </c>
      <c r="CR23" s="712">
        <f t="shared" si="37"/>
        <v>-5500</v>
      </c>
      <c r="CS23" s="659"/>
      <c r="CT23" s="712">
        <f t="shared" si="38"/>
        <v>0</v>
      </c>
      <c r="CU23" s="712">
        <f t="shared" si="39"/>
        <v>27500</v>
      </c>
      <c r="CV23" s="712">
        <f t="shared" si="40"/>
        <v>-27500</v>
      </c>
      <c r="CW23" s="901">
        <f>IF(ISERROR(VLOOKUP($B23,'MRI Data'!$A:$P,CY$10+3,FALSE)),0,VLOOKUP($B23,'MRI Data'!$A:$P,CY$10+3,FALSE))</f>
        <v>0</v>
      </c>
      <c r="CX23" s="901"/>
      <c r="CY23" s="901">
        <f t="shared" si="60"/>
        <v>0</v>
      </c>
      <c r="CZ23" s="712">
        <v>5500</v>
      </c>
      <c r="DA23" s="712">
        <f t="shared" si="41"/>
        <v>-5500</v>
      </c>
      <c r="DB23" s="659"/>
      <c r="DC23" s="712">
        <f t="shared" si="42"/>
        <v>0</v>
      </c>
      <c r="DD23" s="712">
        <f t="shared" si="43"/>
        <v>33000</v>
      </c>
      <c r="DE23" s="712">
        <f t="shared" si="44"/>
        <v>-33000</v>
      </c>
      <c r="DF23" s="901">
        <f>IF(ISERROR(VLOOKUP($B23,'MRI Data'!$A:$P,DH$10+3,FALSE)),0,VLOOKUP($B23,'MRI Data'!$A:$P,DH$10+3,FALSE))</f>
        <v>0</v>
      </c>
      <c r="DG23" s="901"/>
      <c r="DH23" s="901">
        <f t="shared" si="61"/>
        <v>0</v>
      </c>
      <c r="DI23" s="712">
        <v>5500</v>
      </c>
      <c r="DJ23" s="712">
        <f t="shared" si="45"/>
        <v>-5500</v>
      </c>
      <c r="DK23" s="659"/>
      <c r="DL23" s="712">
        <f t="shared" si="46"/>
        <v>0</v>
      </c>
      <c r="DM23" s="712">
        <f t="shared" si="47"/>
        <v>38500</v>
      </c>
      <c r="DN23" s="712">
        <f t="shared" si="48"/>
        <v>-38500</v>
      </c>
      <c r="DO23" s="742" t="s">
        <v>102</v>
      </c>
      <c r="DP23" s="712"/>
      <c r="DQ23" s="734">
        <f t="shared" si="49"/>
        <v>38500</v>
      </c>
      <c r="DR23" s="734">
        <v>-38500</v>
      </c>
      <c r="DS23" s="742" t="s">
        <v>102</v>
      </c>
    </row>
    <row r="24" spans="1:123" s="665" customFormat="1" ht="14.15" hidden="1" customHeight="1">
      <c r="A24" s="665">
        <f t="shared" ref="A24:A39" si="63">+A23+1</f>
        <v>11</v>
      </c>
      <c r="C24" s="728"/>
      <c r="D24" s="729"/>
      <c r="E24" s="729"/>
      <c r="F24" s="730"/>
      <c r="G24" s="729"/>
      <c r="H24" s="731"/>
      <c r="I24" s="732">
        <f t="shared" si="0"/>
        <v>0</v>
      </c>
      <c r="J24" s="656"/>
      <c r="K24" s="901"/>
      <c r="L24" s="901"/>
      <c r="M24" s="901">
        <f t="shared" si="50"/>
        <v>0</v>
      </c>
      <c r="N24" s="659"/>
      <c r="O24" s="712">
        <f t="shared" ref="O24:O39" si="64">+M24-N24</f>
        <v>0</v>
      </c>
      <c r="P24" s="656"/>
      <c r="Q24" s="659">
        <f t="shared" ref="Q24:Q39" si="65">+M24</f>
        <v>0</v>
      </c>
      <c r="R24" s="659">
        <f t="shared" ref="R24:R39" si="66">+N24</f>
        <v>0</v>
      </c>
      <c r="S24" s="712">
        <f t="shared" si="4"/>
        <v>0</v>
      </c>
      <c r="T24" s="901"/>
      <c r="U24" s="901"/>
      <c r="V24" s="901">
        <f t="shared" si="51"/>
        <v>0</v>
      </c>
      <c r="W24" s="659"/>
      <c r="X24" s="712">
        <f t="shared" ref="X24:X39" si="67">+V24-W24</f>
        <v>0</v>
      </c>
      <c r="Y24" s="659"/>
      <c r="Z24" s="712">
        <f t="shared" ref="Z24:Z39" si="68">+Q24+V24</f>
        <v>0</v>
      </c>
      <c r="AA24" s="712">
        <f t="shared" ref="AA24:AA39" si="69">+R24+W24</f>
        <v>0</v>
      </c>
      <c r="AB24" s="712">
        <f t="shared" ref="AB24:AB39" si="70">+Z24-AA24</f>
        <v>0</v>
      </c>
      <c r="AC24" s="901"/>
      <c r="AD24" s="901"/>
      <c r="AE24" s="901">
        <f t="shared" si="52"/>
        <v>0</v>
      </c>
      <c r="AF24" s="659"/>
      <c r="AG24" s="712">
        <f t="shared" ref="AG24:AG39" si="71">+AE24-AF24</f>
        <v>0</v>
      </c>
      <c r="AH24" s="659"/>
      <c r="AI24" s="712">
        <f t="shared" ref="AI24:AI39" si="72">+Z24+AE24</f>
        <v>0</v>
      </c>
      <c r="AJ24" s="712">
        <f t="shared" ref="AJ24:AJ39" si="73">+AA24+AF24</f>
        <v>0</v>
      </c>
      <c r="AK24" s="712">
        <f t="shared" ref="AK24:AK39" si="74">+AI24-AJ24</f>
        <v>0</v>
      </c>
      <c r="AL24" s="901"/>
      <c r="AM24" s="901"/>
      <c r="AN24" s="901">
        <f t="shared" si="53"/>
        <v>0</v>
      </c>
      <c r="AO24" s="659"/>
      <c r="AP24" s="712">
        <f t="shared" ref="AP24:AP39" si="75">+AN24-AO24</f>
        <v>0</v>
      </c>
      <c r="AQ24" s="659"/>
      <c r="AR24" s="712">
        <f t="shared" ref="AR24:AR39" si="76">+AI24+AN24</f>
        <v>0</v>
      </c>
      <c r="AS24" s="712">
        <f t="shared" ref="AS24:AS39" si="77">+AJ24+AO24</f>
        <v>0</v>
      </c>
      <c r="AT24" s="712">
        <f t="shared" ref="AT24:AT39" si="78">+AR24-AS24</f>
        <v>0</v>
      </c>
      <c r="AU24" s="901"/>
      <c r="AV24" s="901"/>
      <c r="AW24" s="901">
        <f t="shared" si="54"/>
        <v>0</v>
      </c>
      <c r="AX24" s="659"/>
      <c r="AY24" s="712">
        <f t="shared" ref="AY24:AY39" si="79">+AW24-AX24</f>
        <v>0</v>
      </c>
      <c r="AZ24" s="659"/>
      <c r="BA24" s="712">
        <f t="shared" ref="BA24:BA39" si="80">+AR24+AW24</f>
        <v>0</v>
      </c>
      <c r="BB24" s="712">
        <f t="shared" ref="BB24:BB39" si="81">+AS24+AX24</f>
        <v>0</v>
      </c>
      <c r="BC24" s="712">
        <f t="shared" ref="BC24:BC39" si="82">+BA24-BB24</f>
        <v>0</v>
      </c>
      <c r="BD24" s="901"/>
      <c r="BE24" s="901"/>
      <c r="BF24" s="901">
        <f t="shared" si="55"/>
        <v>0</v>
      </c>
      <c r="BG24" s="659"/>
      <c r="BH24" s="712">
        <f t="shared" ref="BH24:BH39" si="83">+BF24-BG24</f>
        <v>0</v>
      </c>
      <c r="BI24" s="659"/>
      <c r="BJ24" s="712">
        <f t="shared" ref="BJ24:BJ39" si="84">+BA24+BF24</f>
        <v>0</v>
      </c>
      <c r="BK24" s="712">
        <f t="shared" ref="BK24:BK39" si="85">+BB24+BG24</f>
        <v>0</v>
      </c>
      <c r="BL24" s="712">
        <f t="shared" ref="BL24:BL39" si="86">+BJ24-BK24</f>
        <v>0</v>
      </c>
      <c r="BM24" s="901"/>
      <c r="BN24" s="901"/>
      <c r="BO24" s="901">
        <f t="shared" si="56"/>
        <v>0</v>
      </c>
      <c r="BP24" s="659"/>
      <c r="BQ24" s="712">
        <f t="shared" ref="BQ24:BQ39" si="87">+BO24-BP24</f>
        <v>0</v>
      </c>
      <c r="BR24" s="659"/>
      <c r="BS24" s="712">
        <f t="shared" si="26"/>
        <v>0</v>
      </c>
      <c r="BT24" s="712">
        <f t="shared" si="27"/>
        <v>0</v>
      </c>
      <c r="BU24" s="712">
        <f t="shared" ref="BU24:BU39" si="88">+BS24-BT24</f>
        <v>0</v>
      </c>
      <c r="BV24" s="901"/>
      <c r="BW24" s="901"/>
      <c r="BX24" s="901">
        <f t="shared" si="57"/>
        <v>0</v>
      </c>
      <c r="BY24" s="659"/>
      <c r="BZ24" s="712">
        <f t="shared" ref="BZ24:BZ39" si="89">+BX24-BY24</f>
        <v>0</v>
      </c>
      <c r="CA24" s="659"/>
      <c r="CB24" s="712">
        <f t="shared" ref="CB24:CB39" si="90">+BS24+BX24</f>
        <v>0</v>
      </c>
      <c r="CC24" s="712">
        <f t="shared" ref="CC24:CC39" si="91">+BT24+BY24</f>
        <v>0</v>
      </c>
      <c r="CD24" s="712">
        <f t="shared" ref="CD24:CD39" si="92">+CB24-CC24</f>
        <v>0</v>
      </c>
      <c r="CE24" s="901"/>
      <c r="CF24" s="901"/>
      <c r="CG24" s="901">
        <f t="shared" si="58"/>
        <v>0</v>
      </c>
      <c r="CH24" s="659"/>
      <c r="CI24" s="712">
        <f t="shared" ref="CI24:CI39" si="93">+CG24-CH24</f>
        <v>0</v>
      </c>
      <c r="CJ24" s="659"/>
      <c r="CK24" s="712">
        <f t="shared" ref="CK24:CK39" si="94">+CB24+CG24</f>
        <v>0</v>
      </c>
      <c r="CL24" s="712">
        <f t="shared" ref="CL24:CL39" si="95">+CC24+CH24</f>
        <v>0</v>
      </c>
      <c r="CM24" s="712">
        <f t="shared" ref="CM24:CM39" si="96">+CK24-CL24</f>
        <v>0</v>
      </c>
      <c r="CN24" s="901"/>
      <c r="CO24" s="901"/>
      <c r="CP24" s="901">
        <f t="shared" si="59"/>
        <v>0</v>
      </c>
      <c r="CQ24" s="659"/>
      <c r="CR24" s="712">
        <f t="shared" ref="CR24:CR39" si="97">+CP24-CQ24</f>
        <v>0</v>
      </c>
      <c r="CS24" s="659"/>
      <c r="CT24" s="712">
        <f t="shared" ref="CT24:CT39" si="98">+CK24+CP24</f>
        <v>0</v>
      </c>
      <c r="CU24" s="712">
        <f t="shared" ref="CU24:CU39" si="99">+CL24+CQ24</f>
        <v>0</v>
      </c>
      <c r="CV24" s="712">
        <f t="shared" ref="CV24:CV39" si="100">+CT24-CU24</f>
        <v>0</v>
      </c>
      <c r="CW24" s="901"/>
      <c r="CX24" s="901"/>
      <c r="CY24" s="901">
        <f t="shared" si="60"/>
        <v>0</v>
      </c>
      <c r="CZ24" s="659"/>
      <c r="DA24" s="712">
        <f t="shared" ref="DA24:DA39" si="101">+CY24-CZ24</f>
        <v>0</v>
      </c>
      <c r="DB24" s="659"/>
      <c r="DC24" s="712">
        <f t="shared" ref="DC24:DC39" si="102">+CT24+CY24</f>
        <v>0</v>
      </c>
      <c r="DD24" s="712">
        <f t="shared" ref="DD24:DD39" si="103">+CU24+CZ24</f>
        <v>0</v>
      </c>
      <c r="DE24" s="712">
        <f t="shared" ref="DE24:DE39" si="104">+DC24-DD24</f>
        <v>0</v>
      </c>
      <c r="DF24" s="901"/>
      <c r="DG24" s="901"/>
      <c r="DH24" s="901">
        <f t="shared" si="61"/>
        <v>0</v>
      </c>
      <c r="DI24" s="659"/>
      <c r="DJ24" s="712">
        <f t="shared" ref="DJ24:DJ39" si="105">+DH24-DI24</f>
        <v>0</v>
      </c>
      <c r="DK24" s="659"/>
      <c r="DL24" s="712">
        <f t="shared" ref="DL24:DL39" si="106">+DC24+DH24</f>
        <v>0</v>
      </c>
      <c r="DM24" s="712">
        <f t="shared" ref="DM24:DM39" si="107">+DD24+DI24</f>
        <v>0</v>
      </c>
      <c r="DN24" s="712">
        <f t="shared" ref="DN24:DN39" si="108">+DL24-DM24</f>
        <v>0</v>
      </c>
      <c r="DO24" s="735"/>
      <c r="DP24" s="712"/>
      <c r="DQ24" s="734">
        <f t="shared" ref="DQ24:DQ39" si="109">+DM24</f>
        <v>0</v>
      </c>
      <c r="DR24" s="734">
        <v>0</v>
      </c>
      <c r="DS24" s="735"/>
    </row>
    <row r="25" spans="1:123" s="665" customFormat="1" ht="14.15" hidden="1" customHeight="1">
      <c r="A25" s="665">
        <f t="shared" si="63"/>
        <v>12</v>
      </c>
      <c r="C25" s="728"/>
      <c r="D25" s="729"/>
      <c r="E25" s="729"/>
      <c r="F25" s="730"/>
      <c r="G25" s="729"/>
      <c r="H25" s="731"/>
      <c r="I25" s="732">
        <f t="shared" si="0"/>
        <v>0</v>
      </c>
      <c r="J25" s="656"/>
      <c r="K25" s="901"/>
      <c r="L25" s="901"/>
      <c r="M25" s="901">
        <f t="shared" si="50"/>
        <v>0</v>
      </c>
      <c r="N25" s="659"/>
      <c r="O25" s="712">
        <f t="shared" si="64"/>
        <v>0</v>
      </c>
      <c r="P25" s="656"/>
      <c r="Q25" s="659">
        <f t="shared" si="65"/>
        <v>0</v>
      </c>
      <c r="R25" s="659">
        <f t="shared" si="66"/>
        <v>0</v>
      </c>
      <c r="S25" s="712">
        <f t="shared" si="4"/>
        <v>0</v>
      </c>
      <c r="T25" s="901"/>
      <c r="U25" s="901"/>
      <c r="V25" s="901">
        <f t="shared" si="51"/>
        <v>0</v>
      </c>
      <c r="W25" s="659"/>
      <c r="X25" s="712">
        <f t="shared" si="67"/>
        <v>0</v>
      </c>
      <c r="Y25" s="659"/>
      <c r="Z25" s="712">
        <f t="shared" si="68"/>
        <v>0</v>
      </c>
      <c r="AA25" s="712">
        <f t="shared" si="69"/>
        <v>0</v>
      </c>
      <c r="AB25" s="712">
        <f t="shared" si="70"/>
        <v>0</v>
      </c>
      <c r="AC25" s="901"/>
      <c r="AD25" s="901"/>
      <c r="AE25" s="901">
        <f t="shared" si="52"/>
        <v>0</v>
      </c>
      <c r="AF25" s="659"/>
      <c r="AG25" s="712">
        <f t="shared" si="71"/>
        <v>0</v>
      </c>
      <c r="AH25" s="659"/>
      <c r="AI25" s="712">
        <f t="shared" si="72"/>
        <v>0</v>
      </c>
      <c r="AJ25" s="712">
        <f t="shared" si="73"/>
        <v>0</v>
      </c>
      <c r="AK25" s="712">
        <f t="shared" si="74"/>
        <v>0</v>
      </c>
      <c r="AL25" s="901"/>
      <c r="AM25" s="901"/>
      <c r="AN25" s="901">
        <f t="shared" si="53"/>
        <v>0</v>
      </c>
      <c r="AO25" s="659"/>
      <c r="AP25" s="712">
        <f t="shared" si="75"/>
        <v>0</v>
      </c>
      <c r="AQ25" s="659"/>
      <c r="AR25" s="712">
        <f t="shared" si="76"/>
        <v>0</v>
      </c>
      <c r="AS25" s="712">
        <f t="shared" si="77"/>
        <v>0</v>
      </c>
      <c r="AT25" s="712">
        <f t="shared" si="78"/>
        <v>0</v>
      </c>
      <c r="AU25" s="901"/>
      <c r="AV25" s="901"/>
      <c r="AW25" s="901">
        <f t="shared" si="54"/>
        <v>0</v>
      </c>
      <c r="AX25" s="659"/>
      <c r="AY25" s="712">
        <f t="shared" si="79"/>
        <v>0</v>
      </c>
      <c r="AZ25" s="659"/>
      <c r="BA25" s="712">
        <f t="shared" si="80"/>
        <v>0</v>
      </c>
      <c r="BB25" s="712">
        <f t="shared" si="81"/>
        <v>0</v>
      </c>
      <c r="BC25" s="712">
        <f t="shared" si="82"/>
        <v>0</v>
      </c>
      <c r="BD25" s="901"/>
      <c r="BE25" s="901"/>
      <c r="BF25" s="901">
        <f t="shared" si="55"/>
        <v>0</v>
      </c>
      <c r="BG25" s="659"/>
      <c r="BH25" s="712">
        <f t="shared" si="83"/>
        <v>0</v>
      </c>
      <c r="BI25" s="659"/>
      <c r="BJ25" s="712">
        <f t="shared" si="84"/>
        <v>0</v>
      </c>
      <c r="BK25" s="712">
        <f t="shared" si="85"/>
        <v>0</v>
      </c>
      <c r="BL25" s="712">
        <f t="shared" si="86"/>
        <v>0</v>
      </c>
      <c r="BM25" s="901"/>
      <c r="BN25" s="901"/>
      <c r="BO25" s="901">
        <f t="shared" si="56"/>
        <v>0</v>
      </c>
      <c r="BP25" s="659"/>
      <c r="BQ25" s="712">
        <f t="shared" si="87"/>
        <v>0</v>
      </c>
      <c r="BR25" s="659"/>
      <c r="BS25" s="712">
        <f t="shared" si="26"/>
        <v>0</v>
      </c>
      <c r="BT25" s="712">
        <f t="shared" si="27"/>
        <v>0</v>
      </c>
      <c r="BU25" s="712">
        <f t="shared" si="88"/>
        <v>0</v>
      </c>
      <c r="BV25" s="901"/>
      <c r="BW25" s="901"/>
      <c r="BX25" s="901">
        <f t="shared" si="57"/>
        <v>0</v>
      </c>
      <c r="BY25" s="659"/>
      <c r="BZ25" s="712">
        <f t="shared" si="89"/>
        <v>0</v>
      </c>
      <c r="CA25" s="659"/>
      <c r="CB25" s="712">
        <f t="shared" si="90"/>
        <v>0</v>
      </c>
      <c r="CC25" s="712">
        <f t="shared" si="91"/>
        <v>0</v>
      </c>
      <c r="CD25" s="712">
        <f t="shared" si="92"/>
        <v>0</v>
      </c>
      <c r="CE25" s="901"/>
      <c r="CF25" s="901"/>
      <c r="CG25" s="901">
        <f t="shared" si="58"/>
        <v>0</v>
      </c>
      <c r="CH25" s="659"/>
      <c r="CI25" s="712">
        <f t="shared" si="93"/>
        <v>0</v>
      </c>
      <c r="CJ25" s="659"/>
      <c r="CK25" s="712">
        <f t="shared" si="94"/>
        <v>0</v>
      </c>
      <c r="CL25" s="712">
        <f t="shared" si="95"/>
        <v>0</v>
      </c>
      <c r="CM25" s="712">
        <f t="shared" si="96"/>
        <v>0</v>
      </c>
      <c r="CN25" s="901"/>
      <c r="CO25" s="901"/>
      <c r="CP25" s="901">
        <f t="shared" si="59"/>
        <v>0</v>
      </c>
      <c r="CQ25" s="659"/>
      <c r="CR25" s="712">
        <f t="shared" si="97"/>
        <v>0</v>
      </c>
      <c r="CS25" s="659"/>
      <c r="CT25" s="712">
        <f t="shared" si="98"/>
        <v>0</v>
      </c>
      <c r="CU25" s="712">
        <f t="shared" si="99"/>
        <v>0</v>
      </c>
      <c r="CV25" s="712">
        <f t="shared" si="100"/>
        <v>0</v>
      </c>
      <c r="CW25" s="901"/>
      <c r="CX25" s="901"/>
      <c r="CY25" s="901">
        <f t="shared" si="60"/>
        <v>0</v>
      </c>
      <c r="CZ25" s="659"/>
      <c r="DA25" s="712">
        <f t="shared" si="101"/>
        <v>0</v>
      </c>
      <c r="DB25" s="659"/>
      <c r="DC25" s="712">
        <f t="shared" si="102"/>
        <v>0</v>
      </c>
      <c r="DD25" s="712">
        <f t="shared" si="103"/>
        <v>0</v>
      </c>
      <c r="DE25" s="712">
        <f t="shared" si="104"/>
        <v>0</v>
      </c>
      <c r="DF25" s="901"/>
      <c r="DG25" s="901"/>
      <c r="DH25" s="901">
        <f t="shared" si="61"/>
        <v>0</v>
      </c>
      <c r="DI25" s="659"/>
      <c r="DJ25" s="712">
        <f t="shared" si="105"/>
        <v>0</v>
      </c>
      <c r="DK25" s="659"/>
      <c r="DL25" s="712">
        <f t="shared" si="106"/>
        <v>0</v>
      </c>
      <c r="DM25" s="712">
        <f t="shared" si="107"/>
        <v>0</v>
      </c>
      <c r="DN25" s="712">
        <f t="shared" si="108"/>
        <v>0</v>
      </c>
      <c r="DO25" s="739"/>
      <c r="DP25" s="712"/>
      <c r="DQ25" s="734">
        <f t="shared" si="109"/>
        <v>0</v>
      </c>
      <c r="DR25" s="734">
        <v>0</v>
      </c>
      <c r="DS25" s="735"/>
    </row>
    <row r="26" spans="1:123" s="665" customFormat="1" ht="14.15" hidden="1" customHeight="1">
      <c r="A26" s="665">
        <f t="shared" si="63"/>
        <v>13</v>
      </c>
      <c r="C26" s="728"/>
      <c r="D26" s="729"/>
      <c r="E26" s="729"/>
      <c r="F26" s="730"/>
      <c r="G26" s="729"/>
      <c r="H26" s="731"/>
      <c r="I26" s="732">
        <f t="shared" si="0"/>
        <v>0</v>
      </c>
      <c r="J26" s="656"/>
      <c r="K26" s="901"/>
      <c r="L26" s="901"/>
      <c r="M26" s="901">
        <f t="shared" si="50"/>
        <v>0</v>
      </c>
      <c r="N26" s="659"/>
      <c r="O26" s="712">
        <f t="shared" si="64"/>
        <v>0</v>
      </c>
      <c r="P26" s="656"/>
      <c r="Q26" s="659">
        <f t="shared" si="65"/>
        <v>0</v>
      </c>
      <c r="R26" s="659">
        <f t="shared" si="66"/>
        <v>0</v>
      </c>
      <c r="S26" s="712">
        <f t="shared" si="4"/>
        <v>0</v>
      </c>
      <c r="T26" s="901"/>
      <c r="U26" s="901"/>
      <c r="V26" s="901">
        <f t="shared" si="51"/>
        <v>0</v>
      </c>
      <c r="W26" s="659"/>
      <c r="X26" s="712">
        <f t="shared" si="67"/>
        <v>0</v>
      </c>
      <c r="Y26" s="659"/>
      <c r="Z26" s="712">
        <f t="shared" si="68"/>
        <v>0</v>
      </c>
      <c r="AA26" s="712">
        <f t="shared" si="69"/>
        <v>0</v>
      </c>
      <c r="AB26" s="712">
        <f t="shared" si="70"/>
        <v>0</v>
      </c>
      <c r="AC26" s="901"/>
      <c r="AD26" s="901"/>
      <c r="AE26" s="901">
        <f t="shared" si="52"/>
        <v>0</v>
      </c>
      <c r="AF26" s="659"/>
      <c r="AG26" s="712">
        <f t="shared" si="71"/>
        <v>0</v>
      </c>
      <c r="AH26" s="659"/>
      <c r="AI26" s="712">
        <f t="shared" si="72"/>
        <v>0</v>
      </c>
      <c r="AJ26" s="712">
        <f t="shared" si="73"/>
        <v>0</v>
      </c>
      <c r="AK26" s="712">
        <f t="shared" si="74"/>
        <v>0</v>
      </c>
      <c r="AL26" s="901"/>
      <c r="AM26" s="901"/>
      <c r="AN26" s="901">
        <f t="shared" si="53"/>
        <v>0</v>
      </c>
      <c r="AO26" s="659"/>
      <c r="AP26" s="712">
        <f t="shared" si="75"/>
        <v>0</v>
      </c>
      <c r="AQ26" s="659"/>
      <c r="AR26" s="712">
        <f t="shared" si="76"/>
        <v>0</v>
      </c>
      <c r="AS26" s="712">
        <f t="shared" si="77"/>
        <v>0</v>
      </c>
      <c r="AT26" s="712">
        <f t="shared" si="78"/>
        <v>0</v>
      </c>
      <c r="AU26" s="901"/>
      <c r="AV26" s="901"/>
      <c r="AW26" s="901">
        <f t="shared" si="54"/>
        <v>0</v>
      </c>
      <c r="AX26" s="659"/>
      <c r="AY26" s="712">
        <f t="shared" si="79"/>
        <v>0</v>
      </c>
      <c r="AZ26" s="659"/>
      <c r="BA26" s="712">
        <f t="shared" si="80"/>
        <v>0</v>
      </c>
      <c r="BB26" s="712">
        <f t="shared" si="81"/>
        <v>0</v>
      </c>
      <c r="BC26" s="712">
        <f t="shared" si="82"/>
        <v>0</v>
      </c>
      <c r="BD26" s="901"/>
      <c r="BE26" s="901"/>
      <c r="BF26" s="901">
        <f t="shared" si="55"/>
        <v>0</v>
      </c>
      <c r="BG26" s="659"/>
      <c r="BH26" s="712">
        <f t="shared" si="83"/>
        <v>0</v>
      </c>
      <c r="BI26" s="659"/>
      <c r="BJ26" s="712">
        <f t="shared" si="84"/>
        <v>0</v>
      </c>
      <c r="BK26" s="712">
        <f t="shared" si="85"/>
        <v>0</v>
      </c>
      <c r="BL26" s="712">
        <f t="shared" si="86"/>
        <v>0</v>
      </c>
      <c r="BM26" s="901"/>
      <c r="BN26" s="901"/>
      <c r="BO26" s="901">
        <f t="shared" si="56"/>
        <v>0</v>
      </c>
      <c r="BP26" s="659"/>
      <c r="BQ26" s="712">
        <f t="shared" si="87"/>
        <v>0</v>
      </c>
      <c r="BR26" s="659"/>
      <c r="BS26" s="712">
        <f t="shared" si="26"/>
        <v>0</v>
      </c>
      <c r="BT26" s="712">
        <f t="shared" si="27"/>
        <v>0</v>
      </c>
      <c r="BU26" s="712">
        <f t="shared" si="88"/>
        <v>0</v>
      </c>
      <c r="BV26" s="901"/>
      <c r="BW26" s="901"/>
      <c r="BX26" s="901">
        <f t="shared" si="57"/>
        <v>0</v>
      </c>
      <c r="BY26" s="659"/>
      <c r="BZ26" s="712">
        <f t="shared" si="89"/>
        <v>0</v>
      </c>
      <c r="CA26" s="659"/>
      <c r="CB26" s="712">
        <f t="shared" si="90"/>
        <v>0</v>
      </c>
      <c r="CC26" s="712">
        <f t="shared" si="91"/>
        <v>0</v>
      </c>
      <c r="CD26" s="712">
        <f t="shared" si="92"/>
        <v>0</v>
      </c>
      <c r="CE26" s="901"/>
      <c r="CF26" s="901"/>
      <c r="CG26" s="901">
        <f t="shared" si="58"/>
        <v>0</v>
      </c>
      <c r="CH26" s="659"/>
      <c r="CI26" s="712">
        <f t="shared" si="93"/>
        <v>0</v>
      </c>
      <c r="CJ26" s="659"/>
      <c r="CK26" s="712">
        <f t="shared" si="94"/>
        <v>0</v>
      </c>
      <c r="CL26" s="712">
        <f t="shared" si="95"/>
        <v>0</v>
      </c>
      <c r="CM26" s="712">
        <f t="shared" si="96"/>
        <v>0</v>
      </c>
      <c r="CN26" s="901"/>
      <c r="CO26" s="901"/>
      <c r="CP26" s="901">
        <f t="shared" si="59"/>
        <v>0</v>
      </c>
      <c r="CQ26" s="659"/>
      <c r="CR26" s="712">
        <f t="shared" si="97"/>
        <v>0</v>
      </c>
      <c r="CS26" s="659"/>
      <c r="CT26" s="712">
        <f t="shared" si="98"/>
        <v>0</v>
      </c>
      <c r="CU26" s="712">
        <f t="shared" si="99"/>
        <v>0</v>
      </c>
      <c r="CV26" s="712">
        <f t="shared" si="100"/>
        <v>0</v>
      </c>
      <c r="CW26" s="901"/>
      <c r="CX26" s="901"/>
      <c r="CY26" s="901">
        <f t="shared" si="60"/>
        <v>0</v>
      </c>
      <c r="CZ26" s="659"/>
      <c r="DA26" s="712">
        <f t="shared" si="101"/>
        <v>0</v>
      </c>
      <c r="DB26" s="659"/>
      <c r="DC26" s="712">
        <f t="shared" si="102"/>
        <v>0</v>
      </c>
      <c r="DD26" s="712">
        <f t="shared" si="103"/>
        <v>0</v>
      </c>
      <c r="DE26" s="712">
        <f t="shared" si="104"/>
        <v>0</v>
      </c>
      <c r="DF26" s="901"/>
      <c r="DG26" s="901"/>
      <c r="DH26" s="901">
        <f t="shared" si="61"/>
        <v>0</v>
      </c>
      <c r="DI26" s="659"/>
      <c r="DJ26" s="712">
        <f t="shared" si="105"/>
        <v>0</v>
      </c>
      <c r="DK26" s="659"/>
      <c r="DL26" s="712">
        <f t="shared" si="106"/>
        <v>0</v>
      </c>
      <c r="DM26" s="712">
        <f t="shared" si="107"/>
        <v>0</v>
      </c>
      <c r="DN26" s="712">
        <f t="shared" si="108"/>
        <v>0</v>
      </c>
      <c r="DO26" s="737"/>
      <c r="DP26" s="712"/>
      <c r="DQ26" s="734">
        <f t="shared" si="109"/>
        <v>0</v>
      </c>
      <c r="DR26" s="734">
        <v>0</v>
      </c>
      <c r="DS26" s="735"/>
    </row>
    <row r="27" spans="1:123" s="665" customFormat="1" ht="14.15" hidden="1" customHeight="1">
      <c r="A27" s="665">
        <f t="shared" si="63"/>
        <v>14</v>
      </c>
      <c r="C27" s="728"/>
      <c r="D27" s="729"/>
      <c r="E27" s="729"/>
      <c r="F27" s="730"/>
      <c r="G27" s="729"/>
      <c r="H27" s="731"/>
      <c r="I27" s="732">
        <f t="shared" si="0"/>
        <v>0</v>
      </c>
      <c r="J27" s="656"/>
      <c r="K27" s="901"/>
      <c r="L27" s="901"/>
      <c r="M27" s="901">
        <f t="shared" si="50"/>
        <v>0</v>
      </c>
      <c r="N27" s="659"/>
      <c r="O27" s="712">
        <f t="shared" si="64"/>
        <v>0</v>
      </c>
      <c r="P27" s="656"/>
      <c r="Q27" s="659">
        <f t="shared" si="65"/>
        <v>0</v>
      </c>
      <c r="R27" s="659">
        <f t="shared" si="66"/>
        <v>0</v>
      </c>
      <c r="S27" s="712">
        <f t="shared" si="4"/>
        <v>0</v>
      </c>
      <c r="T27" s="901"/>
      <c r="U27" s="901"/>
      <c r="V27" s="901">
        <f t="shared" si="51"/>
        <v>0</v>
      </c>
      <c r="W27" s="659"/>
      <c r="X27" s="712">
        <f t="shared" si="67"/>
        <v>0</v>
      </c>
      <c r="Y27" s="659"/>
      <c r="Z27" s="712">
        <f t="shared" si="68"/>
        <v>0</v>
      </c>
      <c r="AA27" s="712">
        <f t="shared" si="69"/>
        <v>0</v>
      </c>
      <c r="AB27" s="712">
        <f t="shared" si="70"/>
        <v>0</v>
      </c>
      <c r="AC27" s="901"/>
      <c r="AD27" s="901"/>
      <c r="AE27" s="901">
        <f t="shared" si="52"/>
        <v>0</v>
      </c>
      <c r="AF27" s="659"/>
      <c r="AG27" s="712">
        <f t="shared" si="71"/>
        <v>0</v>
      </c>
      <c r="AH27" s="659"/>
      <c r="AI27" s="712">
        <f t="shared" si="72"/>
        <v>0</v>
      </c>
      <c r="AJ27" s="712">
        <f t="shared" si="73"/>
        <v>0</v>
      </c>
      <c r="AK27" s="712">
        <f t="shared" si="74"/>
        <v>0</v>
      </c>
      <c r="AL27" s="901"/>
      <c r="AM27" s="901"/>
      <c r="AN27" s="901">
        <f t="shared" si="53"/>
        <v>0</v>
      </c>
      <c r="AO27" s="712"/>
      <c r="AP27" s="712">
        <f t="shared" si="75"/>
        <v>0</v>
      </c>
      <c r="AQ27" s="659"/>
      <c r="AR27" s="712">
        <f t="shared" si="76"/>
        <v>0</v>
      </c>
      <c r="AS27" s="712">
        <f t="shared" si="77"/>
        <v>0</v>
      </c>
      <c r="AT27" s="712">
        <f t="shared" si="78"/>
        <v>0</v>
      </c>
      <c r="AU27" s="901"/>
      <c r="AV27" s="901"/>
      <c r="AW27" s="901">
        <f t="shared" si="54"/>
        <v>0</v>
      </c>
      <c r="AX27" s="712"/>
      <c r="AY27" s="712">
        <f t="shared" si="79"/>
        <v>0</v>
      </c>
      <c r="AZ27" s="659"/>
      <c r="BA27" s="712">
        <f t="shared" si="80"/>
        <v>0</v>
      </c>
      <c r="BB27" s="712">
        <f t="shared" si="81"/>
        <v>0</v>
      </c>
      <c r="BC27" s="712">
        <f t="shared" si="82"/>
        <v>0</v>
      </c>
      <c r="BD27" s="901"/>
      <c r="BE27" s="901"/>
      <c r="BF27" s="901">
        <f t="shared" si="55"/>
        <v>0</v>
      </c>
      <c r="BG27" s="712"/>
      <c r="BH27" s="712">
        <f t="shared" si="83"/>
        <v>0</v>
      </c>
      <c r="BI27" s="659"/>
      <c r="BJ27" s="712">
        <f t="shared" si="84"/>
        <v>0</v>
      </c>
      <c r="BK27" s="712">
        <f t="shared" si="85"/>
        <v>0</v>
      </c>
      <c r="BL27" s="712">
        <f t="shared" si="86"/>
        <v>0</v>
      </c>
      <c r="BM27" s="901"/>
      <c r="BN27" s="901"/>
      <c r="BO27" s="901">
        <f t="shared" si="56"/>
        <v>0</v>
      </c>
      <c r="BP27" s="712"/>
      <c r="BQ27" s="712">
        <f t="shared" si="87"/>
        <v>0</v>
      </c>
      <c r="BR27" s="659"/>
      <c r="BS27" s="712">
        <f t="shared" si="26"/>
        <v>0</v>
      </c>
      <c r="BT27" s="712">
        <f t="shared" si="27"/>
        <v>0</v>
      </c>
      <c r="BU27" s="712">
        <f t="shared" si="88"/>
        <v>0</v>
      </c>
      <c r="BV27" s="901"/>
      <c r="BW27" s="901"/>
      <c r="BX27" s="901">
        <f t="shared" si="57"/>
        <v>0</v>
      </c>
      <c r="BY27" s="712"/>
      <c r="BZ27" s="712">
        <f t="shared" si="89"/>
        <v>0</v>
      </c>
      <c r="CA27" s="659"/>
      <c r="CB27" s="712">
        <f t="shared" si="90"/>
        <v>0</v>
      </c>
      <c r="CC27" s="712">
        <f t="shared" si="91"/>
        <v>0</v>
      </c>
      <c r="CD27" s="712">
        <f t="shared" si="92"/>
        <v>0</v>
      </c>
      <c r="CE27" s="901"/>
      <c r="CF27" s="901"/>
      <c r="CG27" s="901">
        <f t="shared" si="58"/>
        <v>0</v>
      </c>
      <c r="CH27" s="712"/>
      <c r="CI27" s="712">
        <f t="shared" si="93"/>
        <v>0</v>
      </c>
      <c r="CJ27" s="659"/>
      <c r="CK27" s="712">
        <f t="shared" si="94"/>
        <v>0</v>
      </c>
      <c r="CL27" s="712">
        <f t="shared" si="95"/>
        <v>0</v>
      </c>
      <c r="CM27" s="712">
        <f t="shared" si="96"/>
        <v>0</v>
      </c>
      <c r="CN27" s="901"/>
      <c r="CO27" s="901"/>
      <c r="CP27" s="901">
        <f t="shared" si="59"/>
        <v>0</v>
      </c>
      <c r="CQ27" s="712"/>
      <c r="CR27" s="712">
        <f t="shared" si="97"/>
        <v>0</v>
      </c>
      <c r="CS27" s="659"/>
      <c r="CT27" s="712">
        <f t="shared" si="98"/>
        <v>0</v>
      </c>
      <c r="CU27" s="712">
        <f t="shared" si="99"/>
        <v>0</v>
      </c>
      <c r="CV27" s="712">
        <f t="shared" si="100"/>
        <v>0</v>
      </c>
      <c r="CW27" s="901"/>
      <c r="CX27" s="901"/>
      <c r="CY27" s="901">
        <f t="shared" si="60"/>
        <v>0</v>
      </c>
      <c r="CZ27" s="712"/>
      <c r="DA27" s="712">
        <f t="shared" si="101"/>
        <v>0</v>
      </c>
      <c r="DB27" s="659"/>
      <c r="DC27" s="712">
        <f t="shared" si="102"/>
        <v>0</v>
      </c>
      <c r="DD27" s="712">
        <f t="shared" si="103"/>
        <v>0</v>
      </c>
      <c r="DE27" s="712">
        <f t="shared" si="104"/>
        <v>0</v>
      </c>
      <c r="DF27" s="901"/>
      <c r="DG27" s="901"/>
      <c r="DH27" s="901">
        <f t="shared" si="61"/>
        <v>0</v>
      </c>
      <c r="DI27" s="712"/>
      <c r="DJ27" s="712">
        <f t="shared" si="105"/>
        <v>0</v>
      </c>
      <c r="DK27" s="659"/>
      <c r="DL27" s="712">
        <f t="shared" si="106"/>
        <v>0</v>
      </c>
      <c r="DM27" s="712">
        <f t="shared" si="107"/>
        <v>0</v>
      </c>
      <c r="DN27" s="712">
        <f t="shared" si="108"/>
        <v>0</v>
      </c>
      <c r="DO27" s="739"/>
      <c r="DP27" s="712"/>
      <c r="DQ27" s="734">
        <f t="shared" si="109"/>
        <v>0</v>
      </c>
      <c r="DR27" s="734">
        <v>0</v>
      </c>
      <c r="DS27" s="735"/>
    </row>
    <row r="28" spans="1:123" s="665" customFormat="1" ht="14.15" hidden="1" customHeight="1">
      <c r="A28" s="665">
        <f t="shared" si="63"/>
        <v>15</v>
      </c>
      <c r="C28" s="728"/>
      <c r="D28" s="729"/>
      <c r="E28" s="729"/>
      <c r="F28" s="730"/>
      <c r="G28" s="729"/>
      <c r="H28" s="731"/>
      <c r="I28" s="732">
        <f t="shared" si="0"/>
        <v>0</v>
      </c>
      <c r="J28" s="656"/>
      <c r="K28" s="901"/>
      <c r="L28" s="901"/>
      <c r="M28" s="901">
        <f t="shared" si="50"/>
        <v>0</v>
      </c>
      <c r="N28" s="659"/>
      <c r="O28" s="712">
        <f t="shared" si="64"/>
        <v>0</v>
      </c>
      <c r="P28" s="656"/>
      <c r="Q28" s="659">
        <f t="shared" si="65"/>
        <v>0</v>
      </c>
      <c r="R28" s="659">
        <f t="shared" si="66"/>
        <v>0</v>
      </c>
      <c r="S28" s="712">
        <f t="shared" si="4"/>
        <v>0</v>
      </c>
      <c r="T28" s="901"/>
      <c r="U28" s="901"/>
      <c r="V28" s="901">
        <f t="shared" si="51"/>
        <v>0</v>
      </c>
      <c r="W28" s="659"/>
      <c r="X28" s="712">
        <f t="shared" si="67"/>
        <v>0</v>
      </c>
      <c r="Y28" s="659"/>
      <c r="Z28" s="712">
        <f t="shared" si="68"/>
        <v>0</v>
      </c>
      <c r="AA28" s="712">
        <f t="shared" si="69"/>
        <v>0</v>
      </c>
      <c r="AB28" s="712">
        <f t="shared" si="70"/>
        <v>0</v>
      </c>
      <c r="AC28" s="901"/>
      <c r="AD28" s="901"/>
      <c r="AE28" s="901">
        <f t="shared" si="52"/>
        <v>0</v>
      </c>
      <c r="AF28" s="659"/>
      <c r="AG28" s="712">
        <f t="shared" si="71"/>
        <v>0</v>
      </c>
      <c r="AH28" s="659"/>
      <c r="AI28" s="712">
        <f t="shared" si="72"/>
        <v>0</v>
      </c>
      <c r="AJ28" s="712">
        <f t="shared" si="73"/>
        <v>0</v>
      </c>
      <c r="AK28" s="712">
        <f t="shared" si="74"/>
        <v>0</v>
      </c>
      <c r="AL28" s="901"/>
      <c r="AM28" s="901"/>
      <c r="AN28" s="901">
        <f t="shared" si="53"/>
        <v>0</v>
      </c>
      <c r="AO28" s="659"/>
      <c r="AP28" s="712">
        <f t="shared" si="75"/>
        <v>0</v>
      </c>
      <c r="AQ28" s="659"/>
      <c r="AR28" s="712">
        <f t="shared" si="76"/>
        <v>0</v>
      </c>
      <c r="AS28" s="712">
        <f t="shared" si="77"/>
        <v>0</v>
      </c>
      <c r="AT28" s="712">
        <f t="shared" si="78"/>
        <v>0</v>
      </c>
      <c r="AU28" s="901"/>
      <c r="AV28" s="901"/>
      <c r="AW28" s="901">
        <f t="shared" si="54"/>
        <v>0</v>
      </c>
      <c r="AX28" s="659"/>
      <c r="AY28" s="712">
        <f t="shared" si="79"/>
        <v>0</v>
      </c>
      <c r="AZ28" s="659"/>
      <c r="BA28" s="712">
        <f t="shared" si="80"/>
        <v>0</v>
      </c>
      <c r="BB28" s="712">
        <f t="shared" si="81"/>
        <v>0</v>
      </c>
      <c r="BC28" s="712">
        <f t="shared" si="82"/>
        <v>0</v>
      </c>
      <c r="BD28" s="901"/>
      <c r="BE28" s="901"/>
      <c r="BF28" s="901">
        <f t="shared" si="55"/>
        <v>0</v>
      </c>
      <c r="BG28" s="659"/>
      <c r="BH28" s="712">
        <f t="shared" si="83"/>
        <v>0</v>
      </c>
      <c r="BI28" s="659"/>
      <c r="BJ28" s="712">
        <f t="shared" si="84"/>
        <v>0</v>
      </c>
      <c r="BK28" s="712">
        <f t="shared" si="85"/>
        <v>0</v>
      </c>
      <c r="BL28" s="712">
        <f t="shared" si="86"/>
        <v>0</v>
      </c>
      <c r="BM28" s="901"/>
      <c r="BN28" s="901"/>
      <c r="BO28" s="901">
        <f t="shared" si="56"/>
        <v>0</v>
      </c>
      <c r="BP28" s="659"/>
      <c r="BQ28" s="712">
        <f t="shared" si="87"/>
        <v>0</v>
      </c>
      <c r="BR28" s="659"/>
      <c r="BS28" s="712">
        <f t="shared" si="26"/>
        <v>0</v>
      </c>
      <c r="BT28" s="712">
        <f t="shared" si="27"/>
        <v>0</v>
      </c>
      <c r="BU28" s="712">
        <f t="shared" si="88"/>
        <v>0</v>
      </c>
      <c r="BV28" s="901"/>
      <c r="BW28" s="901"/>
      <c r="BX28" s="901">
        <f t="shared" si="57"/>
        <v>0</v>
      </c>
      <c r="BY28" s="659"/>
      <c r="BZ28" s="712">
        <f t="shared" si="89"/>
        <v>0</v>
      </c>
      <c r="CA28" s="659"/>
      <c r="CB28" s="712">
        <f t="shared" si="90"/>
        <v>0</v>
      </c>
      <c r="CC28" s="712">
        <f t="shared" si="91"/>
        <v>0</v>
      </c>
      <c r="CD28" s="712">
        <f t="shared" si="92"/>
        <v>0</v>
      </c>
      <c r="CE28" s="901"/>
      <c r="CF28" s="901"/>
      <c r="CG28" s="901">
        <f t="shared" si="58"/>
        <v>0</v>
      </c>
      <c r="CH28" s="659"/>
      <c r="CI28" s="712">
        <f t="shared" si="93"/>
        <v>0</v>
      </c>
      <c r="CJ28" s="659"/>
      <c r="CK28" s="712">
        <f t="shared" si="94"/>
        <v>0</v>
      </c>
      <c r="CL28" s="712">
        <f t="shared" si="95"/>
        <v>0</v>
      </c>
      <c r="CM28" s="712">
        <f t="shared" si="96"/>
        <v>0</v>
      </c>
      <c r="CN28" s="901"/>
      <c r="CO28" s="901"/>
      <c r="CP28" s="901">
        <f t="shared" si="59"/>
        <v>0</v>
      </c>
      <c r="CQ28" s="659"/>
      <c r="CR28" s="712">
        <f t="shared" si="97"/>
        <v>0</v>
      </c>
      <c r="CS28" s="659"/>
      <c r="CT28" s="712">
        <f t="shared" si="98"/>
        <v>0</v>
      </c>
      <c r="CU28" s="712">
        <f t="shared" si="99"/>
        <v>0</v>
      </c>
      <c r="CV28" s="712">
        <f t="shared" si="100"/>
        <v>0</v>
      </c>
      <c r="CW28" s="901"/>
      <c r="CX28" s="901"/>
      <c r="CY28" s="901">
        <f t="shared" si="60"/>
        <v>0</v>
      </c>
      <c r="CZ28" s="659"/>
      <c r="DA28" s="712">
        <f t="shared" si="101"/>
        <v>0</v>
      </c>
      <c r="DB28" s="659"/>
      <c r="DC28" s="712">
        <f t="shared" si="102"/>
        <v>0</v>
      </c>
      <c r="DD28" s="712">
        <f t="shared" si="103"/>
        <v>0</v>
      </c>
      <c r="DE28" s="712">
        <f t="shared" si="104"/>
        <v>0</v>
      </c>
      <c r="DF28" s="901"/>
      <c r="DG28" s="901"/>
      <c r="DH28" s="901">
        <f t="shared" si="61"/>
        <v>0</v>
      </c>
      <c r="DI28" s="659"/>
      <c r="DJ28" s="712">
        <f t="shared" si="105"/>
        <v>0</v>
      </c>
      <c r="DK28" s="659"/>
      <c r="DL28" s="712">
        <f t="shared" si="106"/>
        <v>0</v>
      </c>
      <c r="DM28" s="712">
        <f t="shared" si="107"/>
        <v>0</v>
      </c>
      <c r="DN28" s="712">
        <f t="shared" si="108"/>
        <v>0</v>
      </c>
      <c r="DO28" s="742"/>
      <c r="DP28" s="712"/>
      <c r="DQ28" s="734">
        <f t="shared" si="109"/>
        <v>0</v>
      </c>
      <c r="DR28" s="734"/>
      <c r="DS28" s="735"/>
    </row>
    <row r="29" spans="1:123" s="665" customFormat="1" ht="14.15" hidden="1" customHeight="1">
      <c r="A29" s="665">
        <f t="shared" si="63"/>
        <v>16</v>
      </c>
      <c r="C29" s="728"/>
      <c r="D29" s="729"/>
      <c r="E29" s="729"/>
      <c r="F29" s="730"/>
      <c r="G29" s="729"/>
      <c r="H29" s="731"/>
      <c r="I29" s="732">
        <f t="shared" si="0"/>
        <v>0</v>
      </c>
      <c r="J29" s="656"/>
      <c r="K29" s="901"/>
      <c r="L29" s="901"/>
      <c r="M29" s="901">
        <f t="shared" si="50"/>
        <v>0</v>
      </c>
      <c r="N29" s="659"/>
      <c r="O29" s="712">
        <f t="shared" si="64"/>
        <v>0</v>
      </c>
      <c r="P29" s="656"/>
      <c r="Q29" s="659">
        <f t="shared" si="65"/>
        <v>0</v>
      </c>
      <c r="R29" s="659">
        <f t="shared" si="66"/>
        <v>0</v>
      </c>
      <c r="S29" s="712"/>
      <c r="T29" s="901"/>
      <c r="U29" s="901"/>
      <c r="V29" s="901">
        <f t="shared" si="51"/>
        <v>0</v>
      </c>
      <c r="W29" s="659"/>
      <c r="X29" s="712">
        <f t="shared" si="67"/>
        <v>0</v>
      </c>
      <c r="Y29" s="659"/>
      <c r="Z29" s="712">
        <f t="shared" si="68"/>
        <v>0</v>
      </c>
      <c r="AA29" s="712">
        <f t="shared" si="69"/>
        <v>0</v>
      </c>
      <c r="AB29" s="712">
        <f t="shared" si="70"/>
        <v>0</v>
      </c>
      <c r="AC29" s="901"/>
      <c r="AD29" s="901"/>
      <c r="AE29" s="901">
        <f t="shared" si="52"/>
        <v>0</v>
      </c>
      <c r="AF29" s="659"/>
      <c r="AG29" s="712">
        <f t="shared" si="71"/>
        <v>0</v>
      </c>
      <c r="AH29" s="659"/>
      <c r="AI29" s="712">
        <f t="shared" si="72"/>
        <v>0</v>
      </c>
      <c r="AJ29" s="712">
        <f t="shared" si="73"/>
        <v>0</v>
      </c>
      <c r="AK29" s="712">
        <f t="shared" si="74"/>
        <v>0</v>
      </c>
      <c r="AL29" s="901"/>
      <c r="AM29" s="901"/>
      <c r="AN29" s="901">
        <f t="shared" si="53"/>
        <v>0</v>
      </c>
      <c r="AO29" s="712"/>
      <c r="AP29" s="712">
        <f t="shared" si="75"/>
        <v>0</v>
      </c>
      <c r="AQ29" s="659"/>
      <c r="AR29" s="712">
        <f t="shared" si="76"/>
        <v>0</v>
      </c>
      <c r="AS29" s="712">
        <f t="shared" si="77"/>
        <v>0</v>
      </c>
      <c r="AT29" s="712">
        <f t="shared" si="78"/>
        <v>0</v>
      </c>
      <c r="AU29" s="901"/>
      <c r="AV29" s="901"/>
      <c r="AW29" s="901">
        <f t="shared" si="54"/>
        <v>0</v>
      </c>
      <c r="AX29" s="712"/>
      <c r="AY29" s="712">
        <f t="shared" si="79"/>
        <v>0</v>
      </c>
      <c r="AZ29" s="659"/>
      <c r="BA29" s="712">
        <f t="shared" si="80"/>
        <v>0</v>
      </c>
      <c r="BB29" s="712">
        <f t="shared" si="81"/>
        <v>0</v>
      </c>
      <c r="BC29" s="712">
        <f t="shared" si="82"/>
        <v>0</v>
      </c>
      <c r="BD29" s="901"/>
      <c r="BE29" s="901"/>
      <c r="BF29" s="901">
        <f t="shared" si="55"/>
        <v>0</v>
      </c>
      <c r="BG29" s="743"/>
      <c r="BH29" s="712">
        <f t="shared" si="83"/>
        <v>0</v>
      </c>
      <c r="BI29" s="659"/>
      <c r="BJ29" s="712">
        <f t="shared" si="84"/>
        <v>0</v>
      </c>
      <c r="BK29" s="712">
        <f t="shared" si="85"/>
        <v>0</v>
      </c>
      <c r="BL29" s="712">
        <f t="shared" si="86"/>
        <v>0</v>
      </c>
      <c r="BM29" s="901"/>
      <c r="BN29" s="901"/>
      <c r="BO29" s="901">
        <f t="shared" si="56"/>
        <v>0</v>
      </c>
      <c r="BP29" s="711"/>
      <c r="BQ29" s="712">
        <f t="shared" si="87"/>
        <v>0</v>
      </c>
      <c r="BR29" s="659"/>
      <c r="BS29" s="712">
        <f t="shared" si="26"/>
        <v>0</v>
      </c>
      <c r="BT29" s="712">
        <f t="shared" si="27"/>
        <v>0</v>
      </c>
      <c r="BU29" s="712">
        <f t="shared" si="88"/>
        <v>0</v>
      </c>
      <c r="BV29" s="901"/>
      <c r="BW29" s="901"/>
      <c r="BX29" s="901">
        <f t="shared" si="57"/>
        <v>0</v>
      </c>
      <c r="BY29" s="712"/>
      <c r="BZ29" s="712">
        <f t="shared" si="89"/>
        <v>0</v>
      </c>
      <c r="CA29" s="659"/>
      <c r="CB29" s="712">
        <f t="shared" si="90"/>
        <v>0</v>
      </c>
      <c r="CC29" s="712">
        <f t="shared" si="91"/>
        <v>0</v>
      </c>
      <c r="CD29" s="712">
        <f t="shared" si="92"/>
        <v>0</v>
      </c>
      <c r="CE29" s="901"/>
      <c r="CF29" s="901"/>
      <c r="CG29" s="901">
        <f t="shared" si="58"/>
        <v>0</v>
      </c>
      <c r="CH29" s="659"/>
      <c r="CI29" s="712">
        <f t="shared" si="93"/>
        <v>0</v>
      </c>
      <c r="CJ29" s="659"/>
      <c r="CK29" s="712">
        <f t="shared" si="94"/>
        <v>0</v>
      </c>
      <c r="CL29" s="712">
        <f t="shared" si="95"/>
        <v>0</v>
      </c>
      <c r="CM29" s="712">
        <f t="shared" si="96"/>
        <v>0</v>
      </c>
      <c r="CN29" s="901"/>
      <c r="CO29" s="901"/>
      <c r="CP29" s="901">
        <f t="shared" si="59"/>
        <v>0</v>
      </c>
      <c r="CQ29" s="659"/>
      <c r="CR29" s="712">
        <f t="shared" si="97"/>
        <v>0</v>
      </c>
      <c r="CS29" s="659"/>
      <c r="CT29" s="712">
        <f t="shared" si="98"/>
        <v>0</v>
      </c>
      <c r="CU29" s="712">
        <f t="shared" si="99"/>
        <v>0</v>
      </c>
      <c r="CV29" s="712">
        <f t="shared" si="100"/>
        <v>0</v>
      </c>
      <c r="CW29" s="901"/>
      <c r="CX29" s="901"/>
      <c r="CY29" s="901">
        <f t="shared" si="60"/>
        <v>0</v>
      </c>
      <c r="CZ29" s="744"/>
      <c r="DA29" s="712">
        <f t="shared" si="101"/>
        <v>0</v>
      </c>
      <c r="DB29" s="659"/>
      <c r="DC29" s="712">
        <f t="shared" si="102"/>
        <v>0</v>
      </c>
      <c r="DD29" s="712">
        <f t="shared" si="103"/>
        <v>0</v>
      </c>
      <c r="DE29" s="712">
        <f t="shared" si="104"/>
        <v>0</v>
      </c>
      <c r="DF29" s="901"/>
      <c r="DG29" s="901"/>
      <c r="DH29" s="901">
        <f t="shared" si="61"/>
        <v>0</v>
      </c>
      <c r="DI29" s="712"/>
      <c r="DJ29" s="712">
        <f t="shared" si="105"/>
        <v>0</v>
      </c>
      <c r="DK29" s="659"/>
      <c r="DL29" s="712">
        <f t="shared" si="106"/>
        <v>0</v>
      </c>
      <c r="DM29" s="712">
        <f t="shared" si="107"/>
        <v>0</v>
      </c>
      <c r="DN29" s="712">
        <f t="shared" si="108"/>
        <v>0</v>
      </c>
      <c r="DO29" s="739"/>
      <c r="DP29" s="712"/>
      <c r="DQ29" s="734">
        <f t="shared" si="109"/>
        <v>0</v>
      </c>
      <c r="DR29" s="734">
        <v>0</v>
      </c>
      <c r="DS29" s="735"/>
    </row>
    <row r="30" spans="1:123" s="665" customFormat="1" ht="14.15" hidden="1" customHeight="1">
      <c r="A30" s="665">
        <f t="shared" si="63"/>
        <v>17</v>
      </c>
      <c r="C30" s="728"/>
      <c r="D30" s="729"/>
      <c r="E30" s="729"/>
      <c r="F30" s="730"/>
      <c r="G30" s="729"/>
      <c r="H30" s="731"/>
      <c r="I30" s="732">
        <f t="shared" si="0"/>
        <v>0</v>
      </c>
      <c r="J30" s="656"/>
      <c r="K30" s="901"/>
      <c r="L30" s="901"/>
      <c r="M30" s="901">
        <f t="shared" si="50"/>
        <v>0</v>
      </c>
      <c r="N30" s="659"/>
      <c r="O30" s="712">
        <f t="shared" si="64"/>
        <v>0</v>
      </c>
      <c r="P30" s="656"/>
      <c r="Q30" s="659">
        <f t="shared" si="65"/>
        <v>0</v>
      </c>
      <c r="R30" s="659">
        <f t="shared" si="66"/>
        <v>0</v>
      </c>
      <c r="S30" s="712">
        <f t="shared" ref="S30:S39" si="110">O30</f>
        <v>0</v>
      </c>
      <c r="T30" s="901"/>
      <c r="U30" s="901"/>
      <c r="V30" s="901">
        <f t="shared" si="51"/>
        <v>0</v>
      </c>
      <c r="W30" s="659"/>
      <c r="X30" s="712">
        <f t="shared" si="67"/>
        <v>0</v>
      </c>
      <c r="Y30" s="659"/>
      <c r="Z30" s="712">
        <f t="shared" si="68"/>
        <v>0</v>
      </c>
      <c r="AA30" s="712">
        <f t="shared" si="69"/>
        <v>0</v>
      </c>
      <c r="AB30" s="712">
        <f t="shared" si="70"/>
        <v>0</v>
      </c>
      <c r="AC30" s="901"/>
      <c r="AD30" s="901"/>
      <c r="AE30" s="901">
        <f t="shared" si="52"/>
        <v>0</v>
      </c>
      <c r="AF30" s="659"/>
      <c r="AG30" s="712">
        <f t="shared" si="71"/>
        <v>0</v>
      </c>
      <c r="AH30" s="659"/>
      <c r="AI30" s="712">
        <f t="shared" si="72"/>
        <v>0</v>
      </c>
      <c r="AJ30" s="712">
        <f t="shared" si="73"/>
        <v>0</v>
      </c>
      <c r="AK30" s="712">
        <f t="shared" si="74"/>
        <v>0</v>
      </c>
      <c r="AL30" s="901"/>
      <c r="AM30" s="901"/>
      <c r="AN30" s="901">
        <f t="shared" si="53"/>
        <v>0</v>
      </c>
      <c r="AO30" s="659"/>
      <c r="AP30" s="712">
        <f t="shared" si="75"/>
        <v>0</v>
      </c>
      <c r="AQ30" s="659"/>
      <c r="AR30" s="712">
        <f t="shared" si="76"/>
        <v>0</v>
      </c>
      <c r="AS30" s="712">
        <f t="shared" si="77"/>
        <v>0</v>
      </c>
      <c r="AT30" s="712">
        <f t="shared" si="78"/>
        <v>0</v>
      </c>
      <c r="AU30" s="901"/>
      <c r="AV30" s="901"/>
      <c r="AW30" s="901">
        <f t="shared" si="54"/>
        <v>0</v>
      </c>
      <c r="AX30" s="659"/>
      <c r="AY30" s="712">
        <f t="shared" si="79"/>
        <v>0</v>
      </c>
      <c r="AZ30" s="659"/>
      <c r="BA30" s="712">
        <f t="shared" si="80"/>
        <v>0</v>
      </c>
      <c r="BB30" s="712">
        <f t="shared" si="81"/>
        <v>0</v>
      </c>
      <c r="BC30" s="712">
        <f t="shared" si="82"/>
        <v>0</v>
      </c>
      <c r="BD30" s="901"/>
      <c r="BE30" s="901"/>
      <c r="BF30" s="901">
        <f t="shared" si="55"/>
        <v>0</v>
      </c>
      <c r="BG30" s="659"/>
      <c r="BH30" s="712">
        <f t="shared" si="83"/>
        <v>0</v>
      </c>
      <c r="BI30" s="659"/>
      <c r="BJ30" s="712">
        <f t="shared" si="84"/>
        <v>0</v>
      </c>
      <c r="BK30" s="712">
        <f t="shared" si="85"/>
        <v>0</v>
      </c>
      <c r="BL30" s="712">
        <f t="shared" si="86"/>
        <v>0</v>
      </c>
      <c r="BM30" s="901"/>
      <c r="BN30" s="901"/>
      <c r="BO30" s="901">
        <f t="shared" si="56"/>
        <v>0</v>
      </c>
      <c r="BP30" s="659"/>
      <c r="BQ30" s="712">
        <f t="shared" si="87"/>
        <v>0</v>
      </c>
      <c r="BR30" s="659"/>
      <c r="BS30" s="712">
        <f t="shared" si="26"/>
        <v>0</v>
      </c>
      <c r="BT30" s="712">
        <f t="shared" si="27"/>
        <v>0</v>
      </c>
      <c r="BU30" s="712">
        <f t="shared" si="88"/>
        <v>0</v>
      </c>
      <c r="BV30" s="901"/>
      <c r="BW30" s="901"/>
      <c r="BX30" s="901">
        <f t="shared" si="57"/>
        <v>0</v>
      </c>
      <c r="BY30" s="659"/>
      <c r="BZ30" s="712">
        <f t="shared" si="89"/>
        <v>0</v>
      </c>
      <c r="CA30" s="659"/>
      <c r="CB30" s="712">
        <f t="shared" si="90"/>
        <v>0</v>
      </c>
      <c r="CC30" s="712">
        <f t="shared" si="91"/>
        <v>0</v>
      </c>
      <c r="CD30" s="712">
        <f t="shared" si="92"/>
        <v>0</v>
      </c>
      <c r="CE30" s="901"/>
      <c r="CF30" s="901"/>
      <c r="CG30" s="901">
        <f t="shared" si="58"/>
        <v>0</v>
      </c>
      <c r="CH30" s="659"/>
      <c r="CI30" s="712">
        <f t="shared" si="93"/>
        <v>0</v>
      </c>
      <c r="CJ30" s="659"/>
      <c r="CK30" s="712">
        <f t="shared" si="94"/>
        <v>0</v>
      </c>
      <c r="CL30" s="712">
        <f t="shared" si="95"/>
        <v>0</v>
      </c>
      <c r="CM30" s="712">
        <f t="shared" si="96"/>
        <v>0</v>
      </c>
      <c r="CN30" s="901"/>
      <c r="CO30" s="901"/>
      <c r="CP30" s="901">
        <f t="shared" si="59"/>
        <v>0</v>
      </c>
      <c r="CQ30" s="659"/>
      <c r="CR30" s="712">
        <f t="shared" si="97"/>
        <v>0</v>
      </c>
      <c r="CS30" s="659"/>
      <c r="CT30" s="712">
        <f t="shared" si="98"/>
        <v>0</v>
      </c>
      <c r="CU30" s="712">
        <f t="shared" si="99"/>
        <v>0</v>
      </c>
      <c r="CV30" s="712">
        <f t="shared" si="100"/>
        <v>0</v>
      </c>
      <c r="CW30" s="901"/>
      <c r="CX30" s="901"/>
      <c r="CY30" s="901">
        <f t="shared" si="60"/>
        <v>0</v>
      </c>
      <c r="CZ30" s="659"/>
      <c r="DA30" s="712">
        <f t="shared" si="101"/>
        <v>0</v>
      </c>
      <c r="DB30" s="659"/>
      <c r="DC30" s="712">
        <f t="shared" si="102"/>
        <v>0</v>
      </c>
      <c r="DD30" s="712">
        <f t="shared" si="103"/>
        <v>0</v>
      </c>
      <c r="DE30" s="712">
        <f t="shared" si="104"/>
        <v>0</v>
      </c>
      <c r="DF30" s="901"/>
      <c r="DG30" s="901"/>
      <c r="DH30" s="901">
        <f t="shared" si="61"/>
        <v>0</v>
      </c>
      <c r="DI30" s="659"/>
      <c r="DJ30" s="712">
        <f t="shared" si="105"/>
        <v>0</v>
      </c>
      <c r="DK30" s="659"/>
      <c r="DL30" s="712">
        <f t="shared" si="106"/>
        <v>0</v>
      </c>
      <c r="DM30" s="712">
        <f t="shared" si="107"/>
        <v>0</v>
      </c>
      <c r="DN30" s="712">
        <f t="shared" si="108"/>
        <v>0</v>
      </c>
      <c r="DO30" s="739"/>
      <c r="DP30" s="745"/>
      <c r="DQ30" s="734">
        <f t="shared" si="109"/>
        <v>0</v>
      </c>
      <c r="DR30" s="734">
        <v>0</v>
      </c>
      <c r="DS30" s="735"/>
    </row>
    <row r="31" spans="1:123" s="665" customFormat="1" ht="14.15" hidden="1" customHeight="1">
      <c r="A31" s="665">
        <f t="shared" si="63"/>
        <v>18</v>
      </c>
      <c r="C31" s="728"/>
      <c r="D31" s="729"/>
      <c r="E31" s="729"/>
      <c r="F31" s="730"/>
      <c r="G31" s="729"/>
      <c r="H31" s="731"/>
      <c r="I31" s="732">
        <f t="shared" si="0"/>
        <v>0</v>
      </c>
      <c r="J31" s="656"/>
      <c r="K31" s="901"/>
      <c r="L31" s="901"/>
      <c r="M31" s="901">
        <f t="shared" si="50"/>
        <v>0</v>
      </c>
      <c r="N31" s="659"/>
      <c r="O31" s="712">
        <f t="shared" si="64"/>
        <v>0</v>
      </c>
      <c r="P31" s="656"/>
      <c r="Q31" s="659">
        <f t="shared" si="65"/>
        <v>0</v>
      </c>
      <c r="R31" s="659">
        <f t="shared" si="66"/>
        <v>0</v>
      </c>
      <c r="S31" s="712">
        <f t="shared" si="110"/>
        <v>0</v>
      </c>
      <c r="T31" s="901"/>
      <c r="U31" s="901"/>
      <c r="V31" s="901">
        <f t="shared" si="51"/>
        <v>0</v>
      </c>
      <c r="W31" s="659"/>
      <c r="X31" s="712">
        <f t="shared" si="67"/>
        <v>0</v>
      </c>
      <c r="Y31" s="659"/>
      <c r="Z31" s="712">
        <f t="shared" si="68"/>
        <v>0</v>
      </c>
      <c r="AA31" s="712">
        <f t="shared" si="69"/>
        <v>0</v>
      </c>
      <c r="AB31" s="712">
        <f t="shared" si="70"/>
        <v>0</v>
      </c>
      <c r="AC31" s="901"/>
      <c r="AD31" s="901"/>
      <c r="AE31" s="901">
        <f t="shared" si="52"/>
        <v>0</v>
      </c>
      <c r="AF31" s="659"/>
      <c r="AG31" s="712">
        <f t="shared" si="71"/>
        <v>0</v>
      </c>
      <c r="AH31" s="659"/>
      <c r="AI31" s="712">
        <f t="shared" si="72"/>
        <v>0</v>
      </c>
      <c r="AJ31" s="712">
        <f t="shared" si="73"/>
        <v>0</v>
      </c>
      <c r="AK31" s="712">
        <f t="shared" si="74"/>
        <v>0</v>
      </c>
      <c r="AL31" s="901"/>
      <c r="AM31" s="901"/>
      <c r="AN31" s="901">
        <f t="shared" si="53"/>
        <v>0</v>
      </c>
      <c r="AO31" s="659"/>
      <c r="AP31" s="712">
        <f t="shared" si="75"/>
        <v>0</v>
      </c>
      <c r="AQ31" s="659"/>
      <c r="AR31" s="712">
        <f t="shared" si="76"/>
        <v>0</v>
      </c>
      <c r="AS31" s="712">
        <f t="shared" si="77"/>
        <v>0</v>
      </c>
      <c r="AT31" s="712">
        <f t="shared" si="78"/>
        <v>0</v>
      </c>
      <c r="AU31" s="901"/>
      <c r="AV31" s="901"/>
      <c r="AW31" s="901">
        <f t="shared" si="54"/>
        <v>0</v>
      </c>
      <c r="AX31" s="659"/>
      <c r="AY31" s="712">
        <f t="shared" si="79"/>
        <v>0</v>
      </c>
      <c r="AZ31" s="659"/>
      <c r="BA31" s="712">
        <f t="shared" si="80"/>
        <v>0</v>
      </c>
      <c r="BB31" s="712">
        <f t="shared" si="81"/>
        <v>0</v>
      </c>
      <c r="BC31" s="712">
        <f t="shared" si="82"/>
        <v>0</v>
      </c>
      <c r="BD31" s="901"/>
      <c r="BE31" s="901"/>
      <c r="BF31" s="901">
        <f t="shared" si="55"/>
        <v>0</v>
      </c>
      <c r="BG31" s="659"/>
      <c r="BH31" s="712">
        <f t="shared" si="83"/>
        <v>0</v>
      </c>
      <c r="BI31" s="659"/>
      <c r="BJ31" s="712">
        <f t="shared" si="84"/>
        <v>0</v>
      </c>
      <c r="BK31" s="712">
        <f t="shared" si="85"/>
        <v>0</v>
      </c>
      <c r="BL31" s="712">
        <f t="shared" si="86"/>
        <v>0</v>
      </c>
      <c r="BM31" s="901"/>
      <c r="BN31" s="901"/>
      <c r="BO31" s="901">
        <f t="shared" si="56"/>
        <v>0</v>
      </c>
      <c r="BP31" s="659"/>
      <c r="BQ31" s="712">
        <f t="shared" si="87"/>
        <v>0</v>
      </c>
      <c r="BR31" s="659"/>
      <c r="BS31" s="712">
        <f t="shared" si="26"/>
        <v>0</v>
      </c>
      <c r="BT31" s="712">
        <f t="shared" si="27"/>
        <v>0</v>
      </c>
      <c r="BU31" s="712">
        <f t="shared" si="88"/>
        <v>0</v>
      </c>
      <c r="BV31" s="901"/>
      <c r="BW31" s="901"/>
      <c r="BX31" s="901">
        <f t="shared" si="57"/>
        <v>0</v>
      </c>
      <c r="BY31" s="659"/>
      <c r="BZ31" s="712">
        <f t="shared" si="89"/>
        <v>0</v>
      </c>
      <c r="CA31" s="659"/>
      <c r="CB31" s="712">
        <f t="shared" si="90"/>
        <v>0</v>
      </c>
      <c r="CC31" s="712">
        <f t="shared" si="91"/>
        <v>0</v>
      </c>
      <c r="CD31" s="712">
        <f t="shared" si="92"/>
        <v>0</v>
      </c>
      <c r="CE31" s="901"/>
      <c r="CF31" s="901"/>
      <c r="CG31" s="901">
        <f t="shared" si="58"/>
        <v>0</v>
      </c>
      <c r="CH31" s="659"/>
      <c r="CI31" s="712">
        <f t="shared" si="93"/>
        <v>0</v>
      </c>
      <c r="CJ31" s="659"/>
      <c r="CK31" s="712">
        <f t="shared" si="94"/>
        <v>0</v>
      </c>
      <c r="CL31" s="712">
        <f t="shared" si="95"/>
        <v>0</v>
      </c>
      <c r="CM31" s="712">
        <f t="shared" si="96"/>
        <v>0</v>
      </c>
      <c r="CN31" s="901"/>
      <c r="CO31" s="901"/>
      <c r="CP31" s="901">
        <f t="shared" si="59"/>
        <v>0</v>
      </c>
      <c r="CQ31" s="659"/>
      <c r="CR31" s="712">
        <f t="shared" si="97"/>
        <v>0</v>
      </c>
      <c r="CS31" s="659"/>
      <c r="CT31" s="712">
        <f t="shared" si="98"/>
        <v>0</v>
      </c>
      <c r="CU31" s="712">
        <f t="shared" si="99"/>
        <v>0</v>
      </c>
      <c r="CV31" s="712">
        <f t="shared" si="100"/>
        <v>0</v>
      </c>
      <c r="CW31" s="901"/>
      <c r="CX31" s="901"/>
      <c r="CY31" s="901">
        <f t="shared" si="60"/>
        <v>0</v>
      </c>
      <c r="CZ31" s="659"/>
      <c r="DA31" s="712">
        <f t="shared" si="101"/>
        <v>0</v>
      </c>
      <c r="DB31" s="659"/>
      <c r="DC31" s="712">
        <f t="shared" si="102"/>
        <v>0</v>
      </c>
      <c r="DD31" s="712">
        <f t="shared" si="103"/>
        <v>0</v>
      </c>
      <c r="DE31" s="712">
        <f t="shared" si="104"/>
        <v>0</v>
      </c>
      <c r="DF31" s="901"/>
      <c r="DG31" s="901"/>
      <c r="DH31" s="901">
        <f t="shared" si="61"/>
        <v>0</v>
      </c>
      <c r="DI31" s="659"/>
      <c r="DJ31" s="712">
        <f t="shared" si="105"/>
        <v>0</v>
      </c>
      <c r="DK31" s="659"/>
      <c r="DL31" s="712">
        <f t="shared" si="106"/>
        <v>0</v>
      </c>
      <c r="DM31" s="712">
        <f t="shared" si="107"/>
        <v>0</v>
      </c>
      <c r="DN31" s="712">
        <f t="shared" si="108"/>
        <v>0</v>
      </c>
      <c r="DO31" s="737"/>
      <c r="DP31" s="712"/>
      <c r="DQ31" s="734">
        <f t="shared" si="109"/>
        <v>0</v>
      </c>
      <c r="DR31" s="734">
        <v>0</v>
      </c>
      <c r="DS31" s="735"/>
    </row>
    <row r="32" spans="1:123" s="665" customFormat="1" ht="14.15" hidden="1" customHeight="1">
      <c r="A32" s="665">
        <f t="shared" si="63"/>
        <v>19</v>
      </c>
      <c r="C32" s="728"/>
      <c r="D32" s="729"/>
      <c r="E32" s="729"/>
      <c r="F32" s="730"/>
      <c r="G32" s="729"/>
      <c r="H32" s="731"/>
      <c r="I32" s="732">
        <f t="shared" si="0"/>
        <v>0</v>
      </c>
      <c r="J32" s="656"/>
      <c r="K32" s="901"/>
      <c r="L32" s="901"/>
      <c r="M32" s="901">
        <f t="shared" si="50"/>
        <v>0</v>
      </c>
      <c r="N32" s="659"/>
      <c r="O32" s="712">
        <f t="shared" si="64"/>
        <v>0</v>
      </c>
      <c r="P32" s="656"/>
      <c r="Q32" s="659">
        <f t="shared" si="65"/>
        <v>0</v>
      </c>
      <c r="R32" s="659">
        <f t="shared" si="66"/>
        <v>0</v>
      </c>
      <c r="S32" s="712">
        <f t="shared" si="110"/>
        <v>0</v>
      </c>
      <c r="T32" s="901"/>
      <c r="U32" s="901"/>
      <c r="V32" s="901">
        <f t="shared" si="51"/>
        <v>0</v>
      </c>
      <c r="W32" s="659"/>
      <c r="X32" s="712">
        <f t="shared" si="67"/>
        <v>0</v>
      </c>
      <c r="Y32" s="659"/>
      <c r="Z32" s="712">
        <f t="shared" si="68"/>
        <v>0</v>
      </c>
      <c r="AA32" s="712">
        <f t="shared" si="69"/>
        <v>0</v>
      </c>
      <c r="AB32" s="712">
        <f t="shared" si="70"/>
        <v>0</v>
      </c>
      <c r="AC32" s="901"/>
      <c r="AD32" s="901"/>
      <c r="AE32" s="901">
        <f t="shared" si="52"/>
        <v>0</v>
      </c>
      <c r="AF32" s="659"/>
      <c r="AG32" s="712">
        <f t="shared" si="71"/>
        <v>0</v>
      </c>
      <c r="AH32" s="659"/>
      <c r="AI32" s="712">
        <f t="shared" si="72"/>
        <v>0</v>
      </c>
      <c r="AJ32" s="712">
        <f t="shared" si="73"/>
        <v>0</v>
      </c>
      <c r="AK32" s="712">
        <f t="shared" si="74"/>
        <v>0</v>
      </c>
      <c r="AL32" s="901"/>
      <c r="AM32" s="901"/>
      <c r="AN32" s="901">
        <f t="shared" si="53"/>
        <v>0</v>
      </c>
      <c r="AO32" s="659"/>
      <c r="AP32" s="712">
        <f t="shared" si="75"/>
        <v>0</v>
      </c>
      <c r="AQ32" s="659"/>
      <c r="AR32" s="712">
        <f t="shared" si="76"/>
        <v>0</v>
      </c>
      <c r="AS32" s="712">
        <f t="shared" si="77"/>
        <v>0</v>
      </c>
      <c r="AT32" s="712">
        <f t="shared" si="78"/>
        <v>0</v>
      </c>
      <c r="AU32" s="901"/>
      <c r="AV32" s="901"/>
      <c r="AW32" s="901">
        <f t="shared" si="54"/>
        <v>0</v>
      </c>
      <c r="AX32" s="659"/>
      <c r="AY32" s="712">
        <f t="shared" si="79"/>
        <v>0</v>
      </c>
      <c r="AZ32" s="659"/>
      <c r="BA32" s="712">
        <f t="shared" si="80"/>
        <v>0</v>
      </c>
      <c r="BB32" s="712">
        <f t="shared" si="81"/>
        <v>0</v>
      </c>
      <c r="BC32" s="712">
        <f t="shared" si="82"/>
        <v>0</v>
      </c>
      <c r="BD32" s="901"/>
      <c r="BE32" s="901"/>
      <c r="BF32" s="901">
        <f t="shared" si="55"/>
        <v>0</v>
      </c>
      <c r="BG32" s="659"/>
      <c r="BH32" s="712">
        <f t="shared" si="83"/>
        <v>0</v>
      </c>
      <c r="BI32" s="659"/>
      <c r="BJ32" s="712">
        <f t="shared" si="84"/>
        <v>0</v>
      </c>
      <c r="BK32" s="712">
        <f t="shared" si="85"/>
        <v>0</v>
      </c>
      <c r="BL32" s="712">
        <f t="shared" si="86"/>
        <v>0</v>
      </c>
      <c r="BM32" s="901"/>
      <c r="BN32" s="901"/>
      <c r="BO32" s="901">
        <f t="shared" si="56"/>
        <v>0</v>
      </c>
      <c r="BP32" s="659"/>
      <c r="BQ32" s="712">
        <f t="shared" si="87"/>
        <v>0</v>
      </c>
      <c r="BR32" s="659"/>
      <c r="BS32" s="712">
        <f t="shared" si="26"/>
        <v>0</v>
      </c>
      <c r="BT32" s="712">
        <f t="shared" si="27"/>
        <v>0</v>
      </c>
      <c r="BU32" s="712">
        <f t="shared" si="88"/>
        <v>0</v>
      </c>
      <c r="BV32" s="901"/>
      <c r="BW32" s="901"/>
      <c r="BX32" s="901">
        <f t="shared" si="57"/>
        <v>0</v>
      </c>
      <c r="BY32" s="659"/>
      <c r="BZ32" s="712">
        <f t="shared" si="89"/>
        <v>0</v>
      </c>
      <c r="CA32" s="659"/>
      <c r="CB32" s="712">
        <f t="shared" si="90"/>
        <v>0</v>
      </c>
      <c r="CC32" s="712">
        <f t="shared" si="91"/>
        <v>0</v>
      </c>
      <c r="CD32" s="712">
        <f t="shared" si="92"/>
        <v>0</v>
      </c>
      <c r="CE32" s="901"/>
      <c r="CF32" s="901"/>
      <c r="CG32" s="901">
        <f t="shared" si="58"/>
        <v>0</v>
      </c>
      <c r="CH32" s="659"/>
      <c r="CI32" s="712">
        <f t="shared" si="93"/>
        <v>0</v>
      </c>
      <c r="CJ32" s="659"/>
      <c r="CK32" s="712">
        <f t="shared" si="94"/>
        <v>0</v>
      </c>
      <c r="CL32" s="712">
        <f t="shared" si="95"/>
        <v>0</v>
      </c>
      <c r="CM32" s="712">
        <f t="shared" si="96"/>
        <v>0</v>
      </c>
      <c r="CN32" s="901"/>
      <c r="CO32" s="901"/>
      <c r="CP32" s="901">
        <f t="shared" si="59"/>
        <v>0</v>
      </c>
      <c r="CQ32" s="659"/>
      <c r="CR32" s="712">
        <f t="shared" si="97"/>
        <v>0</v>
      </c>
      <c r="CS32" s="659"/>
      <c r="CT32" s="712">
        <f t="shared" si="98"/>
        <v>0</v>
      </c>
      <c r="CU32" s="712">
        <f t="shared" si="99"/>
        <v>0</v>
      </c>
      <c r="CV32" s="712">
        <f t="shared" si="100"/>
        <v>0</v>
      </c>
      <c r="CW32" s="901"/>
      <c r="CX32" s="901"/>
      <c r="CY32" s="901">
        <f t="shared" si="60"/>
        <v>0</v>
      </c>
      <c r="CZ32" s="659"/>
      <c r="DA32" s="712">
        <f t="shared" si="101"/>
        <v>0</v>
      </c>
      <c r="DB32" s="659"/>
      <c r="DC32" s="712">
        <f t="shared" si="102"/>
        <v>0</v>
      </c>
      <c r="DD32" s="712">
        <f t="shared" si="103"/>
        <v>0</v>
      </c>
      <c r="DE32" s="712">
        <f t="shared" si="104"/>
        <v>0</v>
      </c>
      <c r="DF32" s="901"/>
      <c r="DG32" s="901"/>
      <c r="DH32" s="901">
        <f t="shared" si="61"/>
        <v>0</v>
      </c>
      <c r="DI32" s="659"/>
      <c r="DJ32" s="712">
        <f t="shared" si="105"/>
        <v>0</v>
      </c>
      <c r="DK32" s="659"/>
      <c r="DL32" s="712">
        <f t="shared" si="106"/>
        <v>0</v>
      </c>
      <c r="DM32" s="712">
        <f t="shared" si="107"/>
        <v>0</v>
      </c>
      <c r="DN32" s="712">
        <f t="shared" si="108"/>
        <v>0</v>
      </c>
      <c r="DO32" s="737"/>
      <c r="DP32" s="712"/>
      <c r="DQ32" s="734">
        <f t="shared" si="109"/>
        <v>0</v>
      </c>
      <c r="DR32" s="734">
        <v>0</v>
      </c>
      <c r="DS32" s="735"/>
    </row>
    <row r="33" spans="1:123" s="665" customFormat="1" ht="14.15" hidden="1" customHeight="1">
      <c r="A33" s="665">
        <f t="shared" si="63"/>
        <v>20</v>
      </c>
      <c r="C33" s="728"/>
      <c r="D33" s="729"/>
      <c r="E33" s="729"/>
      <c r="F33" s="730"/>
      <c r="G33" s="729"/>
      <c r="H33" s="740"/>
      <c r="I33" s="732">
        <f t="shared" si="0"/>
        <v>0</v>
      </c>
      <c r="J33" s="656"/>
      <c r="K33" s="901"/>
      <c r="L33" s="901"/>
      <c r="M33" s="901">
        <f t="shared" si="50"/>
        <v>0</v>
      </c>
      <c r="N33" s="659"/>
      <c r="O33" s="712">
        <f t="shared" si="64"/>
        <v>0</v>
      </c>
      <c r="P33" s="656"/>
      <c r="Q33" s="659">
        <f t="shared" si="65"/>
        <v>0</v>
      </c>
      <c r="R33" s="659">
        <f t="shared" si="66"/>
        <v>0</v>
      </c>
      <c r="S33" s="712">
        <f t="shared" si="110"/>
        <v>0</v>
      </c>
      <c r="T33" s="901"/>
      <c r="U33" s="901"/>
      <c r="V33" s="901">
        <f t="shared" si="51"/>
        <v>0</v>
      </c>
      <c r="W33" s="659"/>
      <c r="X33" s="712">
        <f t="shared" si="67"/>
        <v>0</v>
      </c>
      <c r="Y33" s="659"/>
      <c r="Z33" s="712">
        <f t="shared" si="68"/>
        <v>0</v>
      </c>
      <c r="AA33" s="712">
        <f t="shared" si="69"/>
        <v>0</v>
      </c>
      <c r="AB33" s="712">
        <f t="shared" si="70"/>
        <v>0</v>
      </c>
      <c r="AC33" s="901"/>
      <c r="AD33" s="901"/>
      <c r="AE33" s="901">
        <f t="shared" si="52"/>
        <v>0</v>
      </c>
      <c r="AF33" s="659"/>
      <c r="AG33" s="712">
        <f t="shared" si="71"/>
        <v>0</v>
      </c>
      <c r="AH33" s="659"/>
      <c r="AI33" s="712">
        <f t="shared" si="72"/>
        <v>0</v>
      </c>
      <c r="AJ33" s="712">
        <f t="shared" si="73"/>
        <v>0</v>
      </c>
      <c r="AK33" s="712">
        <f t="shared" si="74"/>
        <v>0</v>
      </c>
      <c r="AL33" s="901"/>
      <c r="AM33" s="901"/>
      <c r="AN33" s="901">
        <f t="shared" si="53"/>
        <v>0</v>
      </c>
      <c r="AO33" s="659"/>
      <c r="AP33" s="712">
        <f t="shared" si="75"/>
        <v>0</v>
      </c>
      <c r="AQ33" s="659"/>
      <c r="AR33" s="712">
        <f t="shared" si="76"/>
        <v>0</v>
      </c>
      <c r="AS33" s="712">
        <f t="shared" si="77"/>
        <v>0</v>
      </c>
      <c r="AT33" s="712">
        <f t="shared" si="78"/>
        <v>0</v>
      </c>
      <c r="AU33" s="901"/>
      <c r="AV33" s="901"/>
      <c r="AW33" s="901">
        <f t="shared" si="54"/>
        <v>0</v>
      </c>
      <c r="AX33" s="659"/>
      <c r="AY33" s="712">
        <f t="shared" si="79"/>
        <v>0</v>
      </c>
      <c r="AZ33" s="659"/>
      <c r="BA33" s="712">
        <f t="shared" si="80"/>
        <v>0</v>
      </c>
      <c r="BB33" s="712">
        <f t="shared" si="81"/>
        <v>0</v>
      </c>
      <c r="BC33" s="712">
        <f t="shared" si="82"/>
        <v>0</v>
      </c>
      <c r="BD33" s="901"/>
      <c r="BE33" s="901"/>
      <c r="BF33" s="901">
        <f t="shared" si="55"/>
        <v>0</v>
      </c>
      <c r="BG33" s="659"/>
      <c r="BH33" s="712">
        <f t="shared" si="83"/>
        <v>0</v>
      </c>
      <c r="BI33" s="659"/>
      <c r="BJ33" s="712">
        <f t="shared" si="84"/>
        <v>0</v>
      </c>
      <c r="BK33" s="712">
        <f t="shared" si="85"/>
        <v>0</v>
      </c>
      <c r="BL33" s="712">
        <f t="shared" si="86"/>
        <v>0</v>
      </c>
      <c r="BM33" s="901"/>
      <c r="BN33" s="901"/>
      <c r="BO33" s="901">
        <f t="shared" si="56"/>
        <v>0</v>
      </c>
      <c r="BP33" s="659"/>
      <c r="BQ33" s="712">
        <f t="shared" si="87"/>
        <v>0</v>
      </c>
      <c r="BR33" s="659"/>
      <c r="BS33" s="712">
        <f t="shared" si="26"/>
        <v>0</v>
      </c>
      <c r="BT33" s="712">
        <f t="shared" si="27"/>
        <v>0</v>
      </c>
      <c r="BU33" s="712">
        <f t="shared" si="88"/>
        <v>0</v>
      </c>
      <c r="BV33" s="901"/>
      <c r="BW33" s="901"/>
      <c r="BX33" s="901">
        <f t="shared" si="57"/>
        <v>0</v>
      </c>
      <c r="BY33" s="712"/>
      <c r="BZ33" s="712">
        <f t="shared" si="89"/>
        <v>0</v>
      </c>
      <c r="CA33" s="659"/>
      <c r="CB33" s="712">
        <f t="shared" si="90"/>
        <v>0</v>
      </c>
      <c r="CC33" s="712">
        <f t="shared" si="91"/>
        <v>0</v>
      </c>
      <c r="CD33" s="712">
        <f t="shared" si="92"/>
        <v>0</v>
      </c>
      <c r="CE33" s="901"/>
      <c r="CF33" s="901"/>
      <c r="CG33" s="901">
        <f t="shared" si="58"/>
        <v>0</v>
      </c>
      <c r="CH33" s="712"/>
      <c r="CI33" s="712">
        <f t="shared" si="93"/>
        <v>0</v>
      </c>
      <c r="CJ33" s="659"/>
      <c r="CK33" s="712">
        <f t="shared" si="94"/>
        <v>0</v>
      </c>
      <c r="CL33" s="712">
        <f t="shared" si="95"/>
        <v>0</v>
      </c>
      <c r="CM33" s="712">
        <f t="shared" si="96"/>
        <v>0</v>
      </c>
      <c r="CN33" s="901"/>
      <c r="CO33" s="901"/>
      <c r="CP33" s="901">
        <f t="shared" si="59"/>
        <v>0</v>
      </c>
      <c r="CQ33" s="712"/>
      <c r="CR33" s="712">
        <f t="shared" si="97"/>
        <v>0</v>
      </c>
      <c r="CS33" s="659"/>
      <c r="CT33" s="712">
        <f t="shared" si="98"/>
        <v>0</v>
      </c>
      <c r="CU33" s="712">
        <f t="shared" si="99"/>
        <v>0</v>
      </c>
      <c r="CV33" s="712">
        <f t="shared" si="100"/>
        <v>0</v>
      </c>
      <c r="CW33" s="901"/>
      <c r="CX33" s="901"/>
      <c r="CY33" s="901">
        <f t="shared" si="60"/>
        <v>0</v>
      </c>
      <c r="CZ33" s="712"/>
      <c r="DA33" s="712">
        <f t="shared" si="101"/>
        <v>0</v>
      </c>
      <c r="DB33" s="659"/>
      <c r="DC33" s="712">
        <f t="shared" si="102"/>
        <v>0</v>
      </c>
      <c r="DD33" s="712">
        <f t="shared" si="103"/>
        <v>0</v>
      </c>
      <c r="DE33" s="712">
        <f t="shared" si="104"/>
        <v>0</v>
      </c>
      <c r="DF33" s="901"/>
      <c r="DG33" s="901"/>
      <c r="DH33" s="901">
        <f t="shared" si="61"/>
        <v>0</v>
      </c>
      <c r="DI33" s="712"/>
      <c r="DJ33" s="712">
        <f t="shared" si="105"/>
        <v>0</v>
      </c>
      <c r="DK33" s="659"/>
      <c r="DL33" s="712">
        <f t="shared" si="106"/>
        <v>0</v>
      </c>
      <c r="DM33" s="712">
        <f t="shared" si="107"/>
        <v>0</v>
      </c>
      <c r="DN33" s="712">
        <f t="shared" si="108"/>
        <v>0</v>
      </c>
      <c r="DO33" s="737"/>
      <c r="DP33" s="712"/>
      <c r="DQ33" s="734">
        <f t="shared" si="109"/>
        <v>0</v>
      </c>
      <c r="DR33" s="734">
        <v>0</v>
      </c>
      <c r="DS33" s="735"/>
    </row>
    <row r="34" spans="1:123" s="665" customFormat="1" ht="14.15" hidden="1" customHeight="1">
      <c r="A34" s="665">
        <f t="shared" si="63"/>
        <v>21</v>
      </c>
      <c r="C34" s="728"/>
      <c r="D34" s="729"/>
      <c r="E34" s="729"/>
      <c r="F34" s="730"/>
      <c r="G34" s="729"/>
      <c r="H34" s="731"/>
      <c r="I34" s="732">
        <f t="shared" si="0"/>
        <v>0</v>
      </c>
      <c r="J34" s="656"/>
      <c r="K34" s="901"/>
      <c r="L34" s="901"/>
      <c r="M34" s="901">
        <f t="shared" si="50"/>
        <v>0</v>
      </c>
      <c r="N34" s="659"/>
      <c r="O34" s="712">
        <f t="shared" si="64"/>
        <v>0</v>
      </c>
      <c r="P34" s="656"/>
      <c r="Q34" s="659">
        <f t="shared" si="65"/>
        <v>0</v>
      </c>
      <c r="R34" s="659">
        <f t="shared" si="66"/>
        <v>0</v>
      </c>
      <c r="S34" s="712">
        <f t="shared" si="110"/>
        <v>0</v>
      </c>
      <c r="T34" s="901"/>
      <c r="U34" s="901"/>
      <c r="V34" s="901">
        <f t="shared" si="51"/>
        <v>0</v>
      </c>
      <c r="W34" s="659"/>
      <c r="X34" s="712">
        <f t="shared" si="67"/>
        <v>0</v>
      </c>
      <c r="Y34" s="659"/>
      <c r="Z34" s="712">
        <f t="shared" si="68"/>
        <v>0</v>
      </c>
      <c r="AA34" s="712">
        <f t="shared" si="69"/>
        <v>0</v>
      </c>
      <c r="AB34" s="712">
        <f t="shared" si="70"/>
        <v>0</v>
      </c>
      <c r="AC34" s="901"/>
      <c r="AD34" s="901"/>
      <c r="AE34" s="901">
        <f t="shared" si="52"/>
        <v>0</v>
      </c>
      <c r="AF34" s="659"/>
      <c r="AG34" s="712">
        <f t="shared" si="71"/>
        <v>0</v>
      </c>
      <c r="AH34" s="659"/>
      <c r="AI34" s="712">
        <f t="shared" si="72"/>
        <v>0</v>
      </c>
      <c r="AJ34" s="712">
        <f t="shared" si="73"/>
        <v>0</v>
      </c>
      <c r="AK34" s="712">
        <f t="shared" si="74"/>
        <v>0</v>
      </c>
      <c r="AL34" s="901"/>
      <c r="AM34" s="901"/>
      <c r="AN34" s="901">
        <f t="shared" si="53"/>
        <v>0</v>
      </c>
      <c r="AO34" s="659"/>
      <c r="AP34" s="712">
        <f t="shared" si="75"/>
        <v>0</v>
      </c>
      <c r="AQ34" s="659"/>
      <c r="AR34" s="712">
        <f t="shared" si="76"/>
        <v>0</v>
      </c>
      <c r="AS34" s="712">
        <f t="shared" si="77"/>
        <v>0</v>
      </c>
      <c r="AT34" s="712">
        <f t="shared" si="78"/>
        <v>0</v>
      </c>
      <c r="AU34" s="901"/>
      <c r="AV34" s="901"/>
      <c r="AW34" s="901">
        <f t="shared" si="54"/>
        <v>0</v>
      </c>
      <c r="AX34" s="659"/>
      <c r="AY34" s="712">
        <f t="shared" si="79"/>
        <v>0</v>
      </c>
      <c r="AZ34" s="659"/>
      <c r="BA34" s="712">
        <f t="shared" si="80"/>
        <v>0</v>
      </c>
      <c r="BB34" s="712">
        <f t="shared" si="81"/>
        <v>0</v>
      </c>
      <c r="BC34" s="712">
        <f t="shared" si="82"/>
        <v>0</v>
      </c>
      <c r="BD34" s="901"/>
      <c r="BE34" s="901"/>
      <c r="BF34" s="901">
        <f t="shared" si="55"/>
        <v>0</v>
      </c>
      <c r="BG34" s="659"/>
      <c r="BH34" s="712">
        <f t="shared" si="83"/>
        <v>0</v>
      </c>
      <c r="BI34" s="659"/>
      <c r="BJ34" s="712">
        <f t="shared" si="84"/>
        <v>0</v>
      </c>
      <c r="BK34" s="712">
        <f t="shared" si="85"/>
        <v>0</v>
      </c>
      <c r="BL34" s="712">
        <f t="shared" si="86"/>
        <v>0</v>
      </c>
      <c r="BM34" s="901"/>
      <c r="BN34" s="901"/>
      <c r="BO34" s="901">
        <f t="shared" si="56"/>
        <v>0</v>
      </c>
      <c r="BP34" s="659"/>
      <c r="BQ34" s="712">
        <f t="shared" si="87"/>
        <v>0</v>
      </c>
      <c r="BR34" s="659"/>
      <c r="BS34" s="712">
        <f t="shared" si="26"/>
        <v>0</v>
      </c>
      <c r="BT34" s="712">
        <f t="shared" si="27"/>
        <v>0</v>
      </c>
      <c r="BU34" s="712">
        <f t="shared" si="88"/>
        <v>0</v>
      </c>
      <c r="BV34" s="901"/>
      <c r="BW34" s="901"/>
      <c r="BX34" s="901">
        <f t="shared" si="57"/>
        <v>0</v>
      </c>
      <c r="BY34" s="659"/>
      <c r="BZ34" s="712">
        <f t="shared" si="89"/>
        <v>0</v>
      </c>
      <c r="CA34" s="659"/>
      <c r="CB34" s="712">
        <f t="shared" si="90"/>
        <v>0</v>
      </c>
      <c r="CC34" s="712">
        <f t="shared" si="91"/>
        <v>0</v>
      </c>
      <c r="CD34" s="712">
        <f t="shared" si="92"/>
        <v>0</v>
      </c>
      <c r="CE34" s="901"/>
      <c r="CF34" s="901"/>
      <c r="CG34" s="901">
        <f t="shared" si="58"/>
        <v>0</v>
      </c>
      <c r="CH34" s="659"/>
      <c r="CI34" s="712">
        <f t="shared" si="93"/>
        <v>0</v>
      </c>
      <c r="CJ34" s="659"/>
      <c r="CK34" s="712">
        <f t="shared" si="94"/>
        <v>0</v>
      </c>
      <c r="CL34" s="712">
        <f t="shared" si="95"/>
        <v>0</v>
      </c>
      <c r="CM34" s="712">
        <f t="shared" si="96"/>
        <v>0</v>
      </c>
      <c r="CN34" s="901"/>
      <c r="CO34" s="901"/>
      <c r="CP34" s="901">
        <f t="shared" si="59"/>
        <v>0</v>
      </c>
      <c r="CQ34" s="659"/>
      <c r="CR34" s="712">
        <f t="shared" si="97"/>
        <v>0</v>
      </c>
      <c r="CS34" s="659"/>
      <c r="CT34" s="712">
        <f t="shared" si="98"/>
        <v>0</v>
      </c>
      <c r="CU34" s="712">
        <f t="shared" si="99"/>
        <v>0</v>
      </c>
      <c r="CV34" s="712">
        <f t="shared" si="100"/>
        <v>0</v>
      </c>
      <c r="CW34" s="901"/>
      <c r="CX34" s="901"/>
      <c r="CY34" s="901">
        <f t="shared" si="60"/>
        <v>0</v>
      </c>
      <c r="CZ34" s="659"/>
      <c r="DA34" s="712">
        <f t="shared" si="101"/>
        <v>0</v>
      </c>
      <c r="DB34" s="659"/>
      <c r="DC34" s="712">
        <f t="shared" si="102"/>
        <v>0</v>
      </c>
      <c r="DD34" s="712">
        <f t="shared" si="103"/>
        <v>0</v>
      </c>
      <c r="DE34" s="712">
        <f t="shared" si="104"/>
        <v>0</v>
      </c>
      <c r="DF34" s="901"/>
      <c r="DG34" s="901"/>
      <c r="DH34" s="901">
        <f t="shared" si="61"/>
        <v>0</v>
      </c>
      <c r="DI34" s="659"/>
      <c r="DJ34" s="712">
        <f t="shared" si="105"/>
        <v>0</v>
      </c>
      <c r="DK34" s="659"/>
      <c r="DL34" s="712">
        <f t="shared" si="106"/>
        <v>0</v>
      </c>
      <c r="DM34" s="712">
        <f t="shared" si="107"/>
        <v>0</v>
      </c>
      <c r="DN34" s="712">
        <f t="shared" si="108"/>
        <v>0</v>
      </c>
      <c r="DO34" s="737"/>
      <c r="DP34" s="712"/>
      <c r="DQ34" s="734">
        <f t="shared" si="109"/>
        <v>0</v>
      </c>
      <c r="DR34" s="734">
        <v>0</v>
      </c>
      <c r="DS34" s="735"/>
    </row>
    <row r="35" spans="1:123" s="665" customFormat="1" ht="14.15" hidden="1" customHeight="1">
      <c r="A35" s="665">
        <f t="shared" si="63"/>
        <v>22</v>
      </c>
      <c r="C35" s="728"/>
      <c r="D35" s="729"/>
      <c r="E35" s="729"/>
      <c r="F35" s="730"/>
      <c r="G35" s="729"/>
      <c r="H35" s="731"/>
      <c r="I35" s="732">
        <f t="shared" si="0"/>
        <v>0</v>
      </c>
      <c r="J35" s="656"/>
      <c r="K35" s="901"/>
      <c r="L35" s="901"/>
      <c r="M35" s="901">
        <f t="shared" si="50"/>
        <v>0</v>
      </c>
      <c r="N35" s="659"/>
      <c r="O35" s="712">
        <f t="shared" si="64"/>
        <v>0</v>
      </c>
      <c r="P35" s="656"/>
      <c r="Q35" s="659">
        <f t="shared" si="65"/>
        <v>0</v>
      </c>
      <c r="R35" s="659">
        <f t="shared" si="66"/>
        <v>0</v>
      </c>
      <c r="S35" s="712">
        <f t="shared" si="110"/>
        <v>0</v>
      </c>
      <c r="T35" s="901"/>
      <c r="U35" s="901"/>
      <c r="V35" s="901">
        <f t="shared" si="51"/>
        <v>0</v>
      </c>
      <c r="W35" s="659"/>
      <c r="X35" s="712">
        <f t="shared" si="67"/>
        <v>0</v>
      </c>
      <c r="Y35" s="659"/>
      <c r="Z35" s="712">
        <f t="shared" si="68"/>
        <v>0</v>
      </c>
      <c r="AA35" s="712">
        <f t="shared" si="69"/>
        <v>0</v>
      </c>
      <c r="AB35" s="712">
        <f t="shared" si="70"/>
        <v>0</v>
      </c>
      <c r="AC35" s="901"/>
      <c r="AD35" s="901"/>
      <c r="AE35" s="901">
        <f t="shared" si="52"/>
        <v>0</v>
      </c>
      <c r="AF35" s="659"/>
      <c r="AG35" s="712">
        <f t="shared" si="71"/>
        <v>0</v>
      </c>
      <c r="AH35" s="659"/>
      <c r="AI35" s="712">
        <f t="shared" si="72"/>
        <v>0</v>
      </c>
      <c r="AJ35" s="712">
        <f t="shared" si="73"/>
        <v>0</v>
      </c>
      <c r="AK35" s="712">
        <f t="shared" si="74"/>
        <v>0</v>
      </c>
      <c r="AL35" s="901"/>
      <c r="AM35" s="901"/>
      <c r="AN35" s="901">
        <f t="shared" si="53"/>
        <v>0</v>
      </c>
      <c r="AO35" s="659"/>
      <c r="AP35" s="712">
        <f t="shared" si="75"/>
        <v>0</v>
      </c>
      <c r="AQ35" s="659"/>
      <c r="AR35" s="712">
        <f t="shared" si="76"/>
        <v>0</v>
      </c>
      <c r="AS35" s="712">
        <f t="shared" si="77"/>
        <v>0</v>
      </c>
      <c r="AT35" s="712">
        <f t="shared" si="78"/>
        <v>0</v>
      </c>
      <c r="AU35" s="901"/>
      <c r="AV35" s="901"/>
      <c r="AW35" s="901">
        <f t="shared" si="54"/>
        <v>0</v>
      </c>
      <c r="AX35" s="659"/>
      <c r="AY35" s="712">
        <f t="shared" si="79"/>
        <v>0</v>
      </c>
      <c r="AZ35" s="659"/>
      <c r="BA35" s="712">
        <f t="shared" si="80"/>
        <v>0</v>
      </c>
      <c r="BB35" s="712">
        <f t="shared" si="81"/>
        <v>0</v>
      </c>
      <c r="BC35" s="712">
        <f t="shared" si="82"/>
        <v>0</v>
      </c>
      <c r="BD35" s="901"/>
      <c r="BE35" s="901"/>
      <c r="BF35" s="901">
        <f t="shared" si="55"/>
        <v>0</v>
      </c>
      <c r="BG35" s="659"/>
      <c r="BH35" s="712">
        <f t="shared" si="83"/>
        <v>0</v>
      </c>
      <c r="BI35" s="659"/>
      <c r="BJ35" s="712">
        <f t="shared" si="84"/>
        <v>0</v>
      </c>
      <c r="BK35" s="712">
        <f t="shared" si="85"/>
        <v>0</v>
      </c>
      <c r="BL35" s="712">
        <f t="shared" si="86"/>
        <v>0</v>
      </c>
      <c r="BM35" s="901"/>
      <c r="BN35" s="901"/>
      <c r="BO35" s="901">
        <f t="shared" si="56"/>
        <v>0</v>
      </c>
      <c r="BP35" s="659"/>
      <c r="BQ35" s="712">
        <f t="shared" si="87"/>
        <v>0</v>
      </c>
      <c r="BR35" s="659"/>
      <c r="BS35" s="712">
        <f t="shared" si="26"/>
        <v>0</v>
      </c>
      <c r="BT35" s="712">
        <f t="shared" si="27"/>
        <v>0</v>
      </c>
      <c r="BU35" s="712">
        <f t="shared" si="88"/>
        <v>0</v>
      </c>
      <c r="BV35" s="901"/>
      <c r="BW35" s="901"/>
      <c r="BX35" s="901">
        <f t="shared" si="57"/>
        <v>0</v>
      </c>
      <c r="BY35" s="659"/>
      <c r="BZ35" s="712">
        <f t="shared" si="89"/>
        <v>0</v>
      </c>
      <c r="CA35" s="659"/>
      <c r="CB35" s="712">
        <f t="shared" si="90"/>
        <v>0</v>
      </c>
      <c r="CC35" s="712">
        <f t="shared" si="91"/>
        <v>0</v>
      </c>
      <c r="CD35" s="712">
        <f t="shared" si="92"/>
        <v>0</v>
      </c>
      <c r="CE35" s="901"/>
      <c r="CF35" s="901"/>
      <c r="CG35" s="901">
        <f t="shared" si="58"/>
        <v>0</v>
      </c>
      <c r="CH35" s="659"/>
      <c r="CI35" s="712">
        <f t="shared" si="93"/>
        <v>0</v>
      </c>
      <c r="CJ35" s="659"/>
      <c r="CK35" s="712">
        <f t="shared" si="94"/>
        <v>0</v>
      </c>
      <c r="CL35" s="712">
        <f t="shared" si="95"/>
        <v>0</v>
      </c>
      <c r="CM35" s="712">
        <f t="shared" si="96"/>
        <v>0</v>
      </c>
      <c r="CN35" s="901"/>
      <c r="CO35" s="901"/>
      <c r="CP35" s="901">
        <f t="shared" si="59"/>
        <v>0</v>
      </c>
      <c r="CQ35" s="659"/>
      <c r="CR35" s="712">
        <f t="shared" si="97"/>
        <v>0</v>
      </c>
      <c r="CS35" s="659"/>
      <c r="CT35" s="712">
        <f t="shared" si="98"/>
        <v>0</v>
      </c>
      <c r="CU35" s="712">
        <f t="shared" si="99"/>
        <v>0</v>
      </c>
      <c r="CV35" s="712">
        <f t="shared" si="100"/>
        <v>0</v>
      </c>
      <c r="CW35" s="901"/>
      <c r="CX35" s="901"/>
      <c r="CY35" s="901">
        <f t="shared" si="60"/>
        <v>0</v>
      </c>
      <c r="CZ35" s="659"/>
      <c r="DA35" s="712">
        <f t="shared" si="101"/>
        <v>0</v>
      </c>
      <c r="DB35" s="659"/>
      <c r="DC35" s="712">
        <f t="shared" si="102"/>
        <v>0</v>
      </c>
      <c r="DD35" s="712">
        <f t="shared" si="103"/>
        <v>0</v>
      </c>
      <c r="DE35" s="712">
        <f t="shared" si="104"/>
        <v>0</v>
      </c>
      <c r="DF35" s="901"/>
      <c r="DG35" s="901"/>
      <c r="DH35" s="901">
        <f t="shared" si="61"/>
        <v>0</v>
      </c>
      <c r="DI35" s="659"/>
      <c r="DJ35" s="712">
        <f t="shared" si="105"/>
        <v>0</v>
      </c>
      <c r="DK35" s="659"/>
      <c r="DL35" s="712">
        <f t="shared" si="106"/>
        <v>0</v>
      </c>
      <c r="DM35" s="712">
        <f t="shared" si="107"/>
        <v>0</v>
      </c>
      <c r="DN35" s="712">
        <f t="shared" si="108"/>
        <v>0</v>
      </c>
      <c r="DO35" s="737"/>
      <c r="DP35" s="712"/>
      <c r="DQ35" s="734">
        <f t="shared" si="109"/>
        <v>0</v>
      </c>
      <c r="DR35" s="734">
        <v>0</v>
      </c>
      <c r="DS35" s="735"/>
    </row>
    <row r="36" spans="1:123" s="665" customFormat="1" ht="14.15" hidden="1" customHeight="1">
      <c r="A36" s="665">
        <f t="shared" si="63"/>
        <v>23</v>
      </c>
      <c r="C36" s="728"/>
      <c r="D36" s="729"/>
      <c r="E36" s="729"/>
      <c r="F36" s="730"/>
      <c r="G36" s="729"/>
      <c r="H36" s="731"/>
      <c r="I36" s="732">
        <f t="shared" si="0"/>
        <v>0</v>
      </c>
      <c r="J36" s="656"/>
      <c r="K36" s="901"/>
      <c r="L36" s="901"/>
      <c r="M36" s="901">
        <f t="shared" si="50"/>
        <v>0</v>
      </c>
      <c r="N36" s="659"/>
      <c r="O36" s="712">
        <f t="shared" si="64"/>
        <v>0</v>
      </c>
      <c r="P36" s="656"/>
      <c r="Q36" s="659">
        <f t="shared" si="65"/>
        <v>0</v>
      </c>
      <c r="R36" s="659">
        <f t="shared" si="66"/>
        <v>0</v>
      </c>
      <c r="S36" s="712">
        <f t="shared" si="110"/>
        <v>0</v>
      </c>
      <c r="T36" s="901"/>
      <c r="U36" s="901"/>
      <c r="V36" s="901">
        <f t="shared" si="51"/>
        <v>0</v>
      </c>
      <c r="W36" s="659"/>
      <c r="X36" s="712">
        <f t="shared" si="67"/>
        <v>0</v>
      </c>
      <c r="Y36" s="659"/>
      <c r="Z36" s="712">
        <f t="shared" si="68"/>
        <v>0</v>
      </c>
      <c r="AA36" s="712">
        <f t="shared" si="69"/>
        <v>0</v>
      </c>
      <c r="AB36" s="712">
        <f t="shared" si="70"/>
        <v>0</v>
      </c>
      <c r="AC36" s="901"/>
      <c r="AD36" s="901"/>
      <c r="AE36" s="901">
        <f t="shared" si="52"/>
        <v>0</v>
      </c>
      <c r="AF36" s="659"/>
      <c r="AG36" s="712">
        <f t="shared" si="71"/>
        <v>0</v>
      </c>
      <c r="AH36" s="659"/>
      <c r="AI36" s="712">
        <f t="shared" si="72"/>
        <v>0</v>
      </c>
      <c r="AJ36" s="712">
        <f t="shared" si="73"/>
        <v>0</v>
      </c>
      <c r="AK36" s="712">
        <f t="shared" si="74"/>
        <v>0</v>
      </c>
      <c r="AL36" s="901"/>
      <c r="AM36" s="901"/>
      <c r="AN36" s="901">
        <f t="shared" si="53"/>
        <v>0</v>
      </c>
      <c r="AO36" s="659"/>
      <c r="AP36" s="712">
        <f t="shared" si="75"/>
        <v>0</v>
      </c>
      <c r="AQ36" s="659"/>
      <c r="AR36" s="712">
        <f t="shared" si="76"/>
        <v>0</v>
      </c>
      <c r="AS36" s="712">
        <f t="shared" si="77"/>
        <v>0</v>
      </c>
      <c r="AT36" s="712">
        <f t="shared" si="78"/>
        <v>0</v>
      </c>
      <c r="AU36" s="901"/>
      <c r="AV36" s="901"/>
      <c r="AW36" s="901">
        <f t="shared" si="54"/>
        <v>0</v>
      </c>
      <c r="AX36" s="659"/>
      <c r="AY36" s="712">
        <f t="shared" si="79"/>
        <v>0</v>
      </c>
      <c r="AZ36" s="659"/>
      <c r="BA36" s="712">
        <f t="shared" si="80"/>
        <v>0</v>
      </c>
      <c r="BB36" s="712">
        <f t="shared" si="81"/>
        <v>0</v>
      </c>
      <c r="BC36" s="712">
        <f t="shared" si="82"/>
        <v>0</v>
      </c>
      <c r="BD36" s="901"/>
      <c r="BE36" s="901"/>
      <c r="BF36" s="901">
        <f t="shared" si="55"/>
        <v>0</v>
      </c>
      <c r="BG36" s="659"/>
      <c r="BH36" s="712">
        <f t="shared" si="83"/>
        <v>0</v>
      </c>
      <c r="BI36" s="659"/>
      <c r="BJ36" s="712">
        <f t="shared" si="84"/>
        <v>0</v>
      </c>
      <c r="BK36" s="712">
        <f t="shared" si="85"/>
        <v>0</v>
      </c>
      <c r="BL36" s="712">
        <f t="shared" si="86"/>
        <v>0</v>
      </c>
      <c r="BM36" s="901"/>
      <c r="BN36" s="901"/>
      <c r="BO36" s="901">
        <f t="shared" si="56"/>
        <v>0</v>
      </c>
      <c r="BP36" s="659"/>
      <c r="BQ36" s="712">
        <f t="shared" si="87"/>
        <v>0</v>
      </c>
      <c r="BR36" s="659"/>
      <c r="BS36" s="712">
        <f t="shared" si="26"/>
        <v>0</v>
      </c>
      <c r="BT36" s="712">
        <f t="shared" si="27"/>
        <v>0</v>
      </c>
      <c r="BU36" s="712">
        <f t="shared" si="88"/>
        <v>0</v>
      </c>
      <c r="BV36" s="901"/>
      <c r="BW36" s="901"/>
      <c r="BX36" s="901">
        <f t="shared" si="57"/>
        <v>0</v>
      </c>
      <c r="BY36" s="659"/>
      <c r="BZ36" s="712">
        <f t="shared" si="89"/>
        <v>0</v>
      </c>
      <c r="CA36" s="659"/>
      <c r="CB36" s="712">
        <f t="shared" si="90"/>
        <v>0</v>
      </c>
      <c r="CC36" s="712">
        <f t="shared" si="91"/>
        <v>0</v>
      </c>
      <c r="CD36" s="712">
        <f t="shared" si="92"/>
        <v>0</v>
      </c>
      <c r="CE36" s="901"/>
      <c r="CF36" s="901"/>
      <c r="CG36" s="901">
        <f t="shared" si="58"/>
        <v>0</v>
      </c>
      <c r="CH36" s="659"/>
      <c r="CI36" s="712">
        <f t="shared" si="93"/>
        <v>0</v>
      </c>
      <c r="CJ36" s="659"/>
      <c r="CK36" s="712">
        <f t="shared" si="94"/>
        <v>0</v>
      </c>
      <c r="CL36" s="712">
        <f t="shared" si="95"/>
        <v>0</v>
      </c>
      <c r="CM36" s="712">
        <f t="shared" si="96"/>
        <v>0</v>
      </c>
      <c r="CN36" s="901"/>
      <c r="CO36" s="901"/>
      <c r="CP36" s="901">
        <f t="shared" si="59"/>
        <v>0</v>
      </c>
      <c r="CQ36" s="659"/>
      <c r="CR36" s="712">
        <f t="shared" si="97"/>
        <v>0</v>
      </c>
      <c r="CS36" s="659"/>
      <c r="CT36" s="712">
        <f t="shared" si="98"/>
        <v>0</v>
      </c>
      <c r="CU36" s="712">
        <f t="shared" si="99"/>
        <v>0</v>
      </c>
      <c r="CV36" s="712">
        <f t="shared" si="100"/>
        <v>0</v>
      </c>
      <c r="CW36" s="901"/>
      <c r="CX36" s="901"/>
      <c r="CY36" s="901">
        <f t="shared" si="60"/>
        <v>0</v>
      </c>
      <c r="CZ36" s="659"/>
      <c r="DA36" s="712">
        <f t="shared" si="101"/>
        <v>0</v>
      </c>
      <c r="DB36" s="659"/>
      <c r="DC36" s="712">
        <f t="shared" si="102"/>
        <v>0</v>
      </c>
      <c r="DD36" s="712">
        <f t="shared" si="103"/>
        <v>0</v>
      </c>
      <c r="DE36" s="712">
        <f t="shared" si="104"/>
        <v>0</v>
      </c>
      <c r="DF36" s="901"/>
      <c r="DG36" s="901"/>
      <c r="DH36" s="901">
        <f t="shared" si="61"/>
        <v>0</v>
      </c>
      <c r="DI36" s="659"/>
      <c r="DJ36" s="712">
        <f t="shared" si="105"/>
        <v>0</v>
      </c>
      <c r="DK36" s="659"/>
      <c r="DL36" s="712">
        <f t="shared" si="106"/>
        <v>0</v>
      </c>
      <c r="DM36" s="712">
        <f t="shared" si="107"/>
        <v>0</v>
      </c>
      <c r="DN36" s="712">
        <f t="shared" si="108"/>
        <v>0</v>
      </c>
      <c r="DO36" s="739"/>
      <c r="DP36" s="712"/>
      <c r="DQ36" s="734">
        <f t="shared" si="109"/>
        <v>0</v>
      </c>
      <c r="DR36" s="734">
        <v>0</v>
      </c>
      <c r="DS36" s="735"/>
    </row>
    <row r="37" spans="1:123" s="665" customFormat="1" ht="14.15" hidden="1" customHeight="1">
      <c r="A37" s="665">
        <f t="shared" si="63"/>
        <v>24</v>
      </c>
      <c r="C37" s="728"/>
      <c r="D37" s="729"/>
      <c r="E37" s="729"/>
      <c r="F37" s="730"/>
      <c r="G37" s="729"/>
      <c r="H37" s="731"/>
      <c r="I37" s="732">
        <f t="shared" si="0"/>
        <v>0</v>
      </c>
      <c r="J37" s="656"/>
      <c r="K37" s="901"/>
      <c r="L37" s="901"/>
      <c r="M37" s="901">
        <f t="shared" si="50"/>
        <v>0</v>
      </c>
      <c r="N37" s="659"/>
      <c r="O37" s="712">
        <f t="shared" si="64"/>
        <v>0</v>
      </c>
      <c r="P37" s="656"/>
      <c r="Q37" s="659">
        <f t="shared" si="65"/>
        <v>0</v>
      </c>
      <c r="R37" s="659">
        <f t="shared" si="66"/>
        <v>0</v>
      </c>
      <c r="S37" s="712">
        <f t="shared" si="110"/>
        <v>0</v>
      </c>
      <c r="T37" s="901"/>
      <c r="U37" s="901"/>
      <c r="V37" s="901">
        <f t="shared" si="51"/>
        <v>0</v>
      </c>
      <c r="W37" s="659"/>
      <c r="X37" s="712">
        <f t="shared" si="67"/>
        <v>0</v>
      </c>
      <c r="Y37" s="659"/>
      <c r="Z37" s="712">
        <f t="shared" si="68"/>
        <v>0</v>
      </c>
      <c r="AA37" s="712">
        <f t="shared" si="69"/>
        <v>0</v>
      </c>
      <c r="AB37" s="712">
        <f t="shared" si="70"/>
        <v>0</v>
      </c>
      <c r="AC37" s="901"/>
      <c r="AD37" s="901"/>
      <c r="AE37" s="901">
        <f t="shared" si="52"/>
        <v>0</v>
      </c>
      <c r="AF37" s="659"/>
      <c r="AG37" s="712">
        <f t="shared" si="71"/>
        <v>0</v>
      </c>
      <c r="AH37" s="659"/>
      <c r="AI37" s="712">
        <f t="shared" si="72"/>
        <v>0</v>
      </c>
      <c r="AJ37" s="712">
        <f t="shared" si="73"/>
        <v>0</v>
      </c>
      <c r="AK37" s="712">
        <f t="shared" si="74"/>
        <v>0</v>
      </c>
      <c r="AL37" s="901"/>
      <c r="AM37" s="901"/>
      <c r="AN37" s="901">
        <f t="shared" si="53"/>
        <v>0</v>
      </c>
      <c r="AO37" s="659"/>
      <c r="AP37" s="712">
        <f t="shared" si="75"/>
        <v>0</v>
      </c>
      <c r="AQ37" s="659"/>
      <c r="AR37" s="712">
        <f t="shared" si="76"/>
        <v>0</v>
      </c>
      <c r="AS37" s="712">
        <f t="shared" si="77"/>
        <v>0</v>
      </c>
      <c r="AT37" s="712">
        <f t="shared" si="78"/>
        <v>0</v>
      </c>
      <c r="AU37" s="901"/>
      <c r="AV37" s="901"/>
      <c r="AW37" s="901">
        <f t="shared" si="54"/>
        <v>0</v>
      </c>
      <c r="AX37" s="659"/>
      <c r="AY37" s="712">
        <f t="shared" si="79"/>
        <v>0</v>
      </c>
      <c r="AZ37" s="659"/>
      <c r="BA37" s="712">
        <f t="shared" si="80"/>
        <v>0</v>
      </c>
      <c r="BB37" s="712">
        <f t="shared" si="81"/>
        <v>0</v>
      </c>
      <c r="BC37" s="712">
        <f t="shared" si="82"/>
        <v>0</v>
      </c>
      <c r="BD37" s="901"/>
      <c r="BE37" s="901"/>
      <c r="BF37" s="901">
        <f t="shared" si="55"/>
        <v>0</v>
      </c>
      <c r="BG37" s="659"/>
      <c r="BH37" s="712">
        <f t="shared" si="83"/>
        <v>0</v>
      </c>
      <c r="BI37" s="659"/>
      <c r="BJ37" s="712">
        <f t="shared" si="84"/>
        <v>0</v>
      </c>
      <c r="BK37" s="712">
        <f t="shared" si="85"/>
        <v>0</v>
      </c>
      <c r="BL37" s="712">
        <f t="shared" si="86"/>
        <v>0</v>
      </c>
      <c r="BM37" s="901"/>
      <c r="BN37" s="901"/>
      <c r="BO37" s="901">
        <f t="shared" si="56"/>
        <v>0</v>
      </c>
      <c r="BP37" s="659"/>
      <c r="BQ37" s="712">
        <f t="shared" si="87"/>
        <v>0</v>
      </c>
      <c r="BR37" s="659"/>
      <c r="BS37" s="712">
        <f t="shared" si="26"/>
        <v>0</v>
      </c>
      <c r="BT37" s="712">
        <f t="shared" si="27"/>
        <v>0</v>
      </c>
      <c r="BU37" s="712">
        <f t="shared" si="88"/>
        <v>0</v>
      </c>
      <c r="BV37" s="901"/>
      <c r="BW37" s="901"/>
      <c r="BX37" s="901">
        <f t="shared" si="57"/>
        <v>0</v>
      </c>
      <c r="BY37" s="659"/>
      <c r="BZ37" s="712">
        <f t="shared" si="89"/>
        <v>0</v>
      </c>
      <c r="CA37" s="659"/>
      <c r="CB37" s="712">
        <f t="shared" si="90"/>
        <v>0</v>
      </c>
      <c r="CC37" s="712">
        <f t="shared" si="91"/>
        <v>0</v>
      </c>
      <c r="CD37" s="712">
        <f t="shared" si="92"/>
        <v>0</v>
      </c>
      <c r="CE37" s="901"/>
      <c r="CF37" s="901"/>
      <c r="CG37" s="901">
        <f t="shared" si="58"/>
        <v>0</v>
      </c>
      <c r="CH37" s="659"/>
      <c r="CI37" s="712">
        <f t="shared" si="93"/>
        <v>0</v>
      </c>
      <c r="CJ37" s="659"/>
      <c r="CK37" s="712">
        <f t="shared" si="94"/>
        <v>0</v>
      </c>
      <c r="CL37" s="712">
        <f t="shared" si="95"/>
        <v>0</v>
      </c>
      <c r="CM37" s="712">
        <f t="shared" si="96"/>
        <v>0</v>
      </c>
      <c r="CN37" s="901"/>
      <c r="CO37" s="901"/>
      <c r="CP37" s="901">
        <f t="shared" si="59"/>
        <v>0</v>
      </c>
      <c r="CQ37" s="659"/>
      <c r="CR37" s="712">
        <f t="shared" si="97"/>
        <v>0</v>
      </c>
      <c r="CS37" s="659"/>
      <c r="CT37" s="712">
        <f t="shared" si="98"/>
        <v>0</v>
      </c>
      <c r="CU37" s="712">
        <f t="shared" si="99"/>
        <v>0</v>
      </c>
      <c r="CV37" s="712">
        <f t="shared" si="100"/>
        <v>0</v>
      </c>
      <c r="CW37" s="901"/>
      <c r="CX37" s="901"/>
      <c r="CY37" s="901">
        <f t="shared" si="60"/>
        <v>0</v>
      </c>
      <c r="CZ37" s="659"/>
      <c r="DA37" s="712">
        <f t="shared" si="101"/>
        <v>0</v>
      </c>
      <c r="DB37" s="659"/>
      <c r="DC37" s="712">
        <f t="shared" si="102"/>
        <v>0</v>
      </c>
      <c r="DD37" s="712">
        <f t="shared" si="103"/>
        <v>0</v>
      </c>
      <c r="DE37" s="712">
        <f t="shared" si="104"/>
        <v>0</v>
      </c>
      <c r="DF37" s="901"/>
      <c r="DG37" s="901"/>
      <c r="DH37" s="901">
        <f t="shared" si="61"/>
        <v>0</v>
      </c>
      <c r="DI37" s="659"/>
      <c r="DJ37" s="712">
        <f t="shared" si="105"/>
        <v>0</v>
      </c>
      <c r="DK37" s="659"/>
      <c r="DL37" s="712">
        <f t="shared" si="106"/>
        <v>0</v>
      </c>
      <c r="DM37" s="712">
        <f t="shared" si="107"/>
        <v>0</v>
      </c>
      <c r="DN37" s="712">
        <f t="shared" si="108"/>
        <v>0</v>
      </c>
      <c r="DO37" s="742"/>
      <c r="DP37" s="712"/>
      <c r="DQ37" s="734">
        <f t="shared" si="109"/>
        <v>0</v>
      </c>
      <c r="DR37" s="734">
        <v>0</v>
      </c>
      <c r="DS37" s="735"/>
    </row>
    <row r="38" spans="1:123" s="665" customFormat="1" ht="14.15" hidden="1" customHeight="1">
      <c r="A38" s="665">
        <f t="shared" si="63"/>
        <v>25</v>
      </c>
      <c r="C38" s="728"/>
      <c r="D38" s="729"/>
      <c r="E38" s="729"/>
      <c r="F38" s="730"/>
      <c r="G38" s="729"/>
      <c r="H38" s="731"/>
      <c r="I38" s="732">
        <f t="shared" si="0"/>
        <v>0</v>
      </c>
      <c r="J38" s="656"/>
      <c r="K38" s="901"/>
      <c r="L38" s="901"/>
      <c r="M38" s="901">
        <f t="shared" si="50"/>
        <v>0</v>
      </c>
      <c r="N38" s="659"/>
      <c r="O38" s="712">
        <f t="shared" si="64"/>
        <v>0</v>
      </c>
      <c r="P38" s="656"/>
      <c r="Q38" s="659">
        <f t="shared" si="65"/>
        <v>0</v>
      </c>
      <c r="R38" s="659">
        <f t="shared" si="66"/>
        <v>0</v>
      </c>
      <c r="S38" s="712">
        <f t="shared" si="110"/>
        <v>0</v>
      </c>
      <c r="T38" s="901"/>
      <c r="U38" s="901"/>
      <c r="V38" s="901">
        <f t="shared" si="51"/>
        <v>0</v>
      </c>
      <c r="W38" s="659"/>
      <c r="X38" s="712">
        <f t="shared" si="67"/>
        <v>0</v>
      </c>
      <c r="Y38" s="659"/>
      <c r="Z38" s="712">
        <f t="shared" si="68"/>
        <v>0</v>
      </c>
      <c r="AA38" s="712">
        <f t="shared" si="69"/>
        <v>0</v>
      </c>
      <c r="AB38" s="712">
        <f t="shared" si="70"/>
        <v>0</v>
      </c>
      <c r="AC38" s="901"/>
      <c r="AD38" s="901"/>
      <c r="AE38" s="901">
        <f t="shared" si="52"/>
        <v>0</v>
      </c>
      <c r="AF38" s="659"/>
      <c r="AG38" s="712">
        <f t="shared" si="71"/>
        <v>0</v>
      </c>
      <c r="AH38" s="659"/>
      <c r="AI38" s="712">
        <f t="shared" si="72"/>
        <v>0</v>
      </c>
      <c r="AJ38" s="712">
        <f t="shared" si="73"/>
        <v>0</v>
      </c>
      <c r="AK38" s="712">
        <f t="shared" si="74"/>
        <v>0</v>
      </c>
      <c r="AL38" s="901"/>
      <c r="AM38" s="901"/>
      <c r="AN38" s="901">
        <f t="shared" si="53"/>
        <v>0</v>
      </c>
      <c r="AO38" s="659"/>
      <c r="AP38" s="712">
        <f t="shared" si="75"/>
        <v>0</v>
      </c>
      <c r="AQ38" s="659"/>
      <c r="AR38" s="712">
        <f t="shared" si="76"/>
        <v>0</v>
      </c>
      <c r="AS38" s="712">
        <f t="shared" si="77"/>
        <v>0</v>
      </c>
      <c r="AT38" s="712">
        <f t="shared" si="78"/>
        <v>0</v>
      </c>
      <c r="AU38" s="901"/>
      <c r="AV38" s="901"/>
      <c r="AW38" s="901">
        <f t="shared" si="54"/>
        <v>0</v>
      </c>
      <c r="AX38" s="659"/>
      <c r="AY38" s="712">
        <f t="shared" si="79"/>
        <v>0</v>
      </c>
      <c r="AZ38" s="659"/>
      <c r="BA38" s="712">
        <f t="shared" si="80"/>
        <v>0</v>
      </c>
      <c r="BB38" s="712">
        <f t="shared" si="81"/>
        <v>0</v>
      </c>
      <c r="BC38" s="712">
        <f t="shared" si="82"/>
        <v>0</v>
      </c>
      <c r="BD38" s="901"/>
      <c r="BE38" s="901"/>
      <c r="BF38" s="901">
        <f t="shared" si="55"/>
        <v>0</v>
      </c>
      <c r="BG38" s="659"/>
      <c r="BH38" s="712">
        <f t="shared" si="83"/>
        <v>0</v>
      </c>
      <c r="BI38" s="659"/>
      <c r="BJ38" s="712">
        <f t="shared" si="84"/>
        <v>0</v>
      </c>
      <c r="BK38" s="712">
        <f t="shared" si="85"/>
        <v>0</v>
      </c>
      <c r="BL38" s="712">
        <f t="shared" si="86"/>
        <v>0</v>
      </c>
      <c r="BM38" s="901"/>
      <c r="BN38" s="901"/>
      <c r="BO38" s="901">
        <f t="shared" si="56"/>
        <v>0</v>
      </c>
      <c r="BP38" s="659"/>
      <c r="BQ38" s="712">
        <f t="shared" si="87"/>
        <v>0</v>
      </c>
      <c r="BR38" s="659"/>
      <c r="BS38" s="712">
        <f t="shared" si="26"/>
        <v>0</v>
      </c>
      <c r="BT38" s="712">
        <f t="shared" si="27"/>
        <v>0</v>
      </c>
      <c r="BU38" s="712">
        <f t="shared" si="88"/>
        <v>0</v>
      </c>
      <c r="BV38" s="901"/>
      <c r="BW38" s="901"/>
      <c r="BX38" s="901">
        <f t="shared" si="57"/>
        <v>0</v>
      </c>
      <c r="BY38" s="659"/>
      <c r="BZ38" s="712">
        <f t="shared" si="89"/>
        <v>0</v>
      </c>
      <c r="CA38" s="659"/>
      <c r="CB38" s="712">
        <f t="shared" si="90"/>
        <v>0</v>
      </c>
      <c r="CC38" s="712">
        <f t="shared" si="91"/>
        <v>0</v>
      </c>
      <c r="CD38" s="712">
        <f t="shared" si="92"/>
        <v>0</v>
      </c>
      <c r="CE38" s="901"/>
      <c r="CF38" s="901"/>
      <c r="CG38" s="901">
        <f t="shared" si="58"/>
        <v>0</v>
      </c>
      <c r="CH38" s="659"/>
      <c r="CI38" s="712">
        <f t="shared" si="93"/>
        <v>0</v>
      </c>
      <c r="CJ38" s="659"/>
      <c r="CK38" s="712">
        <f t="shared" si="94"/>
        <v>0</v>
      </c>
      <c r="CL38" s="712">
        <f t="shared" si="95"/>
        <v>0</v>
      </c>
      <c r="CM38" s="712">
        <f t="shared" si="96"/>
        <v>0</v>
      </c>
      <c r="CN38" s="901"/>
      <c r="CO38" s="901"/>
      <c r="CP38" s="901">
        <f t="shared" si="59"/>
        <v>0</v>
      </c>
      <c r="CQ38" s="659"/>
      <c r="CR38" s="712">
        <f t="shared" si="97"/>
        <v>0</v>
      </c>
      <c r="CS38" s="659"/>
      <c r="CT38" s="712">
        <f t="shared" si="98"/>
        <v>0</v>
      </c>
      <c r="CU38" s="712">
        <f t="shared" si="99"/>
        <v>0</v>
      </c>
      <c r="CV38" s="712">
        <f t="shared" si="100"/>
        <v>0</v>
      </c>
      <c r="CW38" s="901"/>
      <c r="CX38" s="901"/>
      <c r="CY38" s="901">
        <f t="shared" si="60"/>
        <v>0</v>
      </c>
      <c r="CZ38" s="659"/>
      <c r="DA38" s="712">
        <f t="shared" si="101"/>
        <v>0</v>
      </c>
      <c r="DB38" s="659"/>
      <c r="DC38" s="712">
        <f t="shared" si="102"/>
        <v>0</v>
      </c>
      <c r="DD38" s="712">
        <f t="shared" si="103"/>
        <v>0</v>
      </c>
      <c r="DE38" s="712">
        <f t="shared" si="104"/>
        <v>0</v>
      </c>
      <c r="DF38" s="901"/>
      <c r="DG38" s="901"/>
      <c r="DH38" s="901">
        <f t="shared" si="61"/>
        <v>0</v>
      </c>
      <c r="DI38" s="659"/>
      <c r="DJ38" s="712">
        <f t="shared" si="105"/>
        <v>0</v>
      </c>
      <c r="DK38" s="659"/>
      <c r="DL38" s="712">
        <f t="shared" si="106"/>
        <v>0</v>
      </c>
      <c r="DM38" s="712">
        <f t="shared" si="107"/>
        <v>0</v>
      </c>
      <c r="DN38" s="712">
        <f t="shared" si="108"/>
        <v>0</v>
      </c>
      <c r="DO38" s="746"/>
      <c r="DP38" s="712"/>
      <c r="DQ38" s="734">
        <f t="shared" si="109"/>
        <v>0</v>
      </c>
      <c r="DR38" s="734">
        <v>0</v>
      </c>
      <c r="DS38" s="735"/>
    </row>
    <row r="39" spans="1:123" s="665" customFormat="1" ht="14.15" hidden="1" customHeight="1">
      <c r="A39" s="665">
        <f t="shared" si="63"/>
        <v>26</v>
      </c>
      <c r="C39" s="728"/>
      <c r="D39" s="729"/>
      <c r="E39" s="729"/>
      <c r="F39" s="730"/>
      <c r="G39" s="729"/>
      <c r="H39" s="731"/>
      <c r="I39" s="732">
        <f t="shared" si="0"/>
        <v>0</v>
      </c>
      <c r="J39" s="656"/>
      <c r="K39" s="901"/>
      <c r="L39" s="901"/>
      <c r="M39" s="901">
        <f t="shared" si="50"/>
        <v>0</v>
      </c>
      <c r="N39" s="712">
        <v>0</v>
      </c>
      <c r="O39" s="712">
        <f t="shared" si="64"/>
        <v>0</v>
      </c>
      <c r="P39" s="656"/>
      <c r="Q39" s="659">
        <f t="shared" si="65"/>
        <v>0</v>
      </c>
      <c r="R39" s="712">
        <f t="shared" si="66"/>
        <v>0</v>
      </c>
      <c r="S39" s="712">
        <f t="shared" si="110"/>
        <v>0</v>
      </c>
      <c r="T39" s="901"/>
      <c r="U39" s="901"/>
      <c r="V39" s="901">
        <f t="shared" si="51"/>
        <v>0</v>
      </c>
      <c r="W39" s="659"/>
      <c r="X39" s="712">
        <f t="shared" si="67"/>
        <v>0</v>
      </c>
      <c r="Y39" s="659"/>
      <c r="Z39" s="712">
        <f t="shared" si="68"/>
        <v>0</v>
      </c>
      <c r="AA39" s="712">
        <f t="shared" si="69"/>
        <v>0</v>
      </c>
      <c r="AB39" s="712">
        <f t="shared" si="70"/>
        <v>0</v>
      </c>
      <c r="AC39" s="901"/>
      <c r="AD39" s="901"/>
      <c r="AE39" s="901">
        <f t="shared" si="52"/>
        <v>0</v>
      </c>
      <c r="AF39" s="712"/>
      <c r="AG39" s="712">
        <f t="shared" si="71"/>
        <v>0</v>
      </c>
      <c r="AH39" s="659"/>
      <c r="AI39" s="712">
        <f t="shared" si="72"/>
        <v>0</v>
      </c>
      <c r="AJ39" s="712">
        <f t="shared" si="73"/>
        <v>0</v>
      </c>
      <c r="AK39" s="712">
        <f t="shared" si="74"/>
        <v>0</v>
      </c>
      <c r="AL39" s="901"/>
      <c r="AM39" s="901"/>
      <c r="AN39" s="901">
        <f t="shared" si="53"/>
        <v>0</v>
      </c>
      <c r="AO39" s="659"/>
      <c r="AP39" s="712">
        <f t="shared" si="75"/>
        <v>0</v>
      </c>
      <c r="AQ39" s="659"/>
      <c r="AR39" s="712">
        <f t="shared" si="76"/>
        <v>0</v>
      </c>
      <c r="AS39" s="712">
        <f t="shared" si="77"/>
        <v>0</v>
      </c>
      <c r="AT39" s="712">
        <f t="shared" si="78"/>
        <v>0</v>
      </c>
      <c r="AU39" s="901"/>
      <c r="AV39" s="901"/>
      <c r="AW39" s="901">
        <f t="shared" si="54"/>
        <v>0</v>
      </c>
      <c r="AX39" s="659"/>
      <c r="AY39" s="712">
        <f t="shared" si="79"/>
        <v>0</v>
      </c>
      <c r="AZ39" s="659"/>
      <c r="BA39" s="712">
        <f t="shared" si="80"/>
        <v>0</v>
      </c>
      <c r="BB39" s="712">
        <f t="shared" si="81"/>
        <v>0</v>
      </c>
      <c r="BC39" s="712">
        <f t="shared" si="82"/>
        <v>0</v>
      </c>
      <c r="BD39" s="901"/>
      <c r="BE39" s="901"/>
      <c r="BF39" s="901">
        <f t="shared" si="55"/>
        <v>0</v>
      </c>
      <c r="BG39" s="659"/>
      <c r="BH39" s="712">
        <f t="shared" si="83"/>
        <v>0</v>
      </c>
      <c r="BI39" s="659"/>
      <c r="BJ39" s="712">
        <f t="shared" si="84"/>
        <v>0</v>
      </c>
      <c r="BK39" s="712">
        <f t="shared" si="85"/>
        <v>0</v>
      </c>
      <c r="BL39" s="712">
        <f t="shared" si="86"/>
        <v>0</v>
      </c>
      <c r="BM39" s="901"/>
      <c r="BN39" s="901"/>
      <c r="BO39" s="901">
        <f t="shared" si="56"/>
        <v>0</v>
      </c>
      <c r="BP39" s="659"/>
      <c r="BQ39" s="712">
        <f t="shared" si="87"/>
        <v>0</v>
      </c>
      <c r="BR39" s="659"/>
      <c r="BS39" s="712">
        <f t="shared" si="26"/>
        <v>0</v>
      </c>
      <c r="BT39" s="712">
        <f t="shared" si="27"/>
        <v>0</v>
      </c>
      <c r="BU39" s="712">
        <f t="shared" si="88"/>
        <v>0</v>
      </c>
      <c r="BV39" s="901"/>
      <c r="BW39" s="901"/>
      <c r="BX39" s="901">
        <f t="shared" si="57"/>
        <v>0</v>
      </c>
      <c r="BY39" s="659"/>
      <c r="BZ39" s="712">
        <f t="shared" si="89"/>
        <v>0</v>
      </c>
      <c r="CA39" s="659"/>
      <c r="CB39" s="712">
        <f t="shared" si="90"/>
        <v>0</v>
      </c>
      <c r="CC39" s="712">
        <f t="shared" si="91"/>
        <v>0</v>
      </c>
      <c r="CD39" s="712">
        <f t="shared" si="92"/>
        <v>0</v>
      </c>
      <c r="CE39" s="901"/>
      <c r="CF39" s="901"/>
      <c r="CG39" s="901">
        <f t="shared" si="58"/>
        <v>0</v>
      </c>
      <c r="CH39" s="659"/>
      <c r="CI39" s="712">
        <f t="shared" si="93"/>
        <v>0</v>
      </c>
      <c r="CJ39" s="659"/>
      <c r="CK39" s="712">
        <f t="shared" si="94"/>
        <v>0</v>
      </c>
      <c r="CL39" s="712">
        <f t="shared" si="95"/>
        <v>0</v>
      </c>
      <c r="CM39" s="712">
        <f t="shared" si="96"/>
        <v>0</v>
      </c>
      <c r="CN39" s="901"/>
      <c r="CO39" s="901"/>
      <c r="CP39" s="901">
        <f t="shared" si="59"/>
        <v>0</v>
      </c>
      <c r="CQ39" s="711"/>
      <c r="CR39" s="712">
        <f t="shared" si="97"/>
        <v>0</v>
      </c>
      <c r="CS39" s="659"/>
      <c r="CT39" s="712">
        <f t="shared" si="98"/>
        <v>0</v>
      </c>
      <c r="CU39" s="712">
        <f t="shared" si="99"/>
        <v>0</v>
      </c>
      <c r="CV39" s="712">
        <f t="shared" si="100"/>
        <v>0</v>
      </c>
      <c r="CW39" s="901"/>
      <c r="CX39" s="901"/>
      <c r="CY39" s="901">
        <f t="shared" si="60"/>
        <v>0</v>
      </c>
      <c r="CZ39" s="744"/>
      <c r="DA39" s="712">
        <f t="shared" si="101"/>
        <v>0</v>
      </c>
      <c r="DB39" s="659"/>
      <c r="DC39" s="712">
        <f t="shared" si="102"/>
        <v>0</v>
      </c>
      <c r="DD39" s="712">
        <f t="shared" si="103"/>
        <v>0</v>
      </c>
      <c r="DE39" s="712">
        <f t="shared" si="104"/>
        <v>0</v>
      </c>
      <c r="DF39" s="901"/>
      <c r="DG39" s="901"/>
      <c r="DH39" s="901">
        <f t="shared" si="61"/>
        <v>0</v>
      </c>
      <c r="DI39" s="712"/>
      <c r="DJ39" s="712">
        <f t="shared" si="105"/>
        <v>0</v>
      </c>
      <c r="DK39" s="659"/>
      <c r="DL39" s="712">
        <f t="shared" si="106"/>
        <v>0</v>
      </c>
      <c r="DM39" s="712">
        <f t="shared" si="107"/>
        <v>0</v>
      </c>
      <c r="DN39" s="712">
        <f t="shared" si="108"/>
        <v>0</v>
      </c>
      <c r="DO39" s="739"/>
      <c r="DP39" s="712"/>
      <c r="DQ39" s="734">
        <f t="shared" si="109"/>
        <v>0</v>
      </c>
      <c r="DR39" s="734">
        <v>0</v>
      </c>
      <c r="DS39" s="735"/>
    </row>
    <row r="40" spans="1:123" s="665" customFormat="1" ht="14.15" customHeight="1">
      <c r="C40" s="747"/>
      <c r="D40" s="748"/>
      <c r="E40" s="748"/>
      <c r="F40" s="749"/>
      <c r="G40" s="748"/>
      <c r="H40" s="750"/>
      <c r="I40" s="750"/>
      <c r="J40" s="656"/>
      <c r="K40" s="901"/>
      <c r="L40" s="901"/>
      <c r="M40" s="901"/>
      <c r="N40" s="751"/>
      <c r="O40" s="752"/>
      <c r="P40" s="656"/>
      <c r="Q40" s="751"/>
      <c r="R40" s="752"/>
      <c r="S40" s="752"/>
      <c r="T40" s="901"/>
      <c r="U40" s="901"/>
      <c r="V40" s="901"/>
      <c r="W40" s="751"/>
      <c r="X40" s="753"/>
      <c r="Y40" s="751"/>
      <c r="Z40" s="753"/>
      <c r="AA40" s="753"/>
      <c r="AB40" s="753"/>
      <c r="AC40" s="901"/>
      <c r="AD40" s="901"/>
      <c r="AE40" s="901"/>
      <c r="AF40" s="751"/>
      <c r="AG40" s="753"/>
      <c r="AH40" s="751"/>
      <c r="AI40" s="753"/>
      <c r="AJ40" s="753"/>
      <c r="AK40" s="753"/>
      <c r="AL40" s="901"/>
      <c r="AM40" s="901"/>
      <c r="AN40" s="901"/>
      <c r="AO40" s="751"/>
      <c r="AP40" s="753"/>
      <c r="AQ40" s="751"/>
      <c r="AR40" s="753"/>
      <c r="AS40" s="753"/>
      <c r="AT40" s="753"/>
      <c r="AU40" s="901"/>
      <c r="AV40" s="901"/>
      <c r="AW40" s="901"/>
      <c r="AX40" s="751"/>
      <c r="AY40" s="753"/>
      <c r="AZ40" s="751"/>
      <c r="BA40" s="753"/>
      <c r="BB40" s="753"/>
      <c r="BC40" s="753"/>
      <c r="BD40" s="901"/>
      <c r="BE40" s="901"/>
      <c r="BF40" s="901"/>
      <c r="BG40" s="751"/>
      <c r="BH40" s="712"/>
      <c r="BI40" s="751"/>
      <c r="BJ40" s="712"/>
      <c r="BK40" s="712"/>
      <c r="BL40" s="753"/>
      <c r="BM40" s="901"/>
      <c r="BN40" s="901"/>
      <c r="BO40" s="901"/>
      <c r="BP40" s="751"/>
      <c r="BQ40" s="712"/>
      <c r="BR40" s="751"/>
      <c r="BS40" s="712"/>
      <c r="BT40" s="712"/>
      <c r="BU40" s="753"/>
      <c r="BV40" s="901"/>
      <c r="BW40" s="901"/>
      <c r="BX40" s="901"/>
      <c r="BY40" s="751"/>
      <c r="BZ40" s="712"/>
      <c r="CA40" s="751"/>
      <c r="CB40" s="712"/>
      <c r="CC40" s="712"/>
      <c r="CD40" s="753"/>
      <c r="CE40" s="901"/>
      <c r="CF40" s="901"/>
      <c r="CG40" s="901"/>
      <c r="CH40" s="751"/>
      <c r="CI40" s="712"/>
      <c r="CJ40" s="751"/>
      <c r="CK40" s="712"/>
      <c r="CL40" s="712"/>
      <c r="CM40" s="753"/>
      <c r="CN40" s="901"/>
      <c r="CO40" s="901"/>
      <c r="CP40" s="901"/>
      <c r="CQ40" s="751"/>
      <c r="CR40" s="712"/>
      <c r="CS40" s="751"/>
      <c r="CT40" s="712"/>
      <c r="CU40" s="712"/>
      <c r="CV40" s="753"/>
      <c r="CW40" s="901"/>
      <c r="CX40" s="901"/>
      <c r="CY40" s="901"/>
      <c r="CZ40" s="751"/>
      <c r="DA40" s="712"/>
      <c r="DB40" s="751"/>
      <c r="DC40" s="712"/>
      <c r="DD40" s="712"/>
      <c r="DE40" s="753"/>
      <c r="DF40" s="901"/>
      <c r="DG40" s="901"/>
      <c r="DH40" s="901"/>
      <c r="DI40" s="751"/>
      <c r="DJ40" s="712"/>
      <c r="DK40" s="751"/>
      <c r="DL40" s="712"/>
      <c r="DM40" s="712"/>
      <c r="DN40" s="753"/>
      <c r="DO40" s="746"/>
      <c r="DP40" s="712"/>
    </row>
    <row r="41" spans="1:123" s="665" customFormat="1" ht="14.15" customHeight="1">
      <c r="C41" s="747"/>
      <c r="D41" s="748"/>
      <c r="E41" s="748"/>
      <c r="F41" s="749"/>
      <c r="G41" s="747"/>
      <c r="H41" s="750"/>
      <c r="I41" s="750"/>
      <c r="J41" s="656"/>
      <c r="K41" s="901"/>
      <c r="L41" s="901"/>
      <c r="M41" s="901"/>
      <c r="N41" s="751"/>
      <c r="O41" s="752"/>
      <c r="P41" s="656"/>
      <c r="Q41" s="751"/>
      <c r="R41" s="752"/>
      <c r="S41" s="752"/>
      <c r="T41" s="901"/>
      <c r="U41" s="901"/>
      <c r="V41" s="901"/>
      <c r="W41" s="751"/>
      <c r="X41" s="753"/>
      <c r="Y41" s="751"/>
      <c r="Z41" s="753"/>
      <c r="AA41" s="753"/>
      <c r="AB41" s="753"/>
      <c r="AC41" s="901"/>
      <c r="AD41" s="901"/>
      <c r="AE41" s="901"/>
      <c r="AF41" s="751"/>
      <c r="AG41" s="753"/>
      <c r="AH41" s="751"/>
      <c r="AI41" s="753"/>
      <c r="AJ41" s="753"/>
      <c r="AK41" s="753"/>
      <c r="AL41" s="901"/>
      <c r="AM41" s="901"/>
      <c r="AN41" s="901"/>
      <c r="AO41" s="751"/>
      <c r="AP41" s="753"/>
      <c r="AQ41" s="751"/>
      <c r="AR41" s="753"/>
      <c r="AS41" s="753"/>
      <c r="AT41" s="753"/>
      <c r="AU41" s="901"/>
      <c r="AV41" s="901"/>
      <c r="AW41" s="901"/>
      <c r="AX41" s="751"/>
      <c r="AY41" s="753"/>
      <c r="AZ41" s="751"/>
      <c r="BA41" s="753"/>
      <c r="BB41" s="753"/>
      <c r="BC41" s="753"/>
      <c r="BD41" s="901"/>
      <c r="BE41" s="901"/>
      <c r="BF41" s="901"/>
      <c r="BG41" s="751"/>
      <c r="BH41" s="712"/>
      <c r="BI41" s="751"/>
      <c r="BJ41" s="712"/>
      <c r="BK41" s="712"/>
      <c r="BL41" s="753"/>
      <c r="BM41" s="901"/>
      <c r="BN41" s="901"/>
      <c r="BO41" s="901"/>
      <c r="BP41" s="751"/>
      <c r="BQ41" s="712"/>
      <c r="BR41" s="751"/>
      <c r="BS41" s="712"/>
      <c r="BT41" s="712"/>
      <c r="BU41" s="753"/>
      <c r="BV41" s="901"/>
      <c r="BW41" s="901"/>
      <c r="BX41" s="901"/>
      <c r="BY41" s="751"/>
      <c r="BZ41" s="712"/>
      <c r="CA41" s="751"/>
      <c r="CB41" s="712"/>
      <c r="CC41" s="712"/>
      <c r="CD41" s="753"/>
      <c r="CE41" s="901"/>
      <c r="CF41" s="901"/>
      <c r="CG41" s="901"/>
      <c r="CH41" s="751"/>
      <c r="CI41" s="712"/>
      <c r="CJ41" s="751"/>
      <c r="CK41" s="712"/>
      <c r="CL41" s="712"/>
      <c r="CM41" s="753"/>
      <c r="CN41" s="901"/>
      <c r="CO41" s="901"/>
      <c r="CP41" s="901"/>
      <c r="CQ41" s="751"/>
      <c r="CR41" s="712"/>
      <c r="CS41" s="751"/>
      <c r="CT41" s="712"/>
      <c r="CU41" s="712"/>
      <c r="CV41" s="753"/>
      <c r="CW41" s="901"/>
      <c r="CX41" s="901"/>
      <c r="CY41" s="901"/>
      <c r="CZ41" s="751"/>
      <c r="DA41" s="712"/>
      <c r="DB41" s="751"/>
      <c r="DC41" s="712"/>
      <c r="DD41" s="712"/>
      <c r="DE41" s="753"/>
      <c r="DF41" s="901"/>
      <c r="DG41" s="901"/>
      <c r="DH41" s="901"/>
      <c r="DI41" s="751"/>
      <c r="DJ41" s="712"/>
      <c r="DK41" s="751"/>
      <c r="DL41" s="712"/>
      <c r="DM41" s="712"/>
      <c r="DN41" s="753"/>
      <c r="DO41" s="746"/>
      <c r="DP41" s="712"/>
    </row>
    <row r="42" spans="1:123" s="665" customFormat="1" ht="14.15" customHeight="1">
      <c r="C42" s="754" t="s">
        <v>103</v>
      </c>
      <c r="D42" s="755"/>
      <c r="E42" s="755"/>
      <c r="F42" s="749"/>
      <c r="G42" s="747"/>
      <c r="H42" s="756">
        <f>SUM(H14:H41)</f>
        <v>13256</v>
      </c>
      <c r="I42" s="756">
        <f>SUM(I14:I41)</f>
        <v>49286.700099999995</v>
      </c>
      <c r="J42" s="656"/>
      <c r="K42" s="756">
        <f>SUM(K14:K41)</f>
        <v>47945.29</v>
      </c>
      <c r="L42" s="756">
        <f>SUM(L14:L41)</f>
        <v>4950.0001000000002</v>
      </c>
      <c r="M42" s="756">
        <f>SUM(M14:M41)</f>
        <v>52895.290099999998</v>
      </c>
      <c r="N42" s="756">
        <f>SUM(N14:N41)</f>
        <v>55676</v>
      </c>
      <c r="O42" s="756">
        <f>SUM(O14:O41)</f>
        <v>-2780.7098999999989</v>
      </c>
      <c r="P42" s="656"/>
      <c r="Q42" s="756">
        <f t="shared" ref="Q42:X42" si="111">SUM(Q14:Q41)</f>
        <v>52895.290099999998</v>
      </c>
      <c r="R42" s="756">
        <f t="shared" si="111"/>
        <v>55676</v>
      </c>
      <c r="S42" s="756">
        <f t="shared" si="111"/>
        <v>-2780.7098999999989</v>
      </c>
      <c r="T42" s="756">
        <f>SUM(T14:T41)</f>
        <v>53201.05</v>
      </c>
      <c r="U42" s="756">
        <f>SUM(U14:U41)</f>
        <v>1E-4</v>
      </c>
      <c r="V42" s="756">
        <f>SUM(V14:V41)</f>
        <v>53201.0501</v>
      </c>
      <c r="W42" s="756">
        <f t="shared" si="111"/>
        <v>55676</v>
      </c>
      <c r="X42" s="756">
        <f t="shared" si="111"/>
        <v>-2474.9498999999987</v>
      </c>
      <c r="Y42" s="756"/>
      <c r="Z42" s="756">
        <f t="shared" ref="Z42:AG42" si="112">SUM(Z14:Z41)</f>
        <v>106096.34020000001</v>
      </c>
      <c r="AA42" s="756">
        <f t="shared" si="112"/>
        <v>111352</v>
      </c>
      <c r="AB42" s="756">
        <f t="shared" si="112"/>
        <v>-5255.6597999999976</v>
      </c>
      <c r="AC42" s="756">
        <f>SUM(AC14:AC41)</f>
        <v>53419.8</v>
      </c>
      <c r="AD42" s="756">
        <f>SUM(AD14:AD41)</f>
        <v>1E-4</v>
      </c>
      <c r="AE42" s="756">
        <f>SUM(AE14:AE41)</f>
        <v>53419.8001</v>
      </c>
      <c r="AF42" s="756">
        <f t="shared" si="112"/>
        <v>55895</v>
      </c>
      <c r="AG42" s="756">
        <f t="shared" si="112"/>
        <v>-2475.1998999999987</v>
      </c>
      <c r="AH42" s="756"/>
      <c r="AI42" s="756">
        <f t="shared" ref="AI42:AP42" si="113">SUM(AI14:AI41)</f>
        <v>159516.14030000003</v>
      </c>
      <c r="AJ42" s="756">
        <f t="shared" si="113"/>
        <v>167247</v>
      </c>
      <c r="AK42" s="756">
        <f t="shared" si="113"/>
        <v>-7730.8596999999991</v>
      </c>
      <c r="AL42" s="756">
        <f>SUM(AL14:AL41)</f>
        <v>53419.8</v>
      </c>
      <c r="AM42" s="756">
        <f>SUM(AM14:AM41)</f>
        <v>1E-4</v>
      </c>
      <c r="AN42" s="756">
        <f>SUM(AN14:AN41)</f>
        <v>53419.8001</v>
      </c>
      <c r="AO42" s="756">
        <f t="shared" si="113"/>
        <v>55895</v>
      </c>
      <c r="AP42" s="756">
        <f t="shared" si="113"/>
        <v>-2475.1998999999987</v>
      </c>
      <c r="AQ42" s="756"/>
      <c r="AR42" s="756">
        <f t="shared" ref="AR42:AY42" si="114">SUM(AR14:AR41)</f>
        <v>212935.94039999999</v>
      </c>
      <c r="AS42" s="756">
        <f t="shared" si="114"/>
        <v>223142</v>
      </c>
      <c r="AT42" s="756">
        <f t="shared" si="114"/>
        <v>-10206.059599999997</v>
      </c>
      <c r="AU42" s="756">
        <f>SUM(AU14:AU41)</f>
        <v>53419.8</v>
      </c>
      <c r="AV42" s="756">
        <f>SUM(AV14:AV41)</f>
        <v>-17165.509899999997</v>
      </c>
      <c r="AW42" s="756">
        <f>SUM(AW14:AW41)</f>
        <v>36254.290099999998</v>
      </c>
      <c r="AX42" s="756">
        <f t="shared" si="114"/>
        <v>55895</v>
      </c>
      <c r="AY42" s="756">
        <f t="shared" si="114"/>
        <v>-19640.709899999998</v>
      </c>
      <c r="AZ42" s="756"/>
      <c r="BA42" s="756">
        <f t="shared" ref="BA42:BH42" si="115">SUM(BA14:BA41)</f>
        <v>249190.23049999998</v>
      </c>
      <c r="BB42" s="756">
        <f t="shared" si="115"/>
        <v>279037</v>
      </c>
      <c r="BC42" s="756">
        <f t="shared" si="115"/>
        <v>-29846.769499999995</v>
      </c>
      <c r="BD42" s="756">
        <f>SUM(BD14:BD41)</f>
        <v>24056.86</v>
      </c>
      <c r="BE42" s="756">
        <f>SUM(BE14:BE41)</f>
        <v>44911.000099999997</v>
      </c>
      <c r="BF42" s="756">
        <f>SUM(BF14:BF41)</f>
        <v>68967.860100000005</v>
      </c>
      <c r="BG42" s="756">
        <f t="shared" si="115"/>
        <v>61537</v>
      </c>
      <c r="BH42" s="756">
        <f t="shared" si="115"/>
        <v>7430.8600999999999</v>
      </c>
      <c r="BI42" s="756"/>
      <c r="BJ42" s="756">
        <f t="shared" ref="BJ42:BQ42" si="116">SUM(BJ14:BJ41)</f>
        <v>318158.0906</v>
      </c>
      <c r="BK42" s="756">
        <f t="shared" si="116"/>
        <v>340574</v>
      </c>
      <c r="BL42" s="756">
        <f t="shared" si="116"/>
        <v>-22415.909399999997</v>
      </c>
      <c r="BM42" s="756">
        <f>SUM(BM14:BM41)</f>
        <v>54472.1</v>
      </c>
      <c r="BN42" s="756">
        <f>SUM(BN14:BN41)</f>
        <v>2990.5701000000004</v>
      </c>
      <c r="BO42" s="756">
        <f>SUM(BO14:BO41)</f>
        <v>57462.670099999996</v>
      </c>
      <c r="BP42" s="756">
        <f t="shared" si="116"/>
        <v>61537</v>
      </c>
      <c r="BQ42" s="756">
        <f t="shared" si="116"/>
        <v>-4074.3298999999997</v>
      </c>
      <c r="BR42" s="756"/>
      <c r="BS42" s="756">
        <f t="shared" ref="BS42:BZ42" si="117">SUM(BS14:BS41)</f>
        <v>375620.76069999998</v>
      </c>
      <c r="BT42" s="756">
        <f t="shared" si="117"/>
        <v>402111</v>
      </c>
      <c r="BU42" s="756">
        <f t="shared" si="117"/>
        <v>-26490.239299999997</v>
      </c>
      <c r="BV42" s="756">
        <f>SUM(BV14:BV41)</f>
        <v>58787.839999999997</v>
      </c>
      <c r="BW42" s="756">
        <f>SUM(BW14:BW41)</f>
        <v>-4096.9998999999998</v>
      </c>
      <c r="BX42" s="756">
        <f>SUM(BX14:BX41)</f>
        <v>54690.840099999994</v>
      </c>
      <c r="BY42" s="756">
        <f t="shared" si="117"/>
        <v>61537</v>
      </c>
      <c r="BZ42" s="756">
        <f t="shared" si="117"/>
        <v>-6846.1598999999997</v>
      </c>
      <c r="CA42" s="756"/>
      <c r="CB42" s="756">
        <f t="shared" ref="CB42:CI42" si="118">SUM(CB14:CB41)</f>
        <v>430311.60079999996</v>
      </c>
      <c r="CC42" s="756">
        <f t="shared" si="118"/>
        <v>463648</v>
      </c>
      <c r="CD42" s="756">
        <f t="shared" si="118"/>
        <v>-33336.3992</v>
      </c>
      <c r="CE42" s="756">
        <f>SUM(CE14:CE41)</f>
        <v>54472.1</v>
      </c>
      <c r="CF42" s="756">
        <f>SUM(CF14:CF41)</f>
        <v>219.0001</v>
      </c>
      <c r="CG42" s="756">
        <f>SUM(CG14:CG41)</f>
        <v>54691.100099999996</v>
      </c>
      <c r="CH42" s="756">
        <f t="shared" si="118"/>
        <v>61537</v>
      </c>
      <c r="CI42" s="756">
        <f t="shared" si="118"/>
        <v>-6845.8998999999994</v>
      </c>
      <c r="CJ42" s="756"/>
      <c r="CK42" s="756">
        <f t="shared" ref="CK42:CR42" si="119">SUM(CK14:CK41)</f>
        <v>485002.70089999994</v>
      </c>
      <c r="CL42" s="756">
        <f t="shared" si="119"/>
        <v>525185</v>
      </c>
      <c r="CM42" s="756">
        <f t="shared" si="119"/>
        <v>-40182.299100000004</v>
      </c>
      <c r="CN42" s="756">
        <f>SUM(CN14:CN41)</f>
        <v>48631.899999999994</v>
      </c>
      <c r="CO42" s="756">
        <f>SUM(CO14:CO41)</f>
        <v>3139.1001000000001</v>
      </c>
      <c r="CP42" s="756">
        <f>SUM(CP14:CP41)</f>
        <v>51771.000099999997</v>
      </c>
      <c r="CQ42" s="756">
        <f t="shared" si="119"/>
        <v>61537</v>
      </c>
      <c r="CR42" s="756">
        <f t="shared" si="119"/>
        <v>-9765.9998999999989</v>
      </c>
      <c r="CS42" s="756"/>
      <c r="CT42" s="756">
        <f t="shared" ref="CT42:DA42" si="120">SUM(CT14:CT41)</f>
        <v>536773.701</v>
      </c>
      <c r="CU42" s="756">
        <f t="shared" si="120"/>
        <v>586722</v>
      </c>
      <c r="CV42" s="756">
        <f t="shared" si="120"/>
        <v>-49948.298999999999</v>
      </c>
      <c r="CW42" s="756">
        <f>SUM(CW14:CW41)</f>
        <v>53104.5</v>
      </c>
      <c r="CX42" s="756">
        <f>SUM(CX14:CX41)</f>
        <v>902.55010000000016</v>
      </c>
      <c r="CY42" s="756">
        <f>SUM(CY14:CY41)</f>
        <v>54007.0501</v>
      </c>
      <c r="CZ42" s="756">
        <f t="shared" si="120"/>
        <v>61537</v>
      </c>
      <c r="DA42" s="756">
        <f t="shared" si="120"/>
        <v>-7529.9498999999987</v>
      </c>
      <c r="DB42" s="756"/>
      <c r="DC42" s="756">
        <f t="shared" ref="DC42:DJ42" si="121">SUM(DC14:DC41)</f>
        <v>590780.75109999999</v>
      </c>
      <c r="DD42" s="756">
        <f t="shared" si="121"/>
        <v>648259</v>
      </c>
      <c r="DE42" s="756">
        <f t="shared" si="121"/>
        <v>-57478.248900000006</v>
      </c>
      <c r="DF42" s="756">
        <f>SUM(DF14:DF41)</f>
        <v>45416.3</v>
      </c>
      <c r="DG42" s="756">
        <f>SUM(DG14:DG41)</f>
        <v>3870.4001000000003</v>
      </c>
      <c r="DH42" s="756">
        <f>SUM(DH14:DH41)</f>
        <v>49286.700099999995</v>
      </c>
      <c r="DI42" s="756">
        <f t="shared" si="121"/>
        <v>62142</v>
      </c>
      <c r="DJ42" s="756">
        <f t="shared" si="121"/>
        <v>-12855.299899999998</v>
      </c>
      <c r="DK42" s="756"/>
      <c r="DL42" s="756">
        <f>SUM(DL14:DL41)</f>
        <v>640067.45120000013</v>
      </c>
      <c r="DM42" s="756">
        <f>SUM(DM14:DM41)</f>
        <v>710401</v>
      </c>
      <c r="DN42" s="756">
        <f>SUM(DN14:DN41)</f>
        <v>-70333.548800000019</v>
      </c>
      <c r="DO42" s="746"/>
      <c r="DP42" s="712"/>
      <c r="DQ42" s="756">
        <f>SUM(DQ14:DQ41)</f>
        <v>710401</v>
      </c>
      <c r="DR42" s="756">
        <f>SUM(DR14:DR41)</f>
        <v>-70333</v>
      </c>
    </row>
    <row r="43" spans="1:123" s="665" customFormat="1" ht="14.15" customHeight="1">
      <c r="C43" s="747"/>
      <c r="D43" s="748"/>
      <c r="E43" s="748"/>
      <c r="F43" s="749"/>
      <c r="G43" s="747"/>
      <c r="H43" s="750"/>
      <c r="I43" s="750"/>
      <c r="J43" s="656"/>
      <c r="K43" s="901"/>
      <c r="L43" s="901"/>
      <c r="M43" s="901"/>
      <c r="N43" s="751"/>
      <c r="O43" s="752"/>
      <c r="P43" s="656"/>
      <c r="Q43" s="751"/>
      <c r="R43" s="752"/>
      <c r="S43" s="752"/>
      <c r="T43" s="901"/>
      <c r="U43" s="901"/>
      <c r="V43" s="901"/>
      <c r="W43" s="751"/>
      <c r="X43" s="753"/>
      <c r="Y43" s="751"/>
      <c r="Z43" s="753"/>
      <c r="AA43" s="753"/>
      <c r="AB43" s="753"/>
      <c r="AC43" s="901"/>
      <c r="AD43" s="901"/>
      <c r="AE43" s="901"/>
      <c r="AF43" s="751"/>
      <c r="AG43" s="753"/>
      <c r="AH43" s="751"/>
      <c r="AI43" s="753"/>
      <c r="AJ43" s="753"/>
      <c r="AK43" s="753"/>
      <c r="AL43" s="901"/>
      <c r="AM43" s="901"/>
      <c r="AN43" s="901"/>
      <c r="AO43" s="751"/>
      <c r="AP43" s="753"/>
      <c r="AQ43" s="751"/>
      <c r="AR43" s="753"/>
      <c r="AS43" s="753"/>
      <c r="AT43" s="753"/>
      <c r="AU43" s="901"/>
      <c r="AV43" s="901"/>
      <c r="AW43" s="901"/>
      <c r="AX43" s="751"/>
      <c r="AY43" s="753"/>
      <c r="AZ43" s="751"/>
      <c r="BA43" s="753"/>
      <c r="BB43" s="753"/>
      <c r="BC43" s="753"/>
      <c r="BD43" s="901"/>
      <c r="BE43" s="901"/>
      <c r="BF43" s="901"/>
      <c r="BG43" s="751"/>
      <c r="BH43" s="712"/>
      <c r="BI43" s="751"/>
      <c r="BJ43" s="712"/>
      <c r="BK43" s="712"/>
      <c r="BL43" s="753"/>
      <c r="BM43" s="901"/>
      <c r="BN43" s="901"/>
      <c r="BO43" s="901"/>
      <c r="BP43" s="751"/>
      <c r="BQ43" s="712"/>
      <c r="BR43" s="751"/>
      <c r="BS43" s="712"/>
      <c r="BT43" s="712"/>
      <c r="BU43" s="753"/>
      <c r="BV43" s="901"/>
      <c r="BW43" s="901"/>
      <c r="BX43" s="901"/>
      <c r="BY43" s="751"/>
      <c r="BZ43" s="712"/>
      <c r="CA43" s="751"/>
      <c r="CB43" s="712"/>
      <c r="CC43" s="712"/>
      <c r="CD43" s="753"/>
      <c r="CE43" s="901"/>
      <c r="CF43" s="901"/>
      <c r="CG43" s="901"/>
      <c r="CH43" s="751"/>
      <c r="CI43" s="712"/>
      <c r="CJ43" s="751"/>
      <c r="CK43" s="712"/>
      <c r="CL43" s="712"/>
      <c r="CM43" s="753"/>
      <c r="CN43" s="901"/>
      <c r="CO43" s="901"/>
      <c r="CP43" s="901"/>
      <c r="CQ43" s="751"/>
      <c r="CR43" s="712"/>
      <c r="CS43" s="751"/>
      <c r="CT43" s="712"/>
      <c r="CU43" s="712"/>
      <c r="CV43" s="753"/>
      <c r="CW43" s="901"/>
      <c r="CX43" s="901"/>
      <c r="CY43" s="901"/>
      <c r="CZ43" s="751"/>
      <c r="DA43" s="712"/>
      <c r="DB43" s="751"/>
      <c r="DC43" s="712"/>
      <c r="DD43" s="712"/>
      <c r="DE43" s="753"/>
      <c r="DF43" s="901"/>
      <c r="DG43" s="901"/>
      <c r="DH43" s="901"/>
      <c r="DI43" s="751"/>
      <c r="DJ43" s="712"/>
      <c r="DK43" s="751"/>
      <c r="DL43" s="712"/>
      <c r="DM43" s="712"/>
      <c r="DN43" s="753"/>
      <c r="DO43" s="746"/>
      <c r="DP43" s="712"/>
    </row>
    <row r="44" spans="1:123" s="665" customFormat="1" ht="14.15" customHeight="1">
      <c r="C44" s="757" t="s">
        <v>104</v>
      </c>
      <c r="D44" s="748"/>
      <c r="E44" s="748"/>
      <c r="F44" s="749"/>
      <c r="G44" s="747"/>
      <c r="H44" s="750"/>
      <c r="I44" s="750"/>
      <c r="J44" s="656"/>
      <c r="K44" s="901"/>
      <c r="L44" s="901"/>
      <c r="M44" s="901"/>
      <c r="N44" s="751"/>
      <c r="O44" s="752"/>
      <c r="P44" s="656"/>
      <c r="Q44" s="751"/>
      <c r="R44" s="752"/>
      <c r="S44" s="752"/>
      <c r="T44" s="901"/>
      <c r="U44" s="901"/>
      <c r="V44" s="901"/>
      <c r="W44" s="751"/>
      <c r="X44" s="753"/>
      <c r="Y44" s="751"/>
      <c r="Z44" s="753"/>
      <c r="AA44" s="753"/>
      <c r="AB44" s="753"/>
      <c r="AC44" s="901"/>
      <c r="AD44" s="901"/>
      <c r="AE44" s="901"/>
      <c r="AF44" s="751"/>
      <c r="AG44" s="753"/>
      <c r="AH44" s="751"/>
      <c r="AI44" s="753"/>
      <c r="AJ44" s="753"/>
      <c r="AK44" s="753"/>
      <c r="AL44" s="901"/>
      <c r="AM44" s="901"/>
      <c r="AN44" s="901"/>
      <c r="AO44" s="751"/>
      <c r="AP44" s="753"/>
      <c r="AQ44" s="751"/>
      <c r="AR44" s="753"/>
      <c r="AS44" s="753"/>
      <c r="AT44" s="753"/>
      <c r="AU44" s="901"/>
      <c r="AV44" s="901"/>
      <c r="AW44" s="901"/>
      <c r="AX44" s="751"/>
      <c r="AY44" s="753"/>
      <c r="AZ44" s="751"/>
      <c r="BA44" s="753"/>
      <c r="BB44" s="753"/>
      <c r="BC44" s="753"/>
      <c r="BD44" s="901"/>
      <c r="BE44" s="901"/>
      <c r="BF44" s="901"/>
      <c r="BG44" s="751"/>
      <c r="BH44" s="712"/>
      <c r="BI44" s="751"/>
      <c r="BJ44" s="712"/>
      <c r="BK44" s="712"/>
      <c r="BL44" s="753"/>
      <c r="BM44" s="901"/>
      <c r="BN44" s="901"/>
      <c r="BO44" s="901"/>
      <c r="BP44" s="751"/>
      <c r="BQ44" s="712"/>
      <c r="BR44" s="751"/>
      <c r="BS44" s="712"/>
      <c r="BT44" s="712"/>
      <c r="BU44" s="753"/>
      <c r="BV44" s="901"/>
      <c r="BW44" s="901"/>
      <c r="BX44" s="901"/>
      <c r="BY44" s="751"/>
      <c r="BZ44" s="712"/>
      <c r="CA44" s="751"/>
      <c r="CB44" s="712"/>
      <c r="CC44" s="712"/>
      <c r="CD44" s="753"/>
      <c r="CE44" s="901"/>
      <c r="CF44" s="901"/>
      <c r="CG44" s="901"/>
      <c r="CH44" s="751"/>
      <c r="CI44" s="712"/>
      <c r="CJ44" s="751"/>
      <c r="CK44" s="712"/>
      <c r="CL44" s="712"/>
      <c r="CM44" s="753"/>
      <c r="CN44" s="901"/>
      <c r="CO44" s="901"/>
      <c r="CP44" s="901"/>
      <c r="CQ44" s="751"/>
      <c r="CR44" s="712"/>
      <c r="CS44" s="751"/>
      <c r="CT44" s="712"/>
      <c r="CU44" s="712"/>
      <c r="CV44" s="753"/>
      <c r="CW44" s="901"/>
      <c r="CX44" s="901"/>
      <c r="CY44" s="901"/>
      <c r="CZ44" s="751"/>
      <c r="DA44" s="712"/>
      <c r="DB44" s="751"/>
      <c r="DC44" s="712"/>
      <c r="DD44" s="712"/>
      <c r="DE44" s="753"/>
      <c r="DF44" s="901"/>
      <c r="DG44" s="901"/>
      <c r="DH44" s="901"/>
      <c r="DI44" s="751"/>
      <c r="DJ44" s="712"/>
      <c r="DK44" s="751"/>
      <c r="DL44" s="712"/>
      <c r="DM44" s="712"/>
      <c r="DN44" s="753"/>
      <c r="DO44" s="746"/>
      <c r="DP44" s="712"/>
    </row>
    <row r="45" spans="1:123" s="665" customFormat="1" ht="14.15" customHeight="1">
      <c r="B45" s="220" t="s">
        <v>105</v>
      </c>
      <c r="C45" s="728" t="s">
        <v>106</v>
      </c>
      <c r="D45" s="866">
        <v>36161</v>
      </c>
      <c r="E45" s="866">
        <v>41882</v>
      </c>
      <c r="F45" s="730" t="s">
        <v>71</v>
      </c>
      <c r="G45" s="729" t="s">
        <v>107</v>
      </c>
      <c r="H45" s="731">
        <v>8000</v>
      </c>
      <c r="I45" s="732">
        <f t="shared" ref="I45:I51" si="122">HLOOKUP(I$10,M$10:DI$53,ROW()-9,FALSE)</f>
        <v>10000</v>
      </c>
      <c r="J45" s="656"/>
      <c r="K45" s="901">
        <f>IF(ISERROR(VLOOKUP($B45,'MRI Data'!$A:$P,M$10+3,FALSE)),0,VLOOKUP($B45,'MRI Data'!$A:$P,M$10+3,FALSE))</f>
        <v>10000</v>
      </c>
      <c r="L45" s="901"/>
      <c r="M45" s="901">
        <f>SUM(K45:L45)</f>
        <v>10000</v>
      </c>
      <c r="N45" s="659">
        <v>10000</v>
      </c>
      <c r="O45" s="712">
        <f t="shared" ref="O45:O51" si="123">+M45-N45</f>
        <v>0</v>
      </c>
      <c r="P45" s="656"/>
      <c r="Q45" s="659">
        <f t="shared" ref="Q45:R51" si="124">+M45</f>
        <v>10000</v>
      </c>
      <c r="R45" s="659">
        <f t="shared" si="124"/>
        <v>10000</v>
      </c>
      <c r="S45" s="712">
        <f t="shared" ref="S45:S52" si="125">O45</f>
        <v>0</v>
      </c>
      <c r="T45" s="901">
        <f>IF(ISERROR(VLOOKUP($B45,'MRI Data'!$A:$P,V$10+3,FALSE)),0,VLOOKUP($B45,'MRI Data'!$A:$P,V$10+3,FALSE))</f>
        <v>10000</v>
      </c>
      <c r="U45" s="901"/>
      <c r="V45" s="901">
        <f>SUM(T45:U45)</f>
        <v>10000</v>
      </c>
      <c r="W45" s="659">
        <v>10000</v>
      </c>
      <c r="X45" s="712">
        <f t="shared" ref="X45:X51" si="126">+V45-W45</f>
        <v>0</v>
      </c>
      <c r="Y45" s="659"/>
      <c r="Z45" s="712">
        <f t="shared" ref="Z45:AA51" si="127">+Q45+V45</f>
        <v>20000</v>
      </c>
      <c r="AA45" s="712">
        <f t="shared" si="127"/>
        <v>20000</v>
      </c>
      <c r="AB45" s="712">
        <f t="shared" ref="AB45:AB52" si="128">+Z45-AA45</f>
        <v>0</v>
      </c>
      <c r="AC45" s="901">
        <f>IF(ISERROR(VLOOKUP($B45,'MRI Data'!$A:$P,AE$10+3,FALSE)),0,VLOOKUP($B45,'MRI Data'!$A:$P,AE$10+3,FALSE))</f>
        <v>10000</v>
      </c>
      <c r="AD45" s="901"/>
      <c r="AE45" s="901">
        <f>SUM(AC45:AD45)</f>
        <v>10000</v>
      </c>
      <c r="AF45" s="659">
        <v>10000</v>
      </c>
      <c r="AG45" s="712">
        <f t="shared" ref="AG45:AG51" si="129">+AE45-AF45</f>
        <v>0</v>
      </c>
      <c r="AH45" s="659"/>
      <c r="AI45" s="712">
        <f t="shared" ref="AI45:AJ52" si="130">+Z45+AE45</f>
        <v>30000</v>
      </c>
      <c r="AJ45" s="712">
        <f t="shared" si="130"/>
        <v>30000</v>
      </c>
      <c r="AK45" s="712">
        <f t="shared" ref="AK45:AK52" si="131">+AI45-AJ45</f>
        <v>0</v>
      </c>
      <c r="AL45" s="901">
        <f>IF(ISERROR(VLOOKUP($B45,'MRI Data'!$A:$P,AN$10+3,FALSE)),0,VLOOKUP($B45,'MRI Data'!$A:$P,AN$10+3,FALSE))</f>
        <v>10000</v>
      </c>
      <c r="AM45" s="901"/>
      <c r="AN45" s="901">
        <f>SUM(AL45:AM45)</f>
        <v>10000</v>
      </c>
      <c r="AO45" s="659">
        <v>10000</v>
      </c>
      <c r="AP45" s="712">
        <f t="shared" ref="AP45:AP52" si="132">+AN45-AO45</f>
        <v>0</v>
      </c>
      <c r="AQ45" s="659"/>
      <c r="AR45" s="712">
        <f t="shared" ref="AR45:AS52" si="133">+AI45+AN45</f>
        <v>40000</v>
      </c>
      <c r="AS45" s="712">
        <f t="shared" si="133"/>
        <v>40000</v>
      </c>
      <c r="AT45" s="712">
        <f t="shared" ref="AT45:AT52" si="134">+AR45-AS45</f>
        <v>0</v>
      </c>
      <c r="AU45" s="901">
        <f>IF(ISERROR(VLOOKUP($B45,'MRI Data'!$A:$P,AW$10+3,FALSE)),0,VLOOKUP($B45,'MRI Data'!$A:$P,AW$10+3,FALSE))</f>
        <v>10000</v>
      </c>
      <c r="AV45" s="901"/>
      <c r="AW45" s="901">
        <f>SUM(AU45:AV45)</f>
        <v>10000</v>
      </c>
      <c r="AX45" s="659">
        <v>10000</v>
      </c>
      <c r="AY45" s="712">
        <f t="shared" ref="AY45:AY52" si="135">+AW45-AX45</f>
        <v>0</v>
      </c>
      <c r="AZ45" s="659"/>
      <c r="BA45" s="712">
        <f t="shared" ref="BA45:BB52" si="136">+AR45+AW45</f>
        <v>50000</v>
      </c>
      <c r="BB45" s="712">
        <f t="shared" si="136"/>
        <v>50000</v>
      </c>
      <c r="BC45" s="712">
        <f t="shared" ref="BC45:BC52" si="137">+BA45-BB45</f>
        <v>0</v>
      </c>
      <c r="BD45" s="901">
        <f>IF(ISERROR(VLOOKUP($B45,'MRI Data'!$A:$P,BF$10+3,FALSE)),0,VLOOKUP($B45,'MRI Data'!$A:$P,BF$10+3,FALSE))</f>
        <v>10000</v>
      </c>
      <c r="BE45" s="901"/>
      <c r="BF45" s="901">
        <f>SUM(BD45:BE45)</f>
        <v>10000</v>
      </c>
      <c r="BG45" s="659">
        <v>10000</v>
      </c>
      <c r="BH45" s="712">
        <f t="shared" ref="BH45:BH52" si="138">+BF45-BG45</f>
        <v>0</v>
      </c>
      <c r="BI45" s="659"/>
      <c r="BJ45" s="712">
        <f t="shared" ref="BJ45:BK52" si="139">+BA45+BF45</f>
        <v>60000</v>
      </c>
      <c r="BK45" s="712">
        <f t="shared" si="139"/>
        <v>60000</v>
      </c>
      <c r="BL45" s="712">
        <f t="shared" ref="BL45:BL52" si="140">+BJ45-BK45</f>
        <v>0</v>
      </c>
      <c r="BM45" s="901">
        <f>IF(ISERROR(VLOOKUP($B45,'MRI Data'!$A:$P,BO$10+3,FALSE)),0,VLOOKUP($B45,'MRI Data'!$A:$P,BO$10+3,FALSE))</f>
        <v>10000</v>
      </c>
      <c r="BN45" s="901"/>
      <c r="BO45" s="901">
        <f>SUM(BM45:BN45)</f>
        <v>10000</v>
      </c>
      <c r="BP45" s="659">
        <v>10000</v>
      </c>
      <c r="BQ45" s="712">
        <f t="shared" ref="BQ45:BQ52" si="141">+BO45-BP45</f>
        <v>0</v>
      </c>
      <c r="BR45" s="659"/>
      <c r="BS45" s="712">
        <f t="shared" ref="BS45:BT52" si="142">+BJ45+BO45</f>
        <v>70000</v>
      </c>
      <c r="BT45" s="712">
        <f t="shared" si="142"/>
        <v>70000</v>
      </c>
      <c r="BU45" s="712">
        <f t="shared" ref="BU45:BU52" si="143">+BS45-BT45</f>
        <v>0</v>
      </c>
      <c r="BV45" s="901">
        <f>IF(ISERROR(VLOOKUP($B45,'MRI Data'!$A:$P,BX$10+3,FALSE)),0,VLOOKUP($B45,'MRI Data'!$A:$P,BX$10+3,FALSE))</f>
        <v>10000</v>
      </c>
      <c r="BW45" s="901"/>
      <c r="BX45" s="901">
        <f>SUM(BV45:BW45)</f>
        <v>10000</v>
      </c>
      <c r="BY45" s="659">
        <v>10000</v>
      </c>
      <c r="BZ45" s="712">
        <f t="shared" ref="BZ45:BZ52" si="144">+BX45-BY45</f>
        <v>0</v>
      </c>
      <c r="CA45" s="659"/>
      <c r="CB45" s="712">
        <f t="shared" ref="CB45:CC52" si="145">+BS45+BX45</f>
        <v>80000</v>
      </c>
      <c r="CC45" s="712">
        <f t="shared" si="145"/>
        <v>80000</v>
      </c>
      <c r="CD45" s="712">
        <f t="shared" ref="CD45:CD52" si="146">+CB45-CC45</f>
        <v>0</v>
      </c>
      <c r="CE45" s="901">
        <f>IF(ISERROR(VLOOKUP($B45,'MRI Data'!$A:$P,CG$10+3,FALSE)),0,VLOOKUP($B45,'MRI Data'!$A:$P,CG$10+3,FALSE))</f>
        <v>10000</v>
      </c>
      <c r="CF45" s="901"/>
      <c r="CG45" s="901">
        <f>SUM(CE45:CF45)</f>
        <v>10000</v>
      </c>
      <c r="CH45" s="659">
        <v>10000</v>
      </c>
      <c r="CI45" s="712">
        <f t="shared" ref="CI45:CI52" si="147">+CG45-CH45</f>
        <v>0</v>
      </c>
      <c r="CJ45" s="659"/>
      <c r="CK45" s="712">
        <f t="shared" ref="CK45:CL52" si="148">+CB45+CG45</f>
        <v>90000</v>
      </c>
      <c r="CL45" s="712">
        <f t="shared" si="148"/>
        <v>90000</v>
      </c>
      <c r="CM45" s="712">
        <f t="shared" ref="CM45:CM52" si="149">+CK45-CL45</f>
        <v>0</v>
      </c>
      <c r="CN45" s="901">
        <f>IF(ISERROR(VLOOKUP($B45,'MRI Data'!$A:$P,CP$10+3,FALSE)),0,VLOOKUP($B45,'MRI Data'!$A:$P,CP$10+3,FALSE))</f>
        <v>10000</v>
      </c>
      <c r="CO45" s="901"/>
      <c r="CP45" s="901">
        <f>SUM(CN45:CO45)</f>
        <v>10000</v>
      </c>
      <c r="CQ45" s="659">
        <v>10000</v>
      </c>
      <c r="CR45" s="712">
        <f t="shared" ref="CR45:CR52" si="150">+CP45-CQ45</f>
        <v>0</v>
      </c>
      <c r="CS45" s="659"/>
      <c r="CT45" s="712">
        <f t="shared" ref="CT45:CU52" si="151">+CK45+CP45</f>
        <v>100000</v>
      </c>
      <c r="CU45" s="712">
        <f t="shared" si="151"/>
        <v>100000</v>
      </c>
      <c r="CV45" s="712">
        <f t="shared" ref="CV45:CV52" si="152">+CT45-CU45</f>
        <v>0</v>
      </c>
      <c r="CW45" s="901">
        <f>IF(ISERROR(VLOOKUP($B45,'MRI Data'!$A:$P,CY$10+3,FALSE)),0,VLOOKUP($B45,'MRI Data'!$A:$P,CY$10+3,FALSE))</f>
        <v>10000</v>
      </c>
      <c r="CX45" s="901"/>
      <c r="CY45" s="901">
        <f>SUM(CW45:CX45)</f>
        <v>10000</v>
      </c>
      <c r="CZ45" s="659">
        <v>10000</v>
      </c>
      <c r="DA45" s="712">
        <f t="shared" ref="DA45:DA52" si="153">+CY45-CZ45</f>
        <v>0</v>
      </c>
      <c r="DB45" s="659"/>
      <c r="DC45" s="712">
        <f t="shared" ref="DC45:DD52" si="154">+CT45+CY45</f>
        <v>110000</v>
      </c>
      <c r="DD45" s="712">
        <f t="shared" si="154"/>
        <v>110000</v>
      </c>
      <c r="DE45" s="712">
        <f t="shared" ref="DE45:DE52" si="155">+DC45-DD45</f>
        <v>0</v>
      </c>
      <c r="DF45" s="901">
        <f>IF(ISERROR(VLOOKUP($B45,'MRI Data'!$A:$P,DH$10+3,FALSE)),0,VLOOKUP($B45,'MRI Data'!$A:$P,DH$10+3,FALSE))</f>
        <v>10000</v>
      </c>
      <c r="DG45" s="901"/>
      <c r="DH45" s="901">
        <f>SUM(DF45:DG45)</f>
        <v>10000</v>
      </c>
      <c r="DI45" s="659">
        <v>10000</v>
      </c>
      <c r="DJ45" s="712">
        <f t="shared" ref="DJ45:DJ52" si="156">+DH45-DI45</f>
        <v>0</v>
      </c>
      <c r="DK45" s="659"/>
      <c r="DL45" s="712">
        <f t="shared" ref="DL45:DM52" si="157">+DC45+DH45</f>
        <v>120000</v>
      </c>
      <c r="DM45" s="712">
        <f t="shared" si="157"/>
        <v>120000</v>
      </c>
      <c r="DN45" s="712">
        <f t="shared" ref="DN45:DN52" si="158">+DL45-DM45</f>
        <v>0</v>
      </c>
      <c r="DO45" s="737"/>
      <c r="DP45" s="712"/>
      <c r="DQ45" s="734">
        <f t="shared" ref="DQ45:DQ52" si="159">+DM45</f>
        <v>120000</v>
      </c>
      <c r="DR45" s="734">
        <v>0</v>
      </c>
      <c r="DS45" s="735"/>
    </row>
    <row r="46" spans="1:123" s="665" customFormat="1" ht="14.15" customHeight="1">
      <c r="B46" s="220" t="s">
        <v>108</v>
      </c>
      <c r="C46" s="728" t="s">
        <v>109</v>
      </c>
      <c r="D46" s="866">
        <v>31564</v>
      </c>
      <c r="E46" s="866">
        <v>42521</v>
      </c>
      <c r="F46" s="730" t="s">
        <v>71</v>
      </c>
      <c r="G46" s="729" t="s">
        <v>110</v>
      </c>
      <c r="H46" s="731">
        <v>28734</v>
      </c>
      <c r="I46" s="732">
        <f t="shared" si="122"/>
        <v>57468</v>
      </c>
      <c r="J46" s="656"/>
      <c r="K46" s="901">
        <f>IF(ISERROR(VLOOKUP($B46,'MRI Data'!$A:$P,M$10+3,FALSE)),0,VLOOKUP($B46,'MRI Data'!$A:$P,M$10+3,FALSE))</f>
        <v>57468</v>
      </c>
      <c r="L46" s="901"/>
      <c r="M46" s="901">
        <f>SUM(K46:L46)</f>
        <v>57468</v>
      </c>
      <c r="N46" s="659">
        <v>57468</v>
      </c>
      <c r="O46" s="712">
        <f t="shared" si="123"/>
        <v>0</v>
      </c>
      <c r="P46" s="656"/>
      <c r="Q46" s="659">
        <f t="shared" si="124"/>
        <v>57468</v>
      </c>
      <c r="R46" s="659">
        <f t="shared" si="124"/>
        <v>57468</v>
      </c>
      <c r="S46" s="712">
        <f t="shared" si="125"/>
        <v>0</v>
      </c>
      <c r="T46" s="901">
        <f>IF(ISERROR(VLOOKUP($B46,'MRI Data'!$A:$P,V$10+3,FALSE)),0,VLOOKUP($B46,'MRI Data'!$A:$P,V$10+3,FALSE))</f>
        <v>57468</v>
      </c>
      <c r="U46" s="901"/>
      <c r="V46" s="901">
        <f>SUM(T46:U46)</f>
        <v>57468</v>
      </c>
      <c r="W46" s="659">
        <v>57468</v>
      </c>
      <c r="X46" s="712">
        <f t="shared" si="126"/>
        <v>0</v>
      </c>
      <c r="Y46" s="659"/>
      <c r="Z46" s="712">
        <f t="shared" si="127"/>
        <v>114936</v>
      </c>
      <c r="AA46" s="712">
        <f t="shared" si="127"/>
        <v>114936</v>
      </c>
      <c r="AB46" s="712">
        <f t="shared" si="128"/>
        <v>0</v>
      </c>
      <c r="AC46" s="901">
        <f>IF(ISERROR(VLOOKUP($B46,'MRI Data'!$A:$P,AE$10+3,FALSE)),0,VLOOKUP($B46,'MRI Data'!$A:$P,AE$10+3,FALSE))</f>
        <v>57468</v>
      </c>
      <c r="AD46" s="901"/>
      <c r="AE46" s="901">
        <f>SUM(AC46:AD46)</f>
        <v>57468</v>
      </c>
      <c r="AF46" s="659">
        <v>57468</v>
      </c>
      <c r="AG46" s="712">
        <f t="shared" si="129"/>
        <v>0</v>
      </c>
      <c r="AH46" s="659"/>
      <c r="AI46" s="712">
        <f t="shared" si="130"/>
        <v>172404</v>
      </c>
      <c r="AJ46" s="712">
        <f t="shared" si="130"/>
        <v>172404</v>
      </c>
      <c r="AK46" s="712">
        <f t="shared" si="131"/>
        <v>0</v>
      </c>
      <c r="AL46" s="901">
        <f>IF(ISERROR(VLOOKUP($B46,'MRI Data'!$A:$P,AN$10+3,FALSE)),0,VLOOKUP($B46,'MRI Data'!$A:$P,AN$10+3,FALSE))</f>
        <v>57468</v>
      </c>
      <c r="AM46" s="901"/>
      <c r="AN46" s="901">
        <f>SUM(AL46:AM46)</f>
        <v>57468</v>
      </c>
      <c r="AO46" s="659">
        <v>57468</v>
      </c>
      <c r="AP46" s="712">
        <f t="shared" si="132"/>
        <v>0</v>
      </c>
      <c r="AQ46" s="659"/>
      <c r="AR46" s="712">
        <f t="shared" si="133"/>
        <v>229872</v>
      </c>
      <c r="AS46" s="712">
        <f t="shared" si="133"/>
        <v>229872</v>
      </c>
      <c r="AT46" s="712">
        <f t="shared" si="134"/>
        <v>0</v>
      </c>
      <c r="AU46" s="901">
        <f>IF(ISERROR(VLOOKUP($B46,'MRI Data'!$A:$P,AW$10+3,FALSE)),0,VLOOKUP($B46,'MRI Data'!$A:$P,AW$10+3,FALSE))</f>
        <v>57468</v>
      </c>
      <c r="AV46" s="901"/>
      <c r="AW46" s="901">
        <f>SUM(AU46:AV46)</f>
        <v>57468</v>
      </c>
      <c r="AX46" s="659">
        <v>57468</v>
      </c>
      <c r="AY46" s="712">
        <f t="shared" si="135"/>
        <v>0</v>
      </c>
      <c r="AZ46" s="659"/>
      <c r="BA46" s="712">
        <f t="shared" si="136"/>
        <v>287340</v>
      </c>
      <c r="BB46" s="712">
        <f t="shared" si="136"/>
        <v>287340</v>
      </c>
      <c r="BC46" s="712">
        <f t="shared" si="137"/>
        <v>0</v>
      </c>
      <c r="BD46" s="901">
        <f>IF(ISERROR(VLOOKUP($B46,'MRI Data'!$A:$P,BF$10+3,FALSE)),0,VLOOKUP($B46,'MRI Data'!$A:$P,BF$10+3,FALSE))</f>
        <v>57468</v>
      </c>
      <c r="BE46" s="901"/>
      <c r="BF46" s="901">
        <f>SUM(BD46:BE46)</f>
        <v>57468</v>
      </c>
      <c r="BG46" s="659">
        <v>57468</v>
      </c>
      <c r="BH46" s="712">
        <f t="shared" si="138"/>
        <v>0</v>
      </c>
      <c r="BI46" s="659"/>
      <c r="BJ46" s="712">
        <f t="shared" si="139"/>
        <v>344808</v>
      </c>
      <c r="BK46" s="712">
        <f t="shared" si="139"/>
        <v>344808</v>
      </c>
      <c r="BL46" s="712">
        <f t="shared" si="140"/>
        <v>0</v>
      </c>
      <c r="BM46" s="901">
        <f>IF(ISERROR(VLOOKUP($B46,'MRI Data'!$A:$P,BO$10+3,FALSE)),0,VLOOKUP($B46,'MRI Data'!$A:$P,BO$10+3,FALSE))</f>
        <v>57468</v>
      </c>
      <c r="BN46" s="901"/>
      <c r="BO46" s="901">
        <f>SUM(BM46:BN46)</f>
        <v>57468</v>
      </c>
      <c r="BP46" s="659">
        <v>57468</v>
      </c>
      <c r="BQ46" s="712">
        <f t="shared" si="141"/>
        <v>0</v>
      </c>
      <c r="BR46" s="659"/>
      <c r="BS46" s="712">
        <f t="shared" si="142"/>
        <v>402276</v>
      </c>
      <c r="BT46" s="712">
        <f t="shared" si="142"/>
        <v>402276</v>
      </c>
      <c r="BU46" s="712">
        <f t="shared" si="143"/>
        <v>0</v>
      </c>
      <c r="BV46" s="901">
        <f>IF(ISERROR(VLOOKUP($B46,'MRI Data'!$A:$P,BX$10+3,FALSE)),0,VLOOKUP($B46,'MRI Data'!$A:$P,BX$10+3,FALSE))</f>
        <v>57468</v>
      </c>
      <c r="BW46" s="901"/>
      <c r="BX46" s="901">
        <f>SUM(BV46:BW46)</f>
        <v>57468</v>
      </c>
      <c r="BY46" s="659">
        <v>57468</v>
      </c>
      <c r="BZ46" s="712">
        <f t="shared" si="144"/>
        <v>0</v>
      </c>
      <c r="CA46" s="659"/>
      <c r="CB46" s="712">
        <f t="shared" si="145"/>
        <v>459744</v>
      </c>
      <c r="CC46" s="712">
        <f t="shared" si="145"/>
        <v>459744</v>
      </c>
      <c r="CD46" s="712">
        <f t="shared" si="146"/>
        <v>0</v>
      </c>
      <c r="CE46" s="901">
        <f>IF(ISERROR(VLOOKUP($B46,'MRI Data'!$A:$P,CG$10+3,FALSE)),0,VLOOKUP($B46,'MRI Data'!$A:$P,CG$10+3,FALSE))</f>
        <v>57468</v>
      </c>
      <c r="CF46" s="901"/>
      <c r="CG46" s="901">
        <f>SUM(CE46:CF46)</f>
        <v>57468</v>
      </c>
      <c r="CH46" s="659">
        <v>57468</v>
      </c>
      <c r="CI46" s="712">
        <f t="shared" si="147"/>
        <v>0</v>
      </c>
      <c r="CJ46" s="659"/>
      <c r="CK46" s="712">
        <f t="shared" si="148"/>
        <v>517212</v>
      </c>
      <c r="CL46" s="712">
        <f t="shared" si="148"/>
        <v>517212</v>
      </c>
      <c r="CM46" s="712">
        <f t="shared" si="149"/>
        <v>0</v>
      </c>
      <c r="CN46" s="901">
        <f>IF(ISERROR(VLOOKUP($B46,'MRI Data'!$A:$P,CP$10+3,FALSE)),0,VLOOKUP($B46,'MRI Data'!$A:$P,CP$10+3,FALSE))</f>
        <v>57468</v>
      </c>
      <c r="CO46" s="901"/>
      <c r="CP46" s="901">
        <f>SUM(CN46:CO46)</f>
        <v>57468</v>
      </c>
      <c r="CQ46" s="659">
        <v>57468</v>
      </c>
      <c r="CR46" s="712">
        <f t="shared" si="150"/>
        <v>0</v>
      </c>
      <c r="CS46" s="659"/>
      <c r="CT46" s="712">
        <f t="shared" si="151"/>
        <v>574680</v>
      </c>
      <c r="CU46" s="712">
        <f t="shared" si="151"/>
        <v>574680</v>
      </c>
      <c r="CV46" s="712">
        <f t="shared" si="152"/>
        <v>0</v>
      </c>
      <c r="CW46" s="901">
        <f>IF(ISERROR(VLOOKUP($B46,'MRI Data'!$A:$P,CY$10+3,FALSE)),0,VLOOKUP($B46,'MRI Data'!$A:$P,CY$10+3,FALSE))</f>
        <v>57468</v>
      </c>
      <c r="CX46" s="901"/>
      <c r="CY46" s="901">
        <f>SUM(CW46:CX46)</f>
        <v>57468</v>
      </c>
      <c r="CZ46" s="659">
        <v>57468</v>
      </c>
      <c r="DA46" s="712">
        <f t="shared" si="153"/>
        <v>0</v>
      </c>
      <c r="DB46" s="659"/>
      <c r="DC46" s="712">
        <f t="shared" si="154"/>
        <v>632148</v>
      </c>
      <c r="DD46" s="712">
        <f t="shared" si="154"/>
        <v>632148</v>
      </c>
      <c r="DE46" s="712">
        <f t="shared" si="155"/>
        <v>0</v>
      </c>
      <c r="DF46" s="901">
        <f>IF(ISERROR(VLOOKUP($B46,'MRI Data'!$A:$P,DH$10+3,FALSE)),0,VLOOKUP($B46,'MRI Data'!$A:$P,DH$10+3,FALSE))</f>
        <v>57468</v>
      </c>
      <c r="DG46" s="901"/>
      <c r="DH46" s="901">
        <f>SUM(DF46:DG46)</f>
        <v>57468</v>
      </c>
      <c r="DI46" s="659">
        <v>57468</v>
      </c>
      <c r="DJ46" s="712">
        <f t="shared" si="156"/>
        <v>0</v>
      </c>
      <c r="DK46" s="659"/>
      <c r="DL46" s="712">
        <f t="shared" si="157"/>
        <v>689616</v>
      </c>
      <c r="DM46" s="712">
        <f t="shared" si="157"/>
        <v>689616</v>
      </c>
      <c r="DN46" s="712">
        <f t="shared" si="158"/>
        <v>0</v>
      </c>
      <c r="DO46" s="737"/>
      <c r="DP46" s="712"/>
      <c r="DQ46" s="734">
        <f t="shared" si="159"/>
        <v>689616</v>
      </c>
      <c r="DR46" s="734">
        <v>0</v>
      </c>
      <c r="DS46" s="735"/>
    </row>
    <row r="47" spans="1:123" s="665" customFormat="1" ht="27" customHeight="1">
      <c r="B47" s="220" t="s">
        <v>111</v>
      </c>
      <c r="C47" s="728" t="s">
        <v>112</v>
      </c>
      <c r="D47" s="866">
        <v>35324</v>
      </c>
      <c r="E47" s="866">
        <v>45716</v>
      </c>
      <c r="F47" s="730" t="s">
        <v>71</v>
      </c>
      <c r="G47" s="729" t="s">
        <v>113</v>
      </c>
      <c r="H47" s="731">
        <v>8986</v>
      </c>
      <c r="I47" s="732">
        <f t="shared" si="122"/>
        <v>56797.27</v>
      </c>
      <c r="J47" s="656"/>
      <c r="K47" s="901">
        <f>IF(ISERROR(VLOOKUP($B47,'MRI Data'!$A:$P,M$10+3,FALSE)),0,VLOOKUP($B47,'MRI Data'!$A:$P,M$10+3,FALSE))</f>
        <v>14699.95</v>
      </c>
      <c r="L47" s="901"/>
      <c r="M47" s="901">
        <f>SUM(K47:L47)</f>
        <v>14699.95</v>
      </c>
      <c r="N47" s="659">
        <v>14700</v>
      </c>
      <c r="O47" s="712">
        <f t="shared" si="123"/>
        <v>-4.9999999999272404E-2</v>
      </c>
      <c r="P47" s="656"/>
      <c r="Q47" s="659">
        <f t="shared" si="124"/>
        <v>14699.95</v>
      </c>
      <c r="R47" s="659">
        <f t="shared" si="124"/>
        <v>14700</v>
      </c>
      <c r="S47" s="712">
        <f t="shared" si="125"/>
        <v>-4.9999999999272404E-2</v>
      </c>
      <c r="T47" s="901">
        <f>IF(ISERROR(VLOOKUP($B47,'MRI Data'!$A:$P,V$10+3,FALSE)),0,VLOOKUP($B47,'MRI Data'!$A:$P,V$10+3,FALSE))</f>
        <v>14699.95</v>
      </c>
      <c r="U47" s="901"/>
      <c r="V47" s="901">
        <f>SUM(T47:U47)</f>
        <v>14699.95</v>
      </c>
      <c r="W47" s="659">
        <v>14700</v>
      </c>
      <c r="X47" s="712">
        <f t="shared" si="126"/>
        <v>-4.9999999999272404E-2</v>
      </c>
      <c r="Y47" s="659"/>
      <c r="Z47" s="712">
        <f t="shared" si="127"/>
        <v>29399.9</v>
      </c>
      <c r="AA47" s="712">
        <f t="shared" si="127"/>
        <v>29400</v>
      </c>
      <c r="AB47" s="712">
        <f t="shared" si="128"/>
        <v>-9.9999999998544808E-2</v>
      </c>
      <c r="AC47" s="901">
        <f>IF(ISERROR(VLOOKUP($B47,'MRI Data'!$A:$P,AE$10+3,FALSE)),0,VLOOKUP($B47,'MRI Data'!$A:$P,AE$10+3,FALSE))</f>
        <v>14699.95</v>
      </c>
      <c r="AD47" s="901"/>
      <c r="AE47" s="901">
        <f>SUM(AC47:AD47)</f>
        <v>14699.95</v>
      </c>
      <c r="AF47" s="659">
        <v>14700</v>
      </c>
      <c r="AG47" s="712">
        <f t="shared" si="129"/>
        <v>-4.9999999999272404E-2</v>
      </c>
      <c r="AH47" s="659"/>
      <c r="AI47" s="712">
        <f t="shared" si="130"/>
        <v>44099.850000000006</v>
      </c>
      <c r="AJ47" s="712">
        <f t="shared" si="130"/>
        <v>44100</v>
      </c>
      <c r="AK47" s="712">
        <f t="shared" si="131"/>
        <v>-0.14999999999417923</v>
      </c>
      <c r="AL47" s="901">
        <f>IF(ISERROR(VLOOKUP($B47,'MRI Data'!$A:$P,AN$10+3,FALSE)),0,VLOOKUP($B47,'MRI Data'!$A:$P,AN$10+3,FALSE))</f>
        <v>14699.95</v>
      </c>
      <c r="AM47" s="901"/>
      <c r="AN47" s="901">
        <f>SUM(AL47:AM47)</f>
        <v>14699.95</v>
      </c>
      <c r="AO47" s="659">
        <v>14700</v>
      </c>
      <c r="AP47" s="712">
        <f t="shared" si="132"/>
        <v>-4.9999999999272404E-2</v>
      </c>
      <c r="AQ47" s="659"/>
      <c r="AR47" s="712">
        <f t="shared" si="133"/>
        <v>58799.8</v>
      </c>
      <c r="AS47" s="712">
        <f t="shared" si="133"/>
        <v>58800</v>
      </c>
      <c r="AT47" s="712">
        <f t="shared" si="134"/>
        <v>-0.19999999999708962</v>
      </c>
      <c r="AU47" s="901">
        <f>IF(ISERROR(VLOOKUP($B47,'MRI Data'!$A:$P,AW$10+3,FALSE)),0,VLOOKUP($B47,'MRI Data'!$A:$P,AW$10+3,FALSE))</f>
        <v>14699.95</v>
      </c>
      <c r="AV47" s="901"/>
      <c r="AW47" s="901">
        <f>SUM(AU47:AV47)</f>
        <v>14699.95</v>
      </c>
      <c r="AX47" s="659">
        <v>14700</v>
      </c>
      <c r="AY47" s="712">
        <f t="shared" si="135"/>
        <v>-4.9999999999272404E-2</v>
      </c>
      <c r="AZ47" s="659"/>
      <c r="BA47" s="712">
        <f t="shared" si="136"/>
        <v>73499.75</v>
      </c>
      <c r="BB47" s="712">
        <f t="shared" si="136"/>
        <v>73500</v>
      </c>
      <c r="BC47" s="712">
        <f t="shared" si="137"/>
        <v>-0.25</v>
      </c>
      <c r="BD47" s="901">
        <f>IF(ISERROR(VLOOKUP($B47,'MRI Data'!$A:$P,BF$10+3,FALSE)),0,VLOOKUP($B47,'MRI Data'!$A:$P,BF$10+3,FALSE))</f>
        <v>14699.95</v>
      </c>
      <c r="BE47" s="901"/>
      <c r="BF47" s="901">
        <f>SUM(BD47:BE47)</f>
        <v>14699.95</v>
      </c>
      <c r="BG47" s="659">
        <v>14700</v>
      </c>
      <c r="BH47" s="712">
        <f t="shared" si="138"/>
        <v>-4.9999999999272404E-2</v>
      </c>
      <c r="BI47" s="659"/>
      <c r="BJ47" s="712">
        <f t="shared" si="139"/>
        <v>88199.7</v>
      </c>
      <c r="BK47" s="712">
        <f t="shared" si="139"/>
        <v>88200</v>
      </c>
      <c r="BL47" s="712">
        <f t="shared" si="140"/>
        <v>-0.30000000000291038</v>
      </c>
      <c r="BM47" s="901">
        <f>IF(ISERROR(VLOOKUP($B47,'MRI Data'!$A:$P,BO$10+3,FALSE)),0,VLOOKUP($B47,'MRI Data'!$A:$P,BO$10+3,FALSE))</f>
        <v>14699.95</v>
      </c>
      <c r="BN47" s="901"/>
      <c r="BO47" s="901">
        <f>SUM(BM47:BN47)</f>
        <v>14699.95</v>
      </c>
      <c r="BP47" s="659">
        <v>14700</v>
      </c>
      <c r="BQ47" s="712">
        <f t="shared" si="141"/>
        <v>-4.9999999999272404E-2</v>
      </c>
      <c r="BR47" s="659"/>
      <c r="BS47" s="712">
        <f t="shared" si="142"/>
        <v>102899.65</v>
      </c>
      <c r="BT47" s="712">
        <f t="shared" si="142"/>
        <v>102900</v>
      </c>
      <c r="BU47" s="712">
        <f t="shared" si="143"/>
        <v>-0.35000000000582077</v>
      </c>
      <c r="BV47" s="901">
        <f>IF(ISERROR(VLOOKUP($B47,'MRI Data'!$A:$P,BX$10+3,FALSE)),0,VLOOKUP($B47,'MRI Data'!$A:$P,BX$10+3,FALSE))</f>
        <v>14699.95</v>
      </c>
      <c r="BW47" s="901"/>
      <c r="BX47" s="901">
        <f>SUM(BV47:BW47)</f>
        <v>14699.95</v>
      </c>
      <c r="BY47" s="659">
        <v>14700</v>
      </c>
      <c r="BZ47" s="712">
        <f t="shared" si="144"/>
        <v>-4.9999999999272404E-2</v>
      </c>
      <c r="CA47" s="659"/>
      <c r="CB47" s="712">
        <f t="shared" si="145"/>
        <v>117599.59999999999</v>
      </c>
      <c r="CC47" s="712">
        <f t="shared" si="145"/>
        <v>117600</v>
      </c>
      <c r="CD47" s="712">
        <f t="shared" si="146"/>
        <v>-0.40000000000873115</v>
      </c>
      <c r="CE47" s="901">
        <f>IF(ISERROR(VLOOKUP($B47,'MRI Data'!$A:$P,CG$10+3,FALSE)),0,VLOOKUP($B47,'MRI Data'!$A:$P,CG$10+3,FALSE))</f>
        <v>14699.95</v>
      </c>
      <c r="CF47" s="901"/>
      <c r="CG47" s="901">
        <f>SUM(CE47:CF47)</f>
        <v>14699.95</v>
      </c>
      <c r="CH47" s="659">
        <v>14700</v>
      </c>
      <c r="CI47" s="712">
        <f t="shared" si="147"/>
        <v>-4.9999999999272404E-2</v>
      </c>
      <c r="CJ47" s="659"/>
      <c r="CK47" s="712">
        <f t="shared" si="148"/>
        <v>132299.54999999999</v>
      </c>
      <c r="CL47" s="712">
        <f t="shared" si="148"/>
        <v>132300</v>
      </c>
      <c r="CM47" s="712">
        <f t="shared" si="149"/>
        <v>-0.45000000001164153</v>
      </c>
      <c r="CN47" s="901">
        <f>IF(ISERROR(VLOOKUP($B47,'MRI Data'!$A:$P,CP$10+3,FALSE)),0,VLOOKUP($B47,'MRI Data'!$A:$P,CP$10+3,FALSE))</f>
        <v>14699.95</v>
      </c>
      <c r="CO47" s="901"/>
      <c r="CP47" s="901">
        <f>SUM(CN47:CO47)</f>
        <v>14699.95</v>
      </c>
      <c r="CQ47" s="659">
        <v>14700</v>
      </c>
      <c r="CR47" s="712">
        <f t="shared" si="150"/>
        <v>-4.9999999999272404E-2</v>
      </c>
      <c r="CS47" s="659"/>
      <c r="CT47" s="712">
        <f t="shared" si="151"/>
        <v>146999.5</v>
      </c>
      <c r="CU47" s="712">
        <f t="shared" si="151"/>
        <v>147000</v>
      </c>
      <c r="CV47" s="712">
        <f t="shared" si="152"/>
        <v>-0.5</v>
      </c>
      <c r="CW47" s="901">
        <f>IF(ISERROR(VLOOKUP($B47,'MRI Data'!$A:$P,CY$10+3,FALSE)),0,VLOOKUP($B47,'MRI Data'!$A:$P,CY$10+3,FALSE))</f>
        <v>14699.95</v>
      </c>
      <c r="CX47" s="901"/>
      <c r="CY47" s="901">
        <f>SUM(CW47:CX47)</f>
        <v>14699.95</v>
      </c>
      <c r="CZ47" s="659">
        <v>14700</v>
      </c>
      <c r="DA47" s="712">
        <f t="shared" si="153"/>
        <v>-4.9999999999272404E-2</v>
      </c>
      <c r="DB47" s="659"/>
      <c r="DC47" s="712">
        <f t="shared" si="154"/>
        <v>161699.45000000001</v>
      </c>
      <c r="DD47" s="712">
        <f t="shared" si="154"/>
        <v>161700</v>
      </c>
      <c r="DE47" s="712">
        <f t="shared" si="155"/>
        <v>-0.54999999998835847</v>
      </c>
      <c r="DF47" s="901">
        <f>IF(ISERROR(VLOOKUP($B47,'MRI Data'!$A:$P,DH$10+3,FALSE)),0,VLOOKUP($B47,'MRI Data'!$A:$P,DH$10+3,FALSE))</f>
        <v>56797.27</v>
      </c>
      <c r="DG47" s="901"/>
      <c r="DH47" s="901">
        <f>SUM(DF47:DG47)</f>
        <v>56797.27</v>
      </c>
      <c r="DI47" s="659">
        <v>14700</v>
      </c>
      <c r="DJ47" s="712">
        <f t="shared" si="156"/>
        <v>42097.27</v>
      </c>
      <c r="DK47" s="659"/>
      <c r="DL47" s="712">
        <f t="shared" si="157"/>
        <v>218496.72</v>
      </c>
      <c r="DM47" s="712">
        <f t="shared" si="157"/>
        <v>176400</v>
      </c>
      <c r="DN47" s="712">
        <f t="shared" si="158"/>
        <v>42096.72</v>
      </c>
      <c r="DO47" s="742" t="s">
        <v>114</v>
      </c>
      <c r="DP47" s="712"/>
      <c r="DQ47" s="734">
        <f t="shared" si="159"/>
        <v>176400</v>
      </c>
      <c r="DR47" s="734">
        <v>42097</v>
      </c>
      <c r="DS47" s="742" t="s">
        <v>114</v>
      </c>
    </row>
    <row r="48" spans="1:123" s="665" customFormat="1" ht="14.15" customHeight="1">
      <c r="B48" s="220" t="s">
        <v>115</v>
      </c>
      <c r="C48" s="728" t="s">
        <v>116</v>
      </c>
      <c r="D48" s="866">
        <v>33055</v>
      </c>
      <c r="E48" s="866">
        <v>42185</v>
      </c>
      <c r="F48" s="730" t="s">
        <v>71</v>
      </c>
      <c r="G48" s="729" t="s">
        <v>117</v>
      </c>
      <c r="H48" s="731">
        <v>5377</v>
      </c>
      <c r="I48" s="732">
        <f t="shared" si="122"/>
        <v>26208.39</v>
      </c>
      <c r="J48" s="656"/>
      <c r="K48" s="901">
        <f>IF(ISERROR(VLOOKUP($B48,'MRI Data'!$A:$P,M$10+3,FALSE)),0,VLOOKUP($B48,'MRI Data'!$A:$P,M$10+3,FALSE))</f>
        <v>26208.39</v>
      </c>
      <c r="L48" s="901"/>
      <c r="M48" s="901">
        <f>SUM(K48:L48)</f>
        <v>26208.39</v>
      </c>
      <c r="N48" s="659">
        <v>26209</v>
      </c>
      <c r="O48" s="712">
        <f t="shared" si="123"/>
        <v>-0.61000000000058208</v>
      </c>
      <c r="P48" s="656"/>
      <c r="Q48" s="659">
        <f t="shared" si="124"/>
        <v>26208.39</v>
      </c>
      <c r="R48" s="659">
        <f t="shared" si="124"/>
        <v>26209</v>
      </c>
      <c r="S48" s="712">
        <f t="shared" si="125"/>
        <v>-0.61000000000058208</v>
      </c>
      <c r="T48" s="901">
        <f>IF(ISERROR(VLOOKUP($B48,'MRI Data'!$A:$P,V$10+3,FALSE)),0,VLOOKUP($B48,'MRI Data'!$A:$P,V$10+3,FALSE))</f>
        <v>26208.39</v>
      </c>
      <c r="U48" s="901"/>
      <c r="V48" s="901">
        <f>SUM(T48:U48)</f>
        <v>26208.39</v>
      </c>
      <c r="W48" s="659">
        <v>26209</v>
      </c>
      <c r="X48" s="712">
        <f t="shared" si="126"/>
        <v>-0.61000000000058208</v>
      </c>
      <c r="Y48" s="659"/>
      <c r="Z48" s="712">
        <f t="shared" si="127"/>
        <v>52416.78</v>
      </c>
      <c r="AA48" s="712">
        <f t="shared" si="127"/>
        <v>52418</v>
      </c>
      <c r="AB48" s="712">
        <f t="shared" si="128"/>
        <v>-1.2200000000011642</v>
      </c>
      <c r="AC48" s="901">
        <f>IF(ISERROR(VLOOKUP($B48,'MRI Data'!$A:$P,AE$10+3,FALSE)),0,VLOOKUP($B48,'MRI Data'!$A:$P,AE$10+3,FALSE))</f>
        <v>26208.39</v>
      </c>
      <c r="AD48" s="901"/>
      <c r="AE48" s="901">
        <f>SUM(AC48:AD48)</f>
        <v>26208.39</v>
      </c>
      <c r="AF48" s="659">
        <v>26209</v>
      </c>
      <c r="AG48" s="712">
        <f t="shared" si="129"/>
        <v>-0.61000000000058208</v>
      </c>
      <c r="AH48" s="659"/>
      <c r="AI48" s="712">
        <f t="shared" si="130"/>
        <v>78625.17</v>
      </c>
      <c r="AJ48" s="712">
        <f t="shared" si="130"/>
        <v>78627</v>
      </c>
      <c r="AK48" s="712">
        <f t="shared" si="131"/>
        <v>-1.8300000000017462</v>
      </c>
      <c r="AL48" s="901">
        <f>IF(ISERROR(VLOOKUP($B48,'MRI Data'!$A:$P,AN$10+3,FALSE)),0,VLOOKUP($B48,'MRI Data'!$A:$P,AN$10+3,FALSE))</f>
        <v>26208.39</v>
      </c>
      <c r="AM48" s="901"/>
      <c r="AN48" s="901">
        <f>SUM(AL48:AM48)</f>
        <v>26208.39</v>
      </c>
      <c r="AO48" s="659">
        <v>26209</v>
      </c>
      <c r="AP48" s="712">
        <f t="shared" si="132"/>
        <v>-0.61000000000058208</v>
      </c>
      <c r="AQ48" s="659"/>
      <c r="AR48" s="712">
        <f t="shared" si="133"/>
        <v>104833.56</v>
      </c>
      <c r="AS48" s="712">
        <f t="shared" si="133"/>
        <v>104836</v>
      </c>
      <c r="AT48" s="712">
        <f t="shared" si="134"/>
        <v>-2.4400000000023283</v>
      </c>
      <c r="AU48" s="901">
        <f>IF(ISERROR(VLOOKUP($B48,'MRI Data'!$A:$P,AW$10+3,FALSE)),0,VLOOKUP($B48,'MRI Data'!$A:$P,AW$10+3,FALSE))</f>
        <v>26208.39</v>
      </c>
      <c r="AV48" s="901"/>
      <c r="AW48" s="901">
        <f>SUM(AU48:AV48)</f>
        <v>26208.39</v>
      </c>
      <c r="AX48" s="659">
        <v>26209</v>
      </c>
      <c r="AY48" s="712">
        <f t="shared" si="135"/>
        <v>-0.61000000000058208</v>
      </c>
      <c r="AZ48" s="659"/>
      <c r="BA48" s="712">
        <f t="shared" si="136"/>
        <v>131041.95</v>
      </c>
      <c r="BB48" s="712">
        <f t="shared" si="136"/>
        <v>131045</v>
      </c>
      <c r="BC48" s="712">
        <f t="shared" si="137"/>
        <v>-3.0500000000029104</v>
      </c>
      <c r="BD48" s="901">
        <f>IF(ISERROR(VLOOKUP($B48,'MRI Data'!$A:$P,BF$10+3,FALSE)),0,VLOOKUP($B48,'MRI Data'!$A:$P,BF$10+3,FALSE))</f>
        <v>26208.39</v>
      </c>
      <c r="BE48" s="901"/>
      <c r="BF48" s="901">
        <f>SUM(BD48:BE48)</f>
        <v>26208.39</v>
      </c>
      <c r="BG48" s="659">
        <v>26209</v>
      </c>
      <c r="BH48" s="712">
        <f t="shared" si="138"/>
        <v>-0.61000000000058208</v>
      </c>
      <c r="BI48" s="659"/>
      <c r="BJ48" s="712">
        <f t="shared" si="139"/>
        <v>157250.34</v>
      </c>
      <c r="BK48" s="712">
        <f t="shared" si="139"/>
        <v>157254</v>
      </c>
      <c r="BL48" s="712">
        <f t="shared" si="140"/>
        <v>-3.6600000000034925</v>
      </c>
      <c r="BM48" s="901">
        <f>IF(ISERROR(VLOOKUP($B48,'MRI Data'!$A:$P,BO$10+3,FALSE)),0,VLOOKUP($B48,'MRI Data'!$A:$P,BO$10+3,FALSE))</f>
        <v>26208.39</v>
      </c>
      <c r="BN48" s="901"/>
      <c r="BO48" s="901">
        <f>SUM(BM48:BN48)</f>
        <v>26208.39</v>
      </c>
      <c r="BP48" s="659">
        <v>26209</v>
      </c>
      <c r="BQ48" s="712">
        <f t="shared" si="141"/>
        <v>-0.61000000000058208</v>
      </c>
      <c r="BR48" s="659"/>
      <c r="BS48" s="712">
        <f t="shared" si="142"/>
        <v>183458.72999999998</v>
      </c>
      <c r="BT48" s="712">
        <f t="shared" si="142"/>
        <v>183463</v>
      </c>
      <c r="BU48" s="712">
        <f t="shared" si="143"/>
        <v>-4.2700000000186265</v>
      </c>
      <c r="BV48" s="901">
        <f>IF(ISERROR(VLOOKUP($B48,'MRI Data'!$A:$P,BX$10+3,FALSE)),0,VLOOKUP($B48,'MRI Data'!$A:$P,BX$10+3,FALSE))</f>
        <v>26208.39</v>
      </c>
      <c r="BW48" s="901"/>
      <c r="BX48" s="901">
        <f>SUM(BV48:BW48)</f>
        <v>26208.39</v>
      </c>
      <c r="BY48" s="659">
        <v>26209</v>
      </c>
      <c r="BZ48" s="712">
        <f t="shared" si="144"/>
        <v>-0.61000000000058208</v>
      </c>
      <c r="CA48" s="659"/>
      <c r="CB48" s="712">
        <f t="shared" si="145"/>
        <v>209667.12</v>
      </c>
      <c r="CC48" s="712">
        <f t="shared" si="145"/>
        <v>209672</v>
      </c>
      <c r="CD48" s="712">
        <f t="shared" si="146"/>
        <v>-4.8800000000046566</v>
      </c>
      <c r="CE48" s="901">
        <f>IF(ISERROR(VLOOKUP($B48,'MRI Data'!$A:$P,CG$10+3,FALSE)),0,VLOOKUP($B48,'MRI Data'!$A:$P,CG$10+3,FALSE))</f>
        <v>26208.39</v>
      </c>
      <c r="CF48" s="901"/>
      <c r="CG48" s="901">
        <f>SUM(CE48:CF48)</f>
        <v>26208.39</v>
      </c>
      <c r="CH48" s="659">
        <v>26209</v>
      </c>
      <c r="CI48" s="712">
        <f t="shared" si="147"/>
        <v>-0.61000000000058208</v>
      </c>
      <c r="CJ48" s="659"/>
      <c r="CK48" s="712">
        <f t="shared" si="148"/>
        <v>235875.51</v>
      </c>
      <c r="CL48" s="712">
        <f t="shared" si="148"/>
        <v>235881</v>
      </c>
      <c r="CM48" s="712">
        <f t="shared" si="149"/>
        <v>-5.4899999999906868</v>
      </c>
      <c r="CN48" s="901">
        <f>IF(ISERROR(VLOOKUP($B48,'MRI Data'!$A:$P,CP$10+3,FALSE)),0,VLOOKUP($B48,'MRI Data'!$A:$P,CP$10+3,FALSE))</f>
        <v>26208.39</v>
      </c>
      <c r="CO48" s="901"/>
      <c r="CP48" s="901">
        <f>SUM(CN48:CO48)</f>
        <v>26208.39</v>
      </c>
      <c r="CQ48" s="659">
        <v>26209</v>
      </c>
      <c r="CR48" s="712">
        <f t="shared" si="150"/>
        <v>-0.61000000000058208</v>
      </c>
      <c r="CS48" s="659"/>
      <c r="CT48" s="712">
        <f t="shared" si="151"/>
        <v>262083.90000000002</v>
      </c>
      <c r="CU48" s="712">
        <f t="shared" si="151"/>
        <v>262090</v>
      </c>
      <c r="CV48" s="712">
        <f t="shared" si="152"/>
        <v>-6.0999999999767169</v>
      </c>
      <c r="CW48" s="901">
        <f>IF(ISERROR(VLOOKUP($B48,'MRI Data'!$A:$P,CY$10+3,FALSE)),0,VLOOKUP($B48,'MRI Data'!$A:$P,CY$10+3,FALSE))</f>
        <v>26208.39</v>
      </c>
      <c r="CX48" s="901"/>
      <c r="CY48" s="901">
        <f>SUM(CW48:CX48)</f>
        <v>26208.39</v>
      </c>
      <c r="CZ48" s="659">
        <v>26209</v>
      </c>
      <c r="DA48" s="712">
        <f t="shared" si="153"/>
        <v>-0.61000000000058208</v>
      </c>
      <c r="DB48" s="659"/>
      <c r="DC48" s="712">
        <f t="shared" si="154"/>
        <v>288292.29000000004</v>
      </c>
      <c r="DD48" s="712">
        <f t="shared" si="154"/>
        <v>288299</v>
      </c>
      <c r="DE48" s="712">
        <f t="shared" si="155"/>
        <v>-6.7099999999627471</v>
      </c>
      <c r="DF48" s="901">
        <f>IF(ISERROR(VLOOKUP($B48,'MRI Data'!$A:$P,DH$10+3,FALSE)),0,VLOOKUP($B48,'MRI Data'!$A:$P,DH$10+3,FALSE))</f>
        <v>26208.39</v>
      </c>
      <c r="DG48" s="901"/>
      <c r="DH48" s="901">
        <f>SUM(DF48:DG48)</f>
        <v>26208.39</v>
      </c>
      <c r="DI48" s="659">
        <v>26209</v>
      </c>
      <c r="DJ48" s="712">
        <f t="shared" si="156"/>
        <v>-0.61000000000058208</v>
      </c>
      <c r="DK48" s="659"/>
      <c r="DL48" s="712">
        <f t="shared" si="157"/>
        <v>314500.68000000005</v>
      </c>
      <c r="DM48" s="712">
        <f t="shared" si="157"/>
        <v>314508</v>
      </c>
      <c r="DN48" s="712">
        <f t="shared" si="158"/>
        <v>-7.3199999999487773</v>
      </c>
      <c r="DO48" s="736"/>
      <c r="DP48" s="712"/>
      <c r="DQ48" s="734">
        <f t="shared" si="159"/>
        <v>314508</v>
      </c>
      <c r="DR48" s="734">
        <v>0</v>
      </c>
      <c r="DS48" s="735"/>
    </row>
    <row r="49" spans="3:123" s="665" customFormat="1" ht="14.15" hidden="1" customHeight="1">
      <c r="C49" s="728"/>
      <c r="D49" s="729"/>
      <c r="E49" s="729"/>
      <c r="F49" s="730"/>
      <c r="G49" s="729"/>
      <c r="H49" s="731"/>
      <c r="I49" s="732">
        <f t="shared" si="122"/>
        <v>0</v>
      </c>
      <c r="J49" s="656"/>
      <c r="K49" s="901"/>
      <c r="L49" s="901"/>
      <c r="M49" s="901"/>
      <c r="N49" s="659"/>
      <c r="O49" s="712">
        <f t="shared" si="123"/>
        <v>0</v>
      </c>
      <c r="P49" s="656"/>
      <c r="Q49" s="659">
        <f t="shared" si="124"/>
        <v>0</v>
      </c>
      <c r="R49" s="659">
        <f t="shared" si="124"/>
        <v>0</v>
      </c>
      <c r="S49" s="712">
        <f t="shared" si="125"/>
        <v>0</v>
      </c>
      <c r="T49" s="901"/>
      <c r="U49" s="901"/>
      <c r="V49" s="901"/>
      <c r="W49" s="659"/>
      <c r="X49" s="712">
        <f t="shared" si="126"/>
        <v>0</v>
      </c>
      <c r="Y49" s="659"/>
      <c r="Z49" s="712">
        <f t="shared" si="127"/>
        <v>0</v>
      </c>
      <c r="AA49" s="712">
        <f t="shared" si="127"/>
        <v>0</v>
      </c>
      <c r="AB49" s="712">
        <f t="shared" si="128"/>
        <v>0</v>
      </c>
      <c r="AC49" s="901"/>
      <c r="AD49" s="901"/>
      <c r="AE49" s="901"/>
      <c r="AF49" s="659"/>
      <c r="AG49" s="712">
        <f t="shared" si="129"/>
        <v>0</v>
      </c>
      <c r="AH49" s="659"/>
      <c r="AI49" s="712">
        <f t="shared" si="130"/>
        <v>0</v>
      </c>
      <c r="AJ49" s="712">
        <f t="shared" si="130"/>
        <v>0</v>
      </c>
      <c r="AK49" s="712">
        <f t="shared" si="131"/>
        <v>0</v>
      </c>
      <c r="AL49" s="901"/>
      <c r="AM49" s="901"/>
      <c r="AN49" s="901"/>
      <c r="AO49" s="659"/>
      <c r="AP49" s="712">
        <f t="shared" si="132"/>
        <v>0</v>
      </c>
      <c r="AQ49" s="659"/>
      <c r="AR49" s="712">
        <f t="shared" si="133"/>
        <v>0</v>
      </c>
      <c r="AS49" s="712">
        <f t="shared" si="133"/>
        <v>0</v>
      </c>
      <c r="AT49" s="712">
        <f t="shared" si="134"/>
        <v>0</v>
      </c>
      <c r="AU49" s="901"/>
      <c r="AV49" s="901"/>
      <c r="AW49" s="901"/>
      <c r="AX49" s="659"/>
      <c r="AY49" s="712">
        <f t="shared" si="135"/>
        <v>0</v>
      </c>
      <c r="AZ49" s="659"/>
      <c r="BA49" s="712">
        <f t="shared" si="136"/>
        <v>0</v>
      </c>
      <c r="BB49" s="712">
        <f t="shared" si="136"/>
        <v>0</v>
      </c>
      <c r="BC49" s="712">
        <f t="shared" si="137"/>
        <v>0</v>
      </c>
      <c r="BD49" s="901"/>
      <c r="BE49" s="901"/>
      <c r="BF49" s="901"/>
      <c r="BG49" s="659"/>
      <c r="BH49" s="712">
        <f t="shared" si="138"/>
        <v>0</v>
      </c>
      <c r="BI49" s="659"/>
      <c r="BJ49" s="712">
        <f t="shared" si="139"/>
        <v>0</v>
      </c>
      <c r="BK49" s="712">
        <f t="shared" si="139"/>
        <v>0</v>
      </c>
      <c r="BL49" s="712">
        <f t="shared" si="140"/>
        <v>0</v>
      </c>
      <c r="BM49" s="901"/>
      <c r="BN49" s="901"/>
      <c r="BO49" s="901"/>
      <c r="BP49" s="659"/>
      <c r="BQ49" s="712">
        <f t="shared" si="141"/>
        <v>0</v>
      </c>
      <c r="BR49" s="659"/>
      <c r="BS49" s="712">
        <f t="shared" si="142"/>
        <v>0</v>
      </c>
      <c r="BT49" s="712">
        <f t="shared" si="142"/>
        <v>0</v>
      </c>
      <c r="BU49" s="712">
        <f t="shared" si="143"/>
        <v>0</v>
      </c>
      <c r="BV49" s="901"/>
      <c r="BW49" s="901"/>
      <c r="BX49" s="901"/>
      <c r="BY49" s="659"/>
      <c r="BZ49" s="712">
        <f t="shared" si="144"/>
        <v>0</v>
      </c>
      <c r="CA49" s="659"/>
      <c r="CB49" s="712">
        <f t="shared" si="145"/>
        <v>0</v>
      </c>
      <c r="CC49" s="712">
        <f t="shared" si="145"/>
        <v>0</v>
      </c>
      <c r="CD49" s="712">
        <f t="shared" si="146"/>
        <v>0</v>
      </c>
      <c r="CE49" s="901"/>
      <c r="CF49" s="901"/>
      <c r="CG49" s="901"/>
      <c r="CH49" s="659"/>
      <c r="CI49" s="712">
        <f t="shared" si="147"/>
        <v>0</v>
      </c>
      <c r="CJ49" s="659"/>
      <c r="CK49" s="712">
        <f t="shared" si="148"/>
        <v>0</v>
      </c>
      <c r="CL49" s="712">
        <f t="shared" si="148"/>
        <v>0</v>
      </c>
      <c r="CM49" s="712">
        <f t="shared" si="149"/>
        <v>0</v>
      </c>
      <c r="CN49" s="901"/>
      <c r="CO49" s="901"/>
      <c r="CP49" s="901"/>
      <c r="CQ49" s="659"/>
      <c r="CR49" s="712">
        <f t="shared" si="150"/>
        <v>0</v>
      </c>
      <c r="CS49" s="659"/>
      <c r="CT49" s="712">
        <f t="shared" si="151"/>
        <v>0</v>
      </c>
      <c r="CU49" s="712">
        <f t="shared" si="151"/>
        <v>0</v>
      </c>
      <c r="CV49" s="712">
        <f t="shared" si="152"/>
        <v>0</v>
      </c>
      <c r="CW49" s="901"/>
      <c r="CX49" s="901"/>
      <c r="CY49" s="901"/>
      <c r="CZ49" s="659"/>
      <c r="DA49" s="712">
        <f t="shared" si="153"/>
        <v>0</v>
      </c>
      <c r="DB49" s="659"/>
      <c r="DC49" s="712">
        <f t="shared" si="154"/>
        <v>0</v>
      </c>
      <c r="DD49" s="712">
        <f t="shared" si="154"/>
        <v>0</v>
      </c>
      <c r="DE49" s="712">
        <f t="shared" si="155"/>
        <v>0</v>
      </c>
      <c r="DF49" s="901"/>
      <c r="DG49" s="901"/>
      <c r="DH49" s="901"/>
      <c r="DI49" s="659"/>
      <c r="DJ49" s="712">
        <f t="shared" si="156"/>
        <v>0</v>
      </c>
      <c r="DK49" s="659"/>
      <c r="DL49" s="712">
        <f t="shared" si="157"/>
        <v>0</v>
      </c>
      <c r="DM49" s="712">
        <f t="shared" si="157"/>
        <v>0</v>
      </c>
      <c r="DN49" s="712">
        <f t="shared" si="158"/>
        <v>0</v>
      </c>
      <c r="DO49" s="733"/>
      <c r="DP49" s="712"/>
      <c r="DQ49" s="734">
        <f t="shared" si="159"/>
        <v>0</v>
      </c>
      <c r="DR49" s="734">
        <v>0</v>
      </c>
      <c r="DS49" s="735"/>
    </row>
    <row r="50" spans="3:123" s="665" customFormat="1" ht="14.15" hidden="1" customHeight="1">
      <c r="C50" s="728"/>
      <c r="D50" s="729"/>
      <c r="E50" s="729"/>
      <c r="F50" s="730"/>
      <c r="G50" s="729"/>
      <c r="H50" s="731"/>
      <c r="I50" s="732">
        <f t="shared" si="122"/>
        <v>0</v>
      </c>
      <c r="J50" s="656"/>
      <c r="K50" s="901"/>
      <c r="L50" s="901"/>
      <c r="M50" s="901"/>
      <c r="N50" s="659"/>
      <c r="O50" s="712">
        <f t="shared" si="123"/>
        <v>0</v>
      </c>
      <c r="P50" s="656"/>
      <c r="Q50" s="659">
        <f t="shared" si="124"/>
        <v>0</v>
      </c>
      <c r="R50" s="659">
        <f t="shared" si="124"/>
        <v>0</v>
      </c>
      <c r="S50" s="712">
        <f t="shared" si="125"/>
        <v>0</v>
      </c>
      <c r="T50" s="901"/>
      <c r="U50" s="901"/>
      <c r="V50" s="901"/>
      <c r="W50" s="659"/>
      <c r="X50" s="712">
        <f t="shared" si="126"/>
        <v>0</v>
      </c>
      <c r="Y50" s="659"/>
      <c r="Z50" s="712">
        <f t="shared" si="127"/>
        <v>0</v>
      </c>
      <c r="AA50" s="712">
        <f t="shared" si="127"/>
        <v>0</v>
      </c>
      <c r="AB50" s="712">
        <f t="shared" si="128"/>
        <v>0</v>
      </c>
      <c r="AC50" s="901"/>
      <c r="AD50" s="901"/>
      <c r="AE50" s="901"/>
      <c r="AF50" s="659"/>
      <c r="AG50" s="712">
        <f t="shared" si="129"/>
        <v>0</v>
      </c>
      <c r="AH50" s="659"/>
      <c r="AI50" s="712">
        <f t="shared" si="130"/>
        <v>0</v>
      </c>
      <c r="AJ50" s="712">
        <f t="shared" si="130"/>
        <v>0</v>
      </c>
      <c r="AK50" s="712">
        <f t="shared" si="131"/>
        <v>0</v>
      </c>
      <c r="AL50" s="901"/>
      <c r="AM50" s="901"/>
      <c r="AN50" s="901"/>
      <c r="AO50" s="659"/>
      <c r="AP50" s="712">
        <f t="shared" si="132"/>
        <v>0</v>
      </c>
      <c r="AQ50" s="659"/>
      <c r="AR50" s="712">
        <f t="shared" si="133"/>
        <v>0</v>
      </c>
      <c r="AS50" s="712">
        <f t="shared" si="133"/>
        <v>0</v>
      </c>
      <c r="AT50" s="712">
        <f t="shared" si="134"/>
        <v>0</v>
      </c>
      <c r="AU50" s="901"/>
      <c r="AV50" s="901"/>
      <c r="AW50" s="901"/>
      <c r="AX50" s="659"/>
      <c r="AY50" s="712">
        <f t="shared" si="135"/>
        <v>0</v>
      </c>
      <c r="AZ50" s="659"/>
      <c r="BA50" s="712">
        <f t="shared" si="136"/>
        <v>0</v>
      </c>
      <c r="BB50" s="712">
        <f t="shared" si="136"/>
        <v>0</v>
      </c>
      <c r="BC50" s="712">
        <f t="shared" si="137"/>
        <v>0</v>
      </c>
      <c r="BD50" s="901"/>
      <c r="BE50" s="901"/>
      <c r="BF50" s="901"/>
      <c r="BG50" s="659"/>
      <c r="BH50" s="712">
        <f t="shared" si="138"/>
        <v>0</v>
      </c>
      <c r="BI50" s="659"/>
      <c r="BJ50" s="712">
        <f t="shared" si="139"/>
        <v>0</v>
      </c>
      <c r="BK50" s="712">
        <f t="shared" si="139"/>
        <v>0</v>
      </c>
      <c r="BL50" s="712">
        <f t="shared" si="140"/>
        <v>0</v>
      </c>
      <c r="BM50" s="901"/>
      <c r="BN50" s="901"/>
      <c r="BO50" s="901"/>
      <c r="BP50" s="659"/>
      <c r="BQ50" s="712">
        <f t="shared" si="141"/>
        <v>0</v>
      </c>
      <c r="BR50" s="659"/>
      <c r="BS50" s="712">
        <f t="shared" si="142"/>
        <v>0</v>
      </c>
      <c r="BT50" s="712">
        <f t="shared" si="142"/>
        <v>0</v>
      </c>
      <c r="BU50" s="712">
        <f t="shared" si="143"/>
        <v>0</v>
      </c>
      <c r="BV50" s="901"/>
      <c r="BW50" s="901"/>
      <c r="BX50" s="901"/>
      <c r="BY50" s="659"/>
      <c r="BZ50" s="712">
        <f t="shared" si="144"/>
        <v>0</v>
      </c>
      <c r="CA50" s="659"/>
      <c r="CB50" s="712">
        <f t="shared" si="145"/>
        <v>0</v>
      </c>
      <c r="CC50" s="712">
        <f t="shared" si="145"/>
        <v>0</v>
      </c>
      <c r="CD50" s="712">
        <f t="shared" si="146"/>
        <v>0</v>
      </c>
      <c r="CE50" s="901"/>
      <c r="CF50" s="901"/>
      <c r="CG50" s="901"/>
      <c r="CH50" s="659"/>
      <c r="CI50" s="712">
        <f t="shared" si="147"/>
        <v>0</v>
      </c>
      <c r="CJ50" s="659"/>
      <c r="CK50" s="712">
        <f t="shared" si="148"/>
        <v>0</v>
      </c>
      <c r="CL50" s="712">
        <f t="shared" si="148"/>
        <v>0</v>
      </c>
      <c r="CM50" s="712">
        <f t="shared" si="149"/>
        <v>0</v>
      </c>
      <c r="CN50" s="901"/>
      <c r="CO50" s="901"/>
      <c r="CP50" s="901"/>
      <c r="CQ50" s="659"/>
      <c r="CR50" s="712">
        <f t="shared" si="150"/>
        <v>0</v>
      </c>
      <c r="CS50" s="659"/>
      <c r="CT50" s="712">
        <f t="shared" si="151"/>
        <v>0</v>
      </c>
      <c r="CU50" s="712">
        <f t="shared" si="151"/>
        <v>0</v>
      </c>
      <c r="CV50" s="712">
        <f t="shared" si="152"/>
        <v>0</v>
      </c>
      <c r="CW50" s="901"/>
      <c r="CX50" s="901"/>
      <c r="CY50" s="901"/>
      <c r="CZ50" s="659"/>
      <c r="DA50" s="712">
        <f t="shared" si="153"/>
        <v>0</v>
      </c>
      <c r="DB50" s="659"/>
      <c r="DC50" s="712">
        <f t="shared" si="154"/>
        <v>0</v>
      </c>
      <c r="DD50" s="712">
        <f t="shared" si="154"/>
        <v>0</v>
      </c>
      <c r="DE50" s="712">
        <f t="shared" si="155"/>
        <v>0</v>
      </c>
      <c r="DF50" s="901"/>
      <c r="DG50" s="901"/>
      <c r="DH50" s="901"/>
      <c r="DI50" s="659"/>
      <c r="DJ50" s="712">
        <f t="shared" si="156"/>
        <v>0</v>
      </c>
      <c r="DK50" s="659"/>
      <c r="DL50" s="712">
        <f t="shared" si="157"/>
        <v>0</v>
      </c>
      <c r="DM50" s="712">
        <f t="shared" si="157"/>
        <v>0</v>
      </c>
      <c r="DN50" s="712">
        <f t="shared" si="158"/>
        <v>0</v>
      </c>
      <c r="DO50" s="737"/>
      <c r="DP50" s="712"/>
      <c r="DQ50" s="734">
        <f t="shared" si="159"/>
        <v>0</v>
      </c>
      <c r="DR50" s="734">
        <v>0</v>
      </c>
      <c r="DS50" s="735"/>
    </row>
    <row r="51" spans="3:123" s="665" customFormat="1" ht="14.15" hidden="1" customHeight="1">
      <c r="C51" s="728"/>
      <c r="D51" s="729"/>
      <c r="E51" s="729"/>
      <c r="F51" s="730"/>
      <c r="G51" s="729"/>
      <c r="H51" s="731"/>
      <c r="I51" s="732">
        <f t="shared" si="122"/>
        <v>0</v>
      </c>
      <c r="J51" s="656"/>
      <c r="K51" s="901"/>
      <c r="L51" s="901"/>
      <c r="M51" s="901"/>
      <c r="N51" s="659"/>
      <c r="O51" s="712">
        <f t="shared" si="123"/>
        <v>0</v>
      </c>
      <c r="P51" s="656"/>
      <c r="Q51" s="659">
        <f t="shared" si="124"/>
        <v>0</v>
      </c>
      <c r="R51" s="659">
        <f t="shared" si="124"/>
        <v>0</v>
      </c>
      <c r="S51" s="712">
        <f t="shared" si="125"/>
        <v>0</v>
      </c>
      <c r="T51" s="901"/>
      <c r="U51" s="901"/>
      <c r="V51" s="901"/>
      <c r="W51" s="659"/>
      <c r="X51" s="712">
        <f t="shared" si="126"/>
        <v>0</v>
      </c>
      <c r="Y51" s="659"/>
      <c r="Z51" s="712">
        <f t="shared" si="127"/>
        <v>0</v>
      </c>
      <c r="AA51" s="712">
        <f t="shared" si="127"/>
        <v>0</v>
      </c>
      <c r="AB51" s="712">
        <f t="shared" si="128"/>
        <v>0</v>
      </c>
      <c r="AC51" s="901"/>
      <c r="AD51" s="901"/>
      <c r="AE51" s="901"/>
      <c r="AF51" s="659"/>
      <c r="AG51" s="712">
        <f t="shared" si="129"/>
        <v>0</v>
      </c>
      <c r="AH51" s="659"/>
      <c r="AI51" s="712">
        <f t="shared" si="130"/>
        <v>0</v>
      </c>
      <c r="AJ51" s="712">
        <f t="shared" si="130"/>
        <v>0</v>
      </c>
      <c r="AK51" s="712">
        <f t="shared" si="131"/>
        <v>0</v>
      </c>
      <c r="AL51" s="901"/>
      <c r="AM51" s="901"/>
      <c r="AN51" s="901"/>
      <c r="AO51" s="659"/>
      <c r="AP51" s="712">
        <f t="shared" si="132"/>
        <v>0</v>
      </c>
      <c r="AQ51" s="659"/>
      <c r="AR51" s="712">
        <f t="shared" si="133"/>
        <v>0</v>
      </c>
      <c r="AS51" s="712">
        <f t="shared" si="133"/>
        <v>0</v>
      </c>
      <c r="AT51" s="712">
        <f t="shared" si="134"/>
        <v>0</v>
      </c>
      <c r="AU51" s="901"/>
      <c r="AV51" s="901"/>
      <c r="AW51" s="901"/>
      <c r="AX51" s="659"/>
      <c r="AY51" s="712">
        <f t="shared" si="135"/>
        <v>0</v>
      </c>
      <c r="AZ51" s="659"/>
      <c r="BA51" s="712">
        <f t="shared" si="136"/>
        <v>0</v>
      </c>
      <c r="BB51" s="712">
        <f t="shared" si="136"/>
        <v>0</v>
      </c>
      <c r="BC51" s="712">
        <f t="shared" si="137"/>
        <v>0</v>
      </c>
      <c r="BD51" s="901"/>
      <c r="BE51" s="901"/>
      <c r="BF51" s="901"/>
      <c r="BG51" s="659"/>
      <c r="BH51" s="712">
        <f t="shared" si="138"/>
        <v>0</v>
      </c>
      <c r="BI51" s="659"/>
      <c r="BJ51" s="712">
        <f t="shared" si="139"/>
        <v>0</v>
      </c>
      <c r="BK51" s="712">
        <f t="shared" si="139"/>
        <v>0</v>
      </c>
      <c r="BL51" s="712">
        <f t="shared" si="140"/>
        <v>0</v>
      </c>
      <c r="BM51" s="901"/>
      <c r="BN51" s="901"/>
      <c r="BO51" s="901"/>
      <c r="BP51" s="659"/>
      <c r="BQ51" s="712">
        <f t="shared" si="141"/>
        <v>0</v>
      </c>
      <c r="BR51" s="659"/>
      <c r="BS51" s="712">
        <f t="shared" si="142"/>
        <v>0</v>
      </c>
      <c r="BT51" s="712">
        <f t="shared" si="142"/>
        <v>0</v>
      </c>
      <c r="BU51" s="712">
        <f t="shared" si="143"/>
        <v>0</v>
      </c>
      <c r="BV51" s="901"/>
      <c r="BW51" s="901"/>
      <c r="BX51" s="901"/>
      <c r="BY51" s="659"/>
      <c r="BZ51" s="712">
        <f t="shared" si="144"/>
        <v>0</v>
      </c>
      <c r="CA51" s="659"/>
      <c r="CB51" s="712">
        <f t="shared" si="145"/>
        <v>0</v>
      </c>
      <c r="CC51" s="712">
        <f t="shared" si="145"/>
        <v>0</v>
      </c>
      <c r="CD51" s="712">
        <f t="shared" si="146"/>
        <v>0</v>
      </c>
      <c r="CE51" s="901"/>
      <c r="CF51" s="901"/>
      <c r="CG51" s="901"/>
      <c r="CH51" s="659"/>
      <c r="CI51" s="712">
        <f t="shared" si="147"/>
        <v>0</v>
      </c>
      <c r="CJ51" s="659"/>
      <c r="CK51" s="712">
        <f t="shared" si="148"/>
        <v>0</v>
      </c>
      <c r="CL51" s="712">
        <f t="shared" si="148"/>
        <v>0</v>
      </c>
      <c r="CM51" s="712">
        <f t="shared" si="149"/>
        <v>0</v>
      </c>
      <c r="CN51" s="901"/>
      <c r="CO51" s="901"/>
      <c r="CP51" s="901"/>
      <c r="CQ51" s="659"/>
      <c r="CR51" s="712">
        <f t="shared" si="150"/>
        <v>0</v>
      </c>
      <c r="CS51" s="659"/>
      <c r="CT51" s="712">
        <f t="shared" si="151"/>
        <v>0</v>
      </c>
      <c r="CU51" s="712">
        <f t="shared" si="151"/>
        <v>0</v>
      </c>
      <c r="CV51" s="712">
        <f t="shared" si="152"/>
        <v>0</v>
      </c>
      <c r="CW51" s="901"/>
      <c r="CX51" s="901"/>
      <c r="CY51" s="901"/>
      <c r="CZ51" s="659"/>
      <c r="DA51" s="712">
        <f t="shared" si="153"/>
        <v>0</v>
      </c>
      <c r="DB51" s="659"/>
      <c r="DC51" s="712">
        <f t="shared" si="154"/>
        <v>0</v>
      </c>
      <c r="DD51" s="712">
        <f t="shared" si="154"/>
        <v>0</v>
      </c>
      <c r="DE51" s="712">
        <f t="shared" si="155"/>
        <v>0</v>
      </c>
      <c r="DF51" s="901"/>
      <c r="DG51" s="901"/>
      <c r="DH51" s="901"/>
      <c r="DI51" s="659"/>
      <c r="DJ51" s="712">
        <f t="shared" si="156"/>
        <v>0</v>
      </c>
      <c r="DK51" s="659"/>
      <c r="DL51" s="712">
        <f t="shared" si="157"/>
        <v>0</v>
      </c>
      <c r="DM51" s="712">
        <f t="shared" si="157"/>
        <v>0</v>
      </c>
      <c r="DN51" s="712">
        <f t="shared" si="158"/>
        <v>0</v>
      </c>
      <c r="DO51" s="712"/>
      <c r="DP51" s="712"/>
      <c r="DQ51" s="734">
        <f t="shared" si="159"/>
        <v>0</v>
      </c>
      <c r="DR51" s="734">
        <v>0</v>
      </c>
      <c r="DS51" s="735"/>
    </row>
    <row r="52" spans="3:123" ht="14.15" customHeight="1">
      <c r="C52" s="656" t="s">
        <v>118</v>
      </c>
      <c r="F52" s="758"/>
      <c r="G52" s="758"/>
      <c r="H52" s="759"/>
      <c r="I52" s="759"/>
      <c r="M52" s="901"/>
      <c r="N52" s="733"/>
      <c r="O52" s="753">
        <f>N52-M52</f>
        <v>0</v>
      </c>
      <c r="Q52" s="733"/>
      <c r="R52" s="753"/>
      <c r="S52" s="753">
        <f t="shared" si="125"/>
        <v>0</v>
      </c>
      <c r="T52" s="901"/>
      <c r="U52" s="901"/>
      <c r="V52" s="901"/>
      <c r="W52" s="733"/>
      <c r="X52" s="753">
        <f>W52-V52</f>
        <v>0</v>
      </c>
      <c r="Y52" s="733"/>
      <c r="Z52" s="753"/>
      <c r="AA52" s="753"/>
      <c r="AB52" s="712">
        <f t="shared" si="128"/>
        <v>0</v>
      </c>
      <c r="AC52" s="901"/>
      <c r="AD52" s="901"/>
      <c r="AE52" s="901"/>
      <c r="AF52" s="733"/>
      <c r="AG52" s="753">
        <f>AF52-AE52</f>
        <v>0</v>
      </c>
      <c r="AH52" s="733"/>
      <c r="AI52" s="712">
        <f t="shared" si="130"/>
        <v>0</v>
      </c>
      <c r="AJ52" s="712">
        <f t="shared" si="130"/>
        <v>0</v>
      </c>
      <c r="AK52" s="712">
        <f t="shared" si="131"/>
        <v>0</v>
      </c>
      <c r="AL52" s="901"/>
      <c r="AM52" s="901"/>
      <c r="AN52" s="901"/>
      <c r="AO52" s="733"/>
      <c r="AP52" s="712">
        <f t="shared" si="132"/>
        <v>0</v>
      </c>
      <c r="AQ52" s="733"/>
      <c r="AR52" s="712">
        <f t="shared" si="133"/>
        <v>0</v>
      </c>
      <c r="AS52" s="712">
        <f t="shared" si="133"/>
        <v>0</v>
      </c>
      <c r="AT52" s="712">
        <f t="shared" si="134"/>
        <v>0</v>
      </c>
      <c r="AU52" s="901"/>
      <c r="AV52" s="901"/>
      <c r="AW52" s="901"/>
      <c r="AX52" s="733"/>
      <c r="AY52" s="712">
        <f t="shared" si="135"/>
        <v>0</v>
      </c>
      <c r="AZ52" s="733"/>
      <c r="BA52" s="712">
        <f t="shared" si="136"/>
        <v>0</v>
      </c>
      <c r="BB52" s="712">
        <f t="shared" si="136"/>
        <v>0</v>
      </c>
      <c r="BC52" s="712">
        <f t="shared" si="137"/>
        <v>0</v>
      </c>
      <c r="BD52" s="901"/>
      <c r="BE52" s="901"/>
      <c r="BF52" s="901"/>
      <c r="BG52" s="733">
        <v>-1</v>
      </c>
      <c r="BH52" s="712">
        <f t="shared" si="138"/>
        <v>1</v>
      </c>
      <c r="BI52" s="733"/>
      <c r="BJ52" s="712">
        <f t="shared" si="139"/>
        <v>0</v>
      </c>
      <c r="BK52" s="712">
        <f t="shared" si="139"/>
        <v>-1</v>
      </c>
      <c r="BL52" s="712">
        <f t="shared" si="140"/>
        <v>1</v>
      </c>
      <c r="BM52" s="901"/>
      <c r="BN52" s="901"/>
      <c r="BO52" s="901"/>
      <c r="BP52" s="733">
        <v>-1</v>
      </c>
      <c r="BQ52" s="712">
        <f t="shared" si="141"/>
        <v>1</v>
      </c>
      <c r="BR52" s="733"/>
      <c r="BS52" s="712">
        <f t="shared" si="142"/>
        <v>0</v>
      </c>
      <c r="BT52" s="712">
        <f t="shared" si="142"/>
        <v>-2</v>
      </c>
      <c r="BU52" s="712">
        <f t="shared" si="143"/>
        <v>2</v>
      </c>
      <c r="BV52" s="901"/>
      <c r="BW52" s="901"/>
      <c r="BX52" s="901"/>
      <c r="BY52" s="733">
        <v>-1</v>
      </c>
      <c r="BZ52" s="712">
        <f t="shared" si="144"/>
        <v>1</v>
      </c>
      <c r="CA52" s="733"/>
      <c r="CB52" s="712">
        <f t="shared" si="145"/>
        <v>0</v>
      </c>
      <c r="CC52" s="712">
        <f t="shared" si="145"/>
        <v>-3</v>
      </c>
      <c r="CD52" s="712">
        <f t="shared" si="146"/>
        <v>3</v>
      </c>
      <c r="CE52" s="901"/>
      <c r="CF52" s="901"/>
      <c r="CG52" s="901"/>
      <c r="CH52" s="733">
        <v>-1</v>
      </c>
      <c r="CI52" s="712">
        <f t="shared" si="147"/>
        <v>1</v>
      </c>
      <c r="CJ52" s="733"/>
      <c r="CK52" s="712">
        <f t="shared" si="148"/>
        <v>0</v>
      </c>
      <c r="CL52" s="712">
        <f t="shared" si="148"/>
        <v>-4</v>
      </c>
      <c r="CM52" s="712">
        <f t="shared" si="149"/>
        <v>4</v>
      </c>
      <c r="CN52" s="901"/>
      <c r="CO52" s="901"/>
      <c r="CP52" s="901"/>
      <c r="CQ52" s="733">
        <v>-1</v>
      </c>
      <c r="CR52" s="712">
        <f t="shared" si="150"/>
        <v>1</v>
      </c>
      <c r="CS52" s="733"/>
      <c r="CT52" s="712">
        <f t="shared" si="151"/>
        <v>0</v>
      </c>
      <c r="CU52" s="712">
        <f t="shared" si="151"/>
        <v>-5</v>
      </c>
      <c r="CV52" s="712">
        <f t="shared" si="152"/>
        <v>5</v>
      </c>
      <c r="CW52" s="901"/>
      <c r="CX52" s="901"/>
      <c r="CY52" s="901"/>
      <c r="CZ52" s="733"/>
      <c r="DA52" s="712">
        <f t="shared" si="153"/>
        <v>0</v>
      </c>
      <c r="DB52" s="733"/>
      <c r="DC52" s="712">
        <f t="shared" si="154"/>
        <v>0</v>
      </c>
      <c r="DD52" s="712">
        <f t="shared" si="154"/>
        <v>-5</v>
      </c>
      <c r="DE52" s="712">
        <f t="shared" si="155"/>
        <v>5</v>
      </c>
      <c r="DF52" s="901"/>
      <c r="DG52" s="901"/>
      <c r="DH52" s="901"/>
      <c r="DI52" s="733">
        <v>-1</v>
      </c>
      <c r="DJ52" s="712">
        <f t="shared" si="156"/>
        <v>1</v>
      </c>
      <c r="DK52" s="733"/>
      <c r="DL52" s="712">
        <f t="shared" si="157"/>
        <v>0</v>
      </c>
      <c r="DM52" s="712">
        <f t="shared" si="157"/>
        <v>-6</v>
      </c>
      <c r="DN52" s="712">
        <f t="shared" si="158"/>
        <v>6</v>
      </c>
      <c r="DO52" s="733"/>
      <c r="DP52" s="733"/>
      <c r="DQ52" s="734">
        <f t="shared" si="159"/>
        <v>-6</v>
      </c>
      <c r="DR52" s="734">
        <v>0</v>
      </c>
      <c r="DS52" s="735"/>
    </row>
    <row r="53" spans="3:123" s="665" customFormat="1" ht="14.15" customHeight="1">
      <c r="C53" s="747"/>
      <c r="D53" s="748"/>
      <c r="E53" s="748"/>
      <c r="F53" s="749"/>
      <c r="G53" s="747"/>
      <c r="H53" s="750"/>
      <c r="I53" s="750"/>
      <c r="J53" s="656"/>
      <c r="K53" s="901"/>
      <c r="L53" s="901"/>
      <c r="M53" s="901"/>
      <c r="N53" s="733"/>
      <c r="O53" s="753"/>
      <c r="P53" s="656"/>
      <c r="Q53" s="733"/>
      <c r="R53" s="753"/>
      <c r="S53" s="753"/>
      <c r="T53" s="901"/>
      <c r="U53" s="901"/>
      <c r="V53" s="901"/>
      <c r="W53" s="733"/>
      <c r="X53" s="753"/>
      <c r="Y53" s="733"/>
      <c r="Z53" s="753"/>
      <c r="AA53" s="753"/>
      <c r="AB53" s="753"/>
      <c r="AC53" s="901"/>
      <c r="AD53" s="901"/>
      <c r="AE53" s="901"/>
      <c r="AF53" s="733"/>
      <c r="AG53" s="753"/>
      <c r="AH53" s="733"/>
      <c r="AI53" s="753"/>
      <c r="AJ53" s="753"/>
      <c r="AK53" s="753"/>
      <c r="AL53" s="901"/>
      <c r="AM53" s="901"/>
      <c r="AN53" s="901"/>
      <c r="AO53" s="733"/>
      <c r="AP53" s="753"/>
      <c r="AQ53" s="733"/>
      <c r="AR53" s="753"/>
      <c r="AS53" s="753"/>
      <c r="AT53" s="753"/>
      <c r="AU53" s="901"/>
      <c r="AV53" s="901"/>
      <c r="AW53" s="901"/>
      <c r="AX53" s="733"/>
      <c r="AY53" s="753"/>
      <c r="AZ53" s="733"/>
      <c r="BA53" s="753"/>
      <c r="BB53" s="753"/>
      <c r="BC53" s="753"/>
      <c r="BD53" s="901"/>
      <c r="BE53" s="901"/>
      <c r="BF53" s="901"/>
      <c r="BG53" s="733"/>
      <c r="BH53" s="753"/>
      <c r="BI53" s="733"/>
      <c r="BJ53" s="753"/>
      <c r="BK53" s="753"/>
      <c r="BL53" s="753"/>
      <c r="BM53" s="901"/>
      <c r="BN53" s="901"/>
      <c r="BO53" s="901"/>
      <c r="BP53" s="733"/>
      <c r="BQ53" s="753"/>
      <c r="BR53" s="733"/>
      <c r="BS53" s="753"/>
      <c r="BT53" s="753"/>
      <c r="BU53" s="753"/>
      <c r="BV53" s="901"/>
      <c r="BW53" s="901"/>
      <c r="BX53" s="901"/>
      <c r="BY53" s="733"/>
      <c r="BZ53" s="753"/>
      <c r="CA53" s="733"/>
      <c r="CB53" s="753"/>
      <c r="CC53" s="753"/>
      <c r="CD53" s="753"/>
      <c r="CE53" s="901"/>
      <c r="CF53" s="901"/>
      <c r="CG53" s="901"/>
      <c r="CH53" s="733"/>
      <c r="CI53" s="753"/>
      <c r="CJ53" s="733"/>
      <c r="CK53" s="753"/>
      <c r="CL53" s="753"/>
      <c r="CM53" s="753"/>
      <c r="CN53" s="901"/>
      <c r="CO53" s="901"/>
      <c r="CP53" s="901"/>
      <c r="CQ53" s="733"/>
      <c r="CR53" s="753"/>
      <c r="CS53" s="733"/>
      <c r="CT53" s="753"/>
      <c r="CU53" s="753"/>
      <c r="CV53" s="753"/>
      <c r="CW53" s="901"/>
      <c r="CX53" s="901"/>
      <c r="CY53" s="901"/>
      <c r="CZ53" s="733"/>
      <c r="DA53" s="753"/>
      <c r="DB53" s="733"/>
      <c r="DC53" s="753"/>
      <c r="DD53" s="753"/>
      <c r="DE53" s="753"/>
      <c r="DF53" s="901"/>
      <c r="DG53" s="901"/>
      <c r="DH53" s="901"/>
      <c r="DI53" s="733"/>
      <c r="DJ53" s="753"/>
      <c r="DK53" s="733"/>
      <c r="DL53" s="753"/>
      <c r="DM53" s="753"/>
      <c r="DN53" s="753"/>
      <c r="DO53" s="712"/>
      <c r="DP53" s="712"/>
    </row>
    <row r="54" spans="3:123" s="665" customFormat="1" ht="14.15" customHeight="1">
      <c r="C54" s="760" t="s">
        <v>119</v>
      </c>
      <c r="D54" s="761"/>
      <c r="E54" s="761"/>
      <c r="F54" s="749"/>
      <c r="G54" s="747"/>
      <c r="H54" s="756">
        <f>SUM(H45:H53)</f>
        <v>51097</v>
      </c>
      <c r="I54" s="756">
        <f>SUM(I45:I53)</f>
        <v>150473.65999999997</v>
      </c>
      <c r="J54" s="656"/>
      <c r="K54" s="756">
        <f>SUM(K45:K53)</f>
        <v>108376.34</v>
      </c>
      <c r="L54" s="756">
        <f>SUM(L45:L53)</f>
        <v>0</v>
      </c>
      <c r="M54" s="756">
        <f>SUM(M45:M53)</f>
        <v>108376.34</v>
      </c>
      <c r="N54" s="756">
        <f>SUM(N45:N53)</f>
        <v>108377</v>
      </c>
      <c r="O54" s="756">
        <f>SUM(O46:O53)</f>
        <v>-0.65999999999985448</v>
      </c>
      <c r="P54" s="656"/>
      <c r="Q54" s="756">
        <f>SUM(Q45:Q53)</f>
        <v>108376.34</v>
      </c>
      <c r="R54" s="756">
        <f>SUM(R45:R53)</f>
        <v>108377</v>
      </c>
      <c r="S54" s="756">
        <f>SUM(S46:S53)</f>
        <v>-0.65999999999985448</v>
      </c>
      <c r="T54" s="756">
        <f>SUM(T45:T53)</f>
        <v>108376.34</v>
      </c>
      <c r="U54" s="756">
        <f>SUM(U45:U53)</f>
        <v>0</v>
      </c>
      <c r="V54" s="756">
        <f>SUM(V45:V53)</f>
        <v>108376.34</v>
      </c>
      <c r="W54" s="756">
        <f>SUM(W45:W52)</f>
        <v>108377</v>
      </c>
      <c r="X54" s="756">
        <f>SUM(X45:X52)</f>
        <v>-0.65999999999985448</v>
      </c>
      <c r="Y54" s="756"/>
      <c r="Z54" s="756">
        <f>SUM(Z45:Z52)</f>
        <v>216752.68</v>
      </c>
      <c r="AA54" s="756">
        <f>SUM(AA45:AA52)</f>
        <v>216754</v>
      </c>
      <c r="AB54" s="756">
        <f>SUM(AB45:AB52)</f>
        <v>-1.319999999999709</v>
      </c>
      <c r="AC54" s="756">
        <f>SUM(AC45:AC53)</f>
        <v>108376.34</v>
      </c>
      <c r="AD54" s="756">
        <f>SUM(AD45:AD53)</f>
        <v>0</v>
      </c>
      <c r="AE54" s="756">
        <f>SUM(AE45:AE53)</f>
        <v>108376.34</v>
      </c>
      <c r="AF54" s="756">
        <f>SUM(AF45:AF52)</f>
        <v>108377</v>
      </c>
      <c r="AG54" s="756">
        <f>SUM(AG46:AG53)</f>
        <v>-0.65999999999985448</v>
      </c>
      <c r="AH54" s="733"/>
      <c r="AI54" s="756">
        <f t="shared" ref="AI54:AP54" si="160">SUM(AI45:AI52)</f>
        <v>325129.02</v>
      </c>
      <c r="AJ54" s="756">
        <f t="shared" si="160"/>
        <v>325131</v>
      </c>
      <c r="AK54" s="756">
        <f t="shared" si="160"/>
        <v>-1.9799999999959255</v>
      </c>
      <c r="AL54" s="756">
        <f>SUM(AL45:AL53)</f>
        <v>108376.34</v>
      </c>
      <c r="AM54" s="756">
        <f>SUM(AM45:AM53)</f>
        <v>0</v>
      </c>
      <c r="AN54" s="756">
        <f>SUM(AN45:AN53)</f>
        <v>108376.34</v>
      </c>
      <c r="AO54" s="756">
        <f t="shared" si="160"/>
        <v>108377</v>
      </c>
      <c r="AP54" s="756">
        <f t="shared" si="160"/>
        <v>-0.65999999999985448</v>
      </c>
      <c r="AQ54" s="756"/>
      <c r="AR54" s="756">
        <f t="shared" ref="AR54:AY54" si="161">SUM(AR45:AR52)</f>
        <v>433505.36</v>
      </c>
      <c r="AS54" s="756">
        <f t="shared" si="161"/>
        <v>433508</v>
      </c>
      <c r="AT54" s="756">
        <f t="shared" si="161"/>
        <v>-2.6399999999994179</v>
      </c>
      <c r="AU54" s="756">
        <f>SUM(AU45:AU53)</f>
        <v>108376.34</v>
      </c>
      <c r="AV54" s="756">
        <f>SUM(AV45:AV53)</f>
        <v>0</v>
      </c>
      <c r="AW54" s="756">
        <f>SUM(AW45:AW53)</f>
        <v>108376.34</v>
      </c>
      <c r="AX54" s="756">
        <f t="shared" si="161"/>
        <v>108377</v>
      </c>
      <c r="AY54" s="756">
        <f t="shared" si="161"/>
        <v>-0.65999999999985448</v>
      </c>
      <c r="AZ54" s="756"/>
      <c r="BA54" s="756">
        <f t="shared" ref="BA54:BH54" si="162">SUM(BA45:BA52)</f>
        <v>541881.69999999995</v>
      </c>
      <c r="BB54" s="756">
        <f t="shared" si="162"/>
        <v>541885</v>
      </c>
      <c r="BC54" s="756">
        <f t="shared" si="162"/>
        <v>-3.3000000000029104</v>
      </c>
      <c r="BD54" s="756">
        <f>SUM(BD45:BD53)</f>
        <v>108376.34</v>
      </c>
      <c r="BE54" s="756">
        <f>SUM(BE45:BE53)</f>
        <v>0</v>
      </c>
      <c r="BF54" s="756">
        <f>SUM(BF45:BF53)</f>
        <v>108376.34</v>
      </c>
      <c r="BG54" s="756">
        <f t="shared" si="162"/>
        <v>108376</v>
      </c>
      <c r="BH54" s="756">
        <f t="shared" si="162"/>
        <v>0.34000000000014552</v>
      </c>
      <c r="BI54" s="756"/>
      <c r="BJ54" s="756">
        <f t="shared" ref="BJ54:BQ54" si="163">SUM(BJ45:BJ52)</f>
        <v>650258.04</v>
      </c>
      <c r="BK54" s="756">
        <f t="shared" si="163"/>
        <v>650261</v>
      </c>
      <c r="BL54" s="756">
        <f t="shared" si="163"/>
        <v>-2.9600000000064028</v>
      </c>
      <c r="BM54" s="756">
        <f>SUM(BM45:BM53)</f>
        <v>108376.34</v>
      </c>
      <c r="BN54" s="756">
        <f>SUM(BN45:BN53)</f>
        <v>0</v>
      </c>
      <c r="BO54" s="756">
        <f>SUM(BO45:BO53)</f>
        <v>108376.34</v>
      </c>
      <c r="BP54" s="756">
        <f t="shared" si="163"/>
        <v>108376</v>
      </c>
      <c r="BQ54" s="756">
        <f t="shared" si="163"/>
        <v>0.34000000000014552</v>
      </c>
      <c r="BR54" s="756"/>
      <c r="BS54" s="756">
        <f t="shared" ref="BS54:BZ54" si="164">SUM(BS45:BS52)</f>
        <v>758634.38</v>
      </c>
      <c r="BT54" s="756">
        <f t="shared" si="164"/>
        <v>758637</v>
      </c>
      <c r="BU54" s="756">
        <f t="shared" si="164"/>
        <v>-2.6200000000244472</v>
      </c>
      <c r="BV54" s="756">
        <f>SUM(BV45:BV53)</f>
        <v>108376.34</v>
      </c>
      <c r="BW54" s="756">
        <f>SUM(BW45:BW53)</f>
        <v>0</v>
      </c>
      <c r="BX54" s="756">
        <f>SUM(BX45:BX53)</f>
        <v>108376.34</v>
      </c>
      <c r="BY54" s="756">
        <f t="shared" si="164"/>
        <v>108376</v>
      </c>
      <c r="BZ54" s="756">
        <f t="shared" si="164"/>
        <v>0.34000000000014552</v>
      </c>
      <c r="CA54" s="756"/>
      <c r="CB54" s="756">
        <f t="shared" ref="CB54:CI54" si="165">SUM(CB45:CB52)</f>
        <v>867010.72</v>
      </c>
      <c r="CC54" s="756">
        <f t="shared" si="165"/>
        <v>867013</v>
      </c>
      <c r="CD54" s="756">
        <f t="shared" si="165"/>
        <v>-2.2800000000133878</v>
      </c>
      <c r="CE54" s="756">
        <f>SUM(CE45:CE53)</f>
        <v>108376.34</v>
      </c>
      <c r="CF54" s="756">
        <f>SUM(CF45:CF53)</f>
        <v>0</v>
      </c>
      <c r="CG54" s="756">
        <f>SUM(CG45:CG53)</f>
        <v>108376.34</v>
      </c>
      <c r="CH54" s="756">
        <f t="shared" si="165"/>
        <v>108376</v>
      </c>
      <c r="CI54" s="756">
        <f t="shared" si="165"/>
        <v>0.34000000000014552</v>
      </c>
      <c r="CJ54" s="756"/>
      <c r="CK54" s="756">
        <f t="shared" ref="CK54:CR54" si="166">SUM(CK45:CK52)</f>
        <v>975387.06</v>
      </c>
      <c r="CL54" s="756">
        <f t="shared" si="166"/>
        <v>975389</v>
      </c>
      <c r="CM54" s="756">
        <f t="shared" si="166"/>
        <v>-1.9400000000023283</v>
      </c>
      <c r="CN54" s="756">
        <f>SUM(CN45:CN53)</f>
        <v>108376.34</v>
      </c>
      <c r="CO54" s="756">
        <f>SUM(CO45:CO53)</f>
        <v>0</v>
      </c>
      <c r="CP54" s="756">
        <f>SUM(CP45:CP53)</f>
        <v>108376.34</v>
      </c>
      <c r="CQ54" s="756">
        <f t="shared" si="166"/>
        <v>108376</v>
      </c>
      <c r="CR54" s="756">
        <f t="shared" si="166"/>
        <v>0.34000000000014552</v>
      </c>
      <c r="CS54" s="756"/>
      <c r="CT54" s="756">
        <f t="shared" ref="CT54:DA54" si="167">SUM(CT45:CT52)</f>
        <v>1083763.3999999999</v>
      </c>
      <c r="CU54" s="756">
        <f t="shared" si="167"/>
        <v>1083765</v>
      </c>
      <c r="CV54" s="756">
        <f t="shared" si="167"/>
        <v>-1.5999999999767169</v>
      </c>
      <c r="CW54" s="756">
        <f>SUM(CW45:CW53)</f>
        <v>108376.34</v>
      </c>
      <c r="CX54" s="756">
        <f>SUM(CX45:CX53)</f>
        <v>0</v>
      </c>
      <c r="CY54" s="756">
        <f>SUM(CY45:CY53)</f>
        <v>108376.34</v>
      </c>
      <c r="CZ54" s="756">
        <f t="shared" si="167"/>
        <v>108377</v>
      </c>
      <c r="DA54" s="756">
        <f t="shared" si="167"/>
        <v>-0.65999999999985448</v>
      </c>
      <c r="DB54" s="756"/>
      <c r="DC54" s="756">
        <f>SUM(DC44:DC53)</f>
        <v>1192139.74</v>
      </c>
      <c r="DD54" s="756">
        <f>SUM(DD44:DD53)</f>
        <v>1192142</v>
      </c>
      <c r="DE54" s="756">
        <f>SUM(DE44:DE53)</f>
        <v>-2.2599999999511056</v>
      </c>
      <c r="DF54" s="756">
        <f>SUM(DF45:DF53)</f>
        <v>150473.65999999997</v>
      </c>
      <c r="DG54" s="756">
        <f>SUM(DG45:DG53)</f>
        <v>0</v>
      </c>
      <c r="DH54" s="756">
        <f>SUM(DH45:DH53)</f>
        <v>150473.65999999997</v>
      </c>
      <c r="DI54" s="756">
        <f>SUM(DI45:DI53)</f>
        <v>108376</v>
      </c>
      <c r="DJ54" s="756">
        <f>SUM(DJ45:DJ53)</f>
        <v>42097.659999999996</v>
      </c>
      <c r="DK54" s="756"/>
      <c r="DL54" s="756">
        <f>SUM(DL45:DL53)</f>
        <v>1342613.4</v>
      </c>
      <c r="DM54" s="756">
        <f>SUM(DM45:DM53)</f>
        <v>1300518</v>
      </c>
      <c r="DN54" s="756">
        <f>SUM(DN45:DN53)</f>
        <v>42095.400000000052</v>
      </c>
      <c r="DO54" s="712"/>
      <c r="DP54" s="712"/>
      <c r="DQ54" s="756">
        <f>SUM(DQ45:DQ53)</f>
        <v>1300518</v>
      </c>
      <c r="DR54" s="756">
        <f>SUM(DR45:DR53)</f>
        <v>42097</v>
      </c>
    </row>
    <row r="55" spans="3:123" s="665" customFormat="1" ht="14.15" customHeight="1">
      <c r="D55" s="664"/>
      <c r="E55" s="664"/>
      <c r="G55" s="664"/>
      <c r="H55" s="712"/>
      <c r="I55" s="712"/>
      <c r="J55" s="656"/>
      <c r="K55" s="901"/>
      <c r="L55" s="901"/>
      <c r="M55" s="901"/>
      <c r="N55" s="712"/>
      <c r="O55" s="712"/>
      <c r="P55" s="656"/>
      <c r="Q55" s="712"/>
      <c r="R55" s="712"/>
      <c r="S55" s="712"/>
      <c r="T55" s="901"/>
      <c r="U55" s="901"/>
      <c r="V55" s="901"/>
      <c r="W55" s="712"/>
      <c r="X55" s="753"/>
      <c r="Y55" s="756"/>
      <c r="Z55" s="712"/>
      <c r="AA55" s="712"/>
      <c r="AB55" s="753"/>
      <c r="AC55" s="901"/>
      <c r="AD55" s="901"/>
      <c r="AE55" s="901"/>
      <c r="AF55" s="712"/>
      <c r="AG55" s="753"/>
      <c r="AH55" s="733"/>
      <c r="AI55" s="712"/>
      <c r="AJ55" s="712"/>
      <c r="AK55" s="753"/>
      <c r="AL55" s="901"/>
      <c r="AM55" s="901"/>
      <c r="AN55" s="901"/>
      <c r="AO55" s="712"/>
      <c r="AP55" s="753"/>
      <c r="AQ55" s="712"/>
      <c r="AR55" s="712"/>
      <c r="AS55" s="712"/>
      <c r="AT55" s="753"/>
      <c r="AU55" s="901"/>
      <c r="AV55" s="901"/>
      <c r="AW55" s="901"/>
      <c r="AX55" s="712"/>
      <c r="AY55" s="753"/>
      <c r="AZ55" s="756"/>
      <c r="BA55" s="712"/>
      <c r="BB55" s="712"/>
      <c r="BC55" s="753"/>
      <c r="BD55" s="901"/>
      <c r="BE55" s="901"/>
      <c r="BF55" s="901"/>
      <c r="BG55" s="712"/>
      <c r="BH55" s="712"/>
      <c r="BI55" s="712"/>
      <c r="BJ55" s="712"/>
      <c r="BK55" s="712"/>
      <c r="BL55" s="712"/>
      <c r="BM55" s="901"/>
      <c r="BN55" s="901"/>
      <c r="BO55" s="901"/>
      <c r="BP55" s="712"/>
      <c r="BQ55" s="712"/>
      <c r="BR55" s="712"/>
      <c r="BS55" s="712"/>
      <c r="BT55" s="712"/>
      <c r="BU55" s="712"/>
      <c r="BV55" s="901"/>
      <c r="BW55" s="901"/>
      <c r="BX55" s="901"/>
      <c r="BY55" s="712"/>
      <c r="BZ55" s="712"/>
      <c r="CA55" s="712"/>
      <c r="CB55" s="712"/>
      <c r="CC55" s="712"/>
      <c r="CD55" s="712"/>
      <c r="CE55" s="901"/>
      <c r="CF55" s="901"/>
      <c r="CG55" s="901"/>
      <c r="CH55" s="712"/>
      <c r="CI55" s="712"/>
      <c r="CJ55" s="712"/>
      <c r="CK55" s="712"/>
      <c r="CL55" s="712"/>
      <c r="CM55" s="712"/>
      <c r="CN55" s="901"/>
      <c r="CO55" s="901"/>
      <c r="CP55" s="901"/>
      <c r="CQ55" s="712"/>
      <c r="CR55" s="712"/>
      <c r="CS55" s="756"/>
      <c r="CT55" s="712"/>
      <c r="CU55" s="712"/>
      <c r="CV55" s="753"/>
      <c r="CW55" s="901"/>
      <c r="CX55" s="901"/>
      <c r="CY55" s="901"/>
      <c r="CZ55" s="712"/>
      <c r="DA55" s="712"/>
      <c r="DB55" s="756"/>
      <c r="DC55" s="712"/>
      <c r="DD55" s="712"/>
      <c r="DE55" s="712"/>
      <c r="DF55" s="901"/>
      <c r="DG55" s="901"/>
      <c r="DH55" s="901"/>
      <c r="DI55" s="712"/>
      <c r="DJ55" s="712"/>
      <c r="DK55" s="756"/>
      <c r="DL55" s="712"/>
      <c r="DM55" s="712"/>
      <c r="DN55" s="712"/>
      <c r="DO55" s="712"/>
      <c r="DP55" s="706"/>
      <c r="DQ55" s="712"/>
      <c r="DR55" s="712"/>
    </row>
    <row r="56" spans="3:123" s="665" customFormat="1" ht="14.15" customHeight="1" thickBot="1">
      <c r="C56" s="762" t="s">
        <v>120</v>
      </c>
      <c r="D56" s="763"/>
      <c r="E56" s="763"/>
      <c r="F56" s="762"/>
      <c r="G56" s="763"/>
      <c r="H56" s="764">
        <f>+H42+H54</f>
        <v>64353</v>
      </c>
      <c r="I56" s="765"/>
      <c r="J56" s="656"/>
      <c r="K56" s="764">
        <f>+K42+K54</f>
        <v>156321.63</v>
      </c>
      <c r="L56" s="764">
        <f>+L42+L54</f>
        <v>4950.0001000000002</v>
      </c>
      <c r="M56" s="764">
        <f>+M42+M54</f>
        <v>161271.63010000001</v>
      </c>
      <c r="N56" s="764">
        <f>+N42+N54</f>
        <v>164053</v>
      </c>
      <c r="O56" s="764">
        <f>+O42+O54</f>
        <v>-2781.3698999999988</v>
      </c>
      <c r="P56" s="656"/>
      <c r="Q56" s="764">
        <f t="shared" ref="Q56:X56" si="168">+Q42+Q54</f>
        <v>161271.63010000001</v>
      </c>
      <c r="R56" s="764">
        <f>+R42+R54</f>
        <v>164053</v>
      </c>
      <c r="S56" s="764">
        <f t="shared" si="168"/>
        <v>-2781.3698999999988</v>
      </c>
      <c r="T56" s="764">
        <f t="shared" si="168"/>
        <v>161577.39000000001</v>
      </c>
      <c r="U56" s="764">
        <f t="shared" si="168"/>
        <v>1E-4</v>
      </c>
      <c r="V56" s="764">
        <f>+V42+V54</f>
        <v>161577.39009999999</v>
      </c>
      <c r="W56" s="764">
        <f t="shared" si="168"/>
        <v>164053</v>
      </c>
      <c r="X56" s="764">
        <f t="shared" si="168"/>
        <v>-2475.6098999999986</v>
      </c>
      <c r="Y56" s="756"/>
      <c r="Z56" s="764">
        <f t="shared" ref="Z56:AG56" si="169">+Z42+Z54</f>
        <v>322849.02020000003</v>
      </c>
      <c r="AA56" s="764">
        <f t="shared" si="169"/>
        <v>328106</v>
      </c>
      <c r="AB56" s="764">
        <f t="shared" si="169"/>
        <v>-5256.9797999999973</v>
      </c>
      <c r="AC56" s="764">
        <f t="shared" si="169"/>
        <v>161796.14000000001</v>
      </c>
      <c r="AD56" s="764">
        <f t="shared" si="169"/>
        <v>1E-4</v>
      </c>
      <c r="AE56" s="764">
        <f>+AE42+AE54</f>
        <v>161796.14009999999</v>
      </c>
      <c r="AF56" s="764">
        <f t="shared" si="169"/>
        <v>164272</v>
      </c>
      <c r="AG56" s="764">
        <f t="shared" si="169"/>
        <v>-2475.8598999999986</v>
      </c>
      <c r="AH56" s="733"/>
      <c r="AI56" s="764">
        <f t="shared" ref="AI56:AP56" si="170">+AI42+AI54</f>
        <v>484645.16030000005</v>
      </c>
      <c r="AJ56" s="764">
        <f t="shared" si="170"/>
        <v>492378</v>
      </c>
      <c r="AK56" s="764">
        <f t="shared" si="170"/>
        <v>-7732.839699999995</v>
      </c>
      <c r="AL56" s="764">
        <f t="shared" si="170"/>
        <v>161796.14000000001</v>
      </c>
      <c r="AM56" s="764">
        <f t="shared" si="170"/>
        <v>1E-4</v>
      </c>
      <c r="AN56" s="764">
        <f>+AN42+AN54</f>
        <v>161796.14009999999</v>
      </c>
      <c r="AO56" s="764">
        <f t="shared" si="170"/>
        <v>164272</v>
      </c>
      <c r="AP56" s="764">
        <f t="shared" si="170"/>
        <v>-2475.8598999999986</v>
      </c>
      <c r="AQ56" s="712"/>
      <c r="AR56" s="764">
        <f t="shared" ref="AR56:AY56" si="171">+AR42+AR54</f>
        <v>646441.30039999995</v>
      </c>
      <c r="AS56" s="764">
        <f t="shared" si="171"/>
        <v>656650</v>
      </c>
      <c r="AT56" s="764">
        <f t="shared" si="171"/>
        <v>-10208.699599999996</v>
      </c>
      <c r="AU56" s="764">
        <f t="shared" si="171"/>
        <v>161796.14000000001</v>
      </c>
      <c r="AV56" s="764">
        <f t="shared" si="171"/>
        <v>-17165.509899999997</v>
      </c>
      <c r="AW56" s="764">
        <f>+AW42+AW54</f>
        <v>144630.63010000001</v>
      </c>
      <c r="AX56" s="764">
        <f t="shared" si="171"/>
        <v>164272</v>
      </c>
      <c r="AY56" s="764">
        <f t="shared" si="171"/>
        <v>-19641.369899999998</v>
      </c>
      <c r="AZ56" s="756"/>
      <c r="BA56" s="764">
        <f t="shared" ref="BA56:BH56" si="172">+BA42+BA54</f>
        <v>791071.9304999999</v>
      </c>
      <c r="BB56" s="764">
        <f t="shared" si="172"/>
        <v>820922</v>
      </c>
      <c r="BC56" s="764">
        <f t="shared" si="172"/>
        <v>-29850.069499999998</v>
      </c>
      <c r="BD56" s="764">
        <f t="shared" si="172"/>
        <v>132433.20000000001</v>
      </c>
      <c r="BE56" s="764">
        <f t="shared" si="172"/>
        <v>44911.000099999997</v>
      </c>
      <c r="BF56" s="764">
        <f>+BF42+BF54</f>
        <v>177344.20010000002</v>
      </c>
      <c r="BG56" s="764">
        <f t="shared" si="172"/>
        <v>169913</v>
      </c>
      <c r="BH56" s="764">
        <f t="shared" si="172"/>
        <v>7431.2001</v>
      </c>
      <c r="BI56" s="764"/>
      <c r="BJ56" s="764">
        <f t="shared" ref="BJ56:BQ56" si="173">+BJ42+BJ54</f>
        <v>968416.13060000003</v>
      </c>
      <c r="BK56" s="764">
        <f t="shared" si="173"/>
        <v>990835</v>
      </c>
      <c r="BL56" s="764">
        <f t="shared" si="173"/>
        <v>-22418.869400000003</v>
      </c>
      <c r="BM56" s="764">
        <f t="shared" si="173"/>
        <v>162848.44</v>
      </c>
      <c r="BN56" s="764">
        <f t="shared" si="173"/>
        <v>2990.5701000000004</v>
      </c>
      <c r="BO56" s="764">
        <f>+BO42+BO54</f>
        <v>165839.01009999998</v>
      </c>
      <c r="BP56" s="764">
        <f t="shared" si="173"/>
        <v>169913</v>
      </c>
      <c r="BQ56" s="764">
        <f t="shared" si="173"/>
        <v>-4073.9898999999996</v>
      </c>
      <c r="BR56" s="764"/>
      <c r="BS56" s="764">
        <f t="shared" ref="BS56:BZ56" si="174">+BS42+BS54</f>
        <v>1134255.1406999999</v>
      </c>
      <c r="BT56" s="764">
        <f t="shared" si="174"/>
        <v>1160748</v>
      </c>
      <c r="BU56" s="764">
        <f t="shared" si="174"/>
        <v>-26492.859300000022</v>
      </c>
      <c r="BV56" s="764">
        <f t="shared" si="174"/>
        <v>167164.18</v>
      </c>
      <c r="BW56" s="764">
        <f t="shared" si="174"/>
        <v>-4096.9998999999998</v>
      </c>
      <c r="BX56" s="764">
        <f>+BX42+BX54</f>
        <v>163067.1801</v>
      </c>
      <c r="BY56" s="764">
        <f t="shared" si="174"/>
        <v>169913</v>
      </c>
      <c r="BZ56" s="764">
        <f t="shared" si="174"/>
        <v>-6845.8198999999995</v>
      </c>
      <c r="CA56" s="712"/>
      <c r="CB56" s="764">
        <f t="shared" ref="CB56:CI56" si="175">+CB42+CB54</f>
        <v>1297322.3207999999</v>
      </c>
      <c r="CC56" s="764">
        <f t="shared" si="175"/>
        <v>1330661</v>
      </c>
      <c r="CD56" s="764">
        <f t="shared" si="175"/>
        <v>-33338.679200000013</v>
      </c>
      <c r="CE56" s="764">
        <f t="shared" si="175"/>
        <v>162848.44</v>
      </c>
      <c r="CF56" s="764">
        <f t="shared" si="175"/>
        <v>219.0001</v>
      </c>
      <c r="CG56" s="764">
        <f>+CG42+CG54</f>
        <v>163067.44010000001</v>
      </c>
      <c r="CH56" s="764">
        <f t="shared" si="175"/>
        <v>169913</v>
      </c>
      <c r="CI56" s="764">
        <f t="shared" si="175"/>
        <v>-6845.5598999999993</v>
      </c>
      <c r="CJ56" s="764"/>
      <c r="CK56" s="764">
        <f t="shared" ref="CK56:CR56" si="176">+CK42+CK54</f>
        <v>1460389.7609000001</v>
      </c>
      <c r="CL56" s="764">
        <f t="shared" si="176"/>
        <v>1500574</v>
      </c>
      <c r="CM56" s="764">
        <f t="shared" si="176"/>
        <v>-40184.239100000006</v>
      </c>
      <c r="CN56" s="764">
        <f t="shared" si="176"/>
        <v>157008.24</v>
      </c>
      <c r="CO56" s="764">
        <f t="shared" si="176"/>
        <v>3139.1001000000001</v>
      </c>
      <c r="CP56" s="764">
        <f>+CP42+CP54</f>
        <v>160147.3401</v>
      </c>
      <c r="CQ56" s="764">
        <f t="shared" si="176"/>
        <v>169913</v>
      </c>
      <c r="CR56" s="764">
        <f t="shared" si="176"/>
        <v>-9765.6598999999987</v>
      </c>
      <c r="CS56" s="756"/>
      <c r="CT56" s="764">
        <f t="shared" ref="CT56:DA56" si="177">+CT42+CT54</f>
        <v>1620537.1009999998</v>
      </c>
      <c r="CU56" s="764">
        <f t="shared" si="177"/>
        <v>1670487</v>
      </c>
      <c r="CV56" s="764">
        <f t="shared" si="177"/>
        <v>-49949.898999999976</v>
      </c>
      <c r="CW56" s="764">
        <f t="shared" si="177"/>
        <v>161480.84</v>
      </c>
      <c r="CX56" s="764">
        <f t="shared" si="177"/>
        <v>902.55010000000016</v>
      </c>
      <c r="CY56" s="764">
        <f>+CY42+CY54</f>
        <v>162383.39009999999</v>
      </c>
      <c r="CZ56" s="764">
        <f t="shared" si="177"/>
        <v>169914</v>
      </c>
      <c r="DA56" s="764">
        <f t="shared" si="177"/>
        <v>-7530.6098999999986</v>
      </c>
      <c r="DB56" s="756"/>
      <c r="DC56" s="764">
        <f t="shared" ref="DC56:DJ56" si="178">+DC42+DC54</f>
        <v>1782920.4911</v>
      </c>
      <c r="DD56" s="764">
        <f t="shared" si="178"/>
        <v>1840401</v>
      </c>
      <c r="DE56" s="764">
        <f t="shared" si="178"/>
        <v>-57480.508899999957</v>
      </c>
      <c r="DF56" s="764">
        <f t="shared" si="178"/>
        <v>195889.95999999996</v>
      </c>
      <c r="DG56" s="764">
        <f t="shared" si="178"/>
        <v>3870.4001000000003</v>
      </c>
      <c r="DH56" s="764">
        <f>+DH42+DH54</f>
        <v>199760.36009999996</v>
      </c>
      <c r="DI56" s="764">
        <f t="shared" si="178"/>
        <v>170518</v>
      </c>
      <c r="DJ56" s="764">
        <f t="shared" si="178"/>
        <v>29242.360099999998</v>
      </c>
      <c r="DK56" s="756"/>
      <c r="DL56" s="764">
        <f>+DL42+DL54</f>
        <v>1982680.8511999999</v>
      </c>
      <c r="DM56" s="764">
        <f>+DM42+DM54</f>
        <v>2010919</v>
      </c>
      <c r="DN56" s="764">
        <f>+DN42+DN54</f>
        <v>-28238.148799999966</v>
      </c>
      <c r="DQ56" s="764">
        <f>+DQ42+DQ54</f>
        <v>2010919</v>
      </c>
      <c r="DR56" s="764">
        <f>+DR42+DR54</f>
        <v>-28236</v>
      </c>
    </row>
    <row r="57" spans="3:123" s="665" customFormat="1" ht="14.15" customHeight="1" thickTop="1">
      <c r="D57" s="664"/>
      <c r="E57" s="664"/>
      <c r="G57" s="664"/>
      <c r="J57" s="656"/>
      <c r="K57" s="901"/>
      <c r="L57" s="901"/>
      <c r="M57" s="734"/>
      <c r="N57" s="734"/>
      <c r="P57" s="656"/>
      <c r="V57" s="734"/>
      <c r="W57" s="734"/>
      <c r="Y57" s="756"/>
      <c r="AE57" s="734"/>
      <c r="AF57" s="734"/>
      <c r="AH57" s="733"/>
      <c r="AI57" s="734"/>
      <c r="AJ57" s="734"/>
      <c r="AN57" s="734"/>
      <c r="AO57" s="734"/>
      <c r="AQ57" s="712"/>
      <c r="AR57" s="734"/>
      <c r="AS57" s="734"/>
      <c r="AW57" s="734"/>
      <c r="AX57" s="734"/>
      <c r="AZ57" s="756"/>
      <c r="BF57" s="734"/>
      <c r="BG57" s="734"/>
      <c r="BJ57" s="734"/>
      <c r="BK57" s="734"/>
      <c r="BO57" s="734"/>
      <c r="BP57" s="734"/>
      <c r="BS57" s="734"/>
      <c r="BT57" s="734"/>
      <c r="BX57" s="734"/>
      <c r="BY57" s="734"/>
      <c r="CA57" s="712"/>
      <c r="CG57" s="734"/>
      <c r="CH57" s="734"/>
      <c r="CK57" s="734"/>
      <c r="CL57" s="734"/>
      <c r="CP57" s="734"/>
      <c r="CQ57" s="734"/>
      <c r="CS57" s="756"/>
      <c r="CY57" s="734"/>
      <c r="CZ57" s="734"/>
      <c r="DB57" s="756"/>
      <c r="DC57" s="734"/>
      <c r="DD57" s="734"/>
      <c r="DH57" s="734"/>
      <c r="DI57" s="734"/>
      <c r="DK57" s="756"/>
      <c r="DL57" s="734"/>
      <c r="DM57" s="734"/>
      <c r="DQ57" s="734"/>
      <c r="DR57" s="734"/>
    </row>
  </sheetData>
  <mergeCells count="51">
    <mergeCell ref="N2:O2"/>
    <mergeCell ref="C11:E11"/>
    <mergeCell ref="F11:H11"/>
    <mergeCell ref="M11:O11"/>
    <mergeCell ref="Q11:S11"/>
    <mergeCell ref="W2:X2"/>
    <mergeCell ref="Z2:AA2"/>
    <mergeCell ref="AF2:AG2"/>
    <mergeCell ref="AI2:AJ2"/>
    <mergeCell ref="Q2:R2"/>
    <mergeCell ref="BJ11:BL11"/>
    <mergeCell ref="V11:X11"/>
    <mergeCell ref="BF11:BH11"/>
    <mergeCell ref="AW11:AY11"/>
    <mergeCell ref="BA11:BC11"/>
    <mergeCell ref="AR11:AT11"/>
    <mergeCell ref="Z11:AB11"/>
    <mergeCell ref="AE11:AG11"/>
    <mergeCell ref="AI11:AK11"/>
    <mergeCell ref="CG11:CI11"/>
    <mergeCell ref="BO11:BQ11"/>
    <mergeCell ref="BS11:BU11"/>
    <mergeCell ref="AN11:AP11"/>
    <mergeCell ref="CB2:CC2"/>
    <mergeCell ref="AR2:AS2"/>
    <mergeCell ref="AO2:AP2"/>
    <mergeCell ref="BG2:BH2"/>
    <mergeCell ref="BJ2:BK2"/>
    <mergeCell ref="BS2:BT2"/>
    <mergeCell ref="BP2:BQ2"/>
    <mergeCell ref="BY2:BZ2"/>
    <mergeCell ref="BX11:BZ11"/>
    <mergeCell ref="BA2:BB2"/>
    <mergeCell ref="CB11:CD11"/>
    <mergeCell ref="AX2:AY2"/>
    <mergeCell ref="CK2:CL2"/>
    <mergeCell ref="CH2:CI2"/>
    <mergeCell ref="CK11:CM11"/>
    <mergeCell ref="DQ11:DS11"/>
    <mergeCell ref="CQ2:CR2"/>
    <mergeCell ref="DH11:DJ11"/>
    <mergeCell ref="DL11:DN11"/>
    <mergeCell ref="DI2:DJ2"/>
    <mergeCell ref="CT2:CU2"/>
    <mergeCell ref="DL2:DM2"/>
    <mergeCell ref="CZ2:DA2"/>
    <mergeCell ref="CY11:DA11"/>
    <mergeCell ref="CT11:CV11"/>
    <mergeCell ref="DC2:DD2"/>
    <mergeCell ref="CP11:CR11"/>
    <mergeCell ref="DC11:DE11"/>
  </mergeCells>
  <phoneticPr fontId="0" type="noConversion"/>
  <pageMargins left="0.2" right="0.24" top="0.63" bottom="0.66" header="0.5" footer="0.5"/>
  <pageSetup paperSize="5" scale="12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DS57"/>
  <sheetViews>
    <sheetView zoomScale="85" zoomScaleNormal="100" workbookViewId="0">
      <pane xSplit="8" ySplit="13" topLeftCell="J14" activePane="bottomRight" state="frozen"/>
      <selection pane="topRight" activeCell="B18" sqref="B18"/>
      <selection pane="bottomLeft" activeCell="B18" sqref="B18"/>
      <selection pane="bottomRight" activeCell="B18" sqref="B18"/>
    </sheetView>
  </sheetViews>
  <sheetFormatPr defaultColWidth="9.1796875" defaultRowHeight="12.5" outlineLevelCol="1"/>
  <cols>
    <col min="1" max="1" width="5.81640625" style="656" customWidth="1"/>
    <col min="2" max="2" width="15.1796875" style="656" hidden="1" customWidth="1"/>
    <col min="3" max="3" width="35.54296875" style="656" customWidth="1"/>
    <col min="4" max="4" width="12" style="656" customWidth="1"/>
    <col min="5" max="5" width="12.54296875" style="656" customWidth="1"/>
    <col min="6" max="6" width="11.54296875" style="656" customWidth="1"/>
    <col min="7" max="7" width="9.1796875" style="657"/>
    <col min="8" max="8" width="12.7265625" style="656" customWidth="1"/>
    <col min="9" max="9" width="12.26953125" style="656" hidden="1" customWidth="1" outlineLevel="1"/>
    <col min="10" max="10" width="2.54296875" style="656" customWidth="1" collapsed="1"/>
    <col min="11" max="12" width="12.7265625" style="901" hidden="1" customWidth="1"/>
    <col min="13" max="15" width="12.7265625" style="656" hidden="1" customWidth="1"/>
    <col min="16" max="16" width="3.7265625" style="656" hidden="1" customWidth="1"/>
    <col min="17" max="18" width="12.7265625" style="656" hidden="1" customWidth="1"/>
    <col min="19" max="21" width="12.81640625" style="656" hidden="1" customWidth="1"/>
    <col min="22" max="22" width="12.7265625" style="656" hidden="1" customWidth="1" collapsed="1"/>
    <col min="23" max="24" width="12.7265625" style="656" hidden="1" customWidth="1"/>
    <col min="25" max="25" width="3.26953125" style="656" hidden="1" customWidth="1"/>
    <col min="26" max="33" width="12.7265625" style="656" hidden="1" customWidth="1"/>
    <col min="34" max="34" width="3.26953125" style="656" hidden="1" customWidth="1"/>
    <col min="35" max="40" width="12.7265625" style="656" hidden="1" customWidth="1"/>
    <col min="41" max="41" width="12.453125" style="656" hidden="1" customWidth="1"/>
    <col min="42" max="42" width="12.7265625" style="656" hidden="1" customWidth="1"/>
    <col min="43" max="43" width="3.26953125" style="656" hidden="1" customWidth="1"/>
    <col min="44" max="45" width="12.7265625" style="656" hidden="1" customWidth="1"/>
    <col min="46" max="48" width="11.81640625" style="656" hidden="1" customWidth="1"/>
    <col min="49" max="49" width="12.7265625" style="656" hidden="1" customWidth="1" collapsed="1"/>
    <col min="50" max="51" width="12.7265625" style="656" hidden="1" customWidth="1"/>
    <col min="52" max="52" width="3.26953125" style="656" hidden="1" customWidth="1"/>
    <col min="53" max="54" width="12.7265625" style="656" hidden="1" customWidth="1"/>
    <col min="55" max="57" width="13.54296875" style="656" hidden="1" customWidth="1"/>
    <col min="58" max="58" width="12.7265625" style="656" hidden="1" customWidth="1" collapsed="1"/>
    <col min="59" max="60" width="12.7265625" style="656" hidden="1" customWidth="1"/>
    <col min="61" max="61" width="3.26953125" style="656" hidden="1" customWidth="1"/>
    <col min="62" max="69" width="12.7265625" style="656" hidden="1" customWidth="1"/>
    <col min="70" max="70" width="3.26953125" style="656" hidden="1" customWidth="1"/>
    <col min="71" max="72" width="12.7265625" style="656" hidden="1" customWidth="1"/>
    <col min="73" max="75" width="14.1796875" style="656" hidden="1" customWidth="1"/>
    <col min="76" max="76" width="12.7265625" style="656" hidden="1" customWidth="1" collapsed="1"/>
    <col min="77" max="77" width="12.81640625" style="656" hidden="1" customWidth="1"/>
    <col min="78" max="78" width="12.7265625" style="656" hidden="1" customWidth="1"/>
    <col min="79" max="79" width="3.26953125" style="656" hidden="1" customWidth="1"/>
    <col min="80" max="84" width="12.7265625" style="656" hidden="1" customWidth="1"/>
    <col min="85" max="85" width="12.7265625" style="656" hidden="1" customWidth="1" collapsed="1"/>
    <col min="86" max="87" width="12.7265625" style="656" hidden="1" customWidth="1"/>
    <col min="88" max="88" width="3.26953125" style="656" hidden="1" customWidth="1"/>
    <col min="89" max="90" width="12.7265625" style="656" hidden="1" customWidth="1"/>
    <col min="91" max="93" width="13.54296875" style="656" hidden="1" customWidth="1"/>
    <col min="94" max="94" width="12.7265625" style="656" hidden="1" customWidth="1" collapsed="1"/>
    <col min="95" max="96" width="12.7265625" style="656" hidden="1" customWidth="1"/>
    <col min="97" max="97" width="3.26953125" style="656" hidden="1" customWidth="1"/>
    <col min="98" max="99" width="12.7265625" style="656" hidden="1" customWidth="1"/>
    <col min="100" max="102" width="13.54296875" style="656" hidden="1" customWidth="1"/>
    <col min="103" max="103" width="12.7265625" style="656" hidden="1" customWidth="1" collapsed="1"/>
    <col min="104" max="104" width="13.26953125" style="656" hidden="1" customWidth="1"/>
    <col min="105" max="105" width="12.7265625" style="656" hidden="1" customWidth="1"/>
    <col min="106" max="106" width="3.26953125" style="656" hidden="1" customWidth="1"/>
    <col min="107" max="108" width="12.7265625" style="656" hidden="1" customWidth="1"/>
    <col min="109" max="111" width="13.54296875" style="656" hidden="1" customWidth="1"/>
    <col min="112" max="112" width="12.7265625" style="656" customWidth="1" collapsed="1"/>
    <col min="113" max="114" width="12.7265625" style="656" customWidth="1"/>
    <col min="115" max="115" width="3.26953125" style="656" customWidth="1"/>
    <col min="116" max="117" width="12.7265625" style="656" customWidth="1"/>
    <col min="118" max="118" width="13.54296875" style="656" customWidth="1"/>
    <col min="119" max="119" width="56.26953125" style="656" customWidth="1" collapsed="1"/>
    <col min="120" max="120" width="3.26953125" style="656" customWidth="1"/>
    <col min="121" max="121" width="13.26953125" style="656" hidden="1" customWidth="1"/>
    <col min="122" max="122" width="13.7265625" style="656" hidden="1" customWidth="1"/>
    <col min="123" max="123" width="56.26953125" style="656" hidden="1" customWidth="1"/>
    <col min="124" max="16384" width="9.1796875" style="656"/>
  </cols>
  <sheetData>
    <row r="1" spans="1:123" ht="13" thickBot="1">
      <c r="N1" s="658">
        <f>+$M$10</f>
        <v>1</v>
      </c>
      <c r="O1" s="658">
        <f>+$M$10+0.1</f>
        <v>1.1000000000000001</v>
      </c>
      <c r="Q1" s="658">
        <f>+$M$10+0.2</f>
        <v>1.2</v>
      </c>
      <c r="R1" s="658">
        <f>+$M$10+0.3</f>
        <v>1.3</v>
      </c>
      <c r="W1" s="658">
        <f>+$V$10</f>
        <v>2</v>
      </c>
      <c r="X1" s="658">
        <f>+$V$10+0.1</f>
        <v>2.1</v>
      </c>
      <c r="Y1" s="659"/>
      <c r="Z1" s="658">
        <f>+$V$10+0.2</f>
        <v>2.2000000000000002</v>
      </c>
      <c r="AA1" s="658">
        <f>+$V$10+0.3</f>
        <v>2.2999999999999998</v>
      </c>
      <c r="AF1" s="658">
        <f>+$AE$10</f>
        <v>3</v>
      </c>
      <c r="AG1" s="658">
        <f>+$AE$10+0.1</f>
        <v>3.1</v>
      </c>
      <c r="AH1" s="659"/>
      <c r="AI1" s="658">
        <f>+$AE$10+0.2</f>
        <v>3.2</v>
      </c>
      <c r="AJ1" s="658">
        <f>+$AE$10+0.3</f>
        <v>3.3</v>
      </c>
      <c r="AO1" s="658">
        <f>+$AN$10</f>
        <v>4</v>
      </c>
      <c r="AP1" s="658">
        <f>+$AN$10+0.1</f>
        <v>4.0999999999999996</v>
      </c>
      <c r="AQ1" s="659"/>
      <c r="AR1" s="658">
        <f>+$AN$10+0.2</f>
        <v>4.2</v>
      </c>
      <c r="AS1" s="658">
        <f>+$AN$10+0.3</f>
        <v>4.3</v>
      </c>
      <c r="AX1" s="658">
        <f>+$AW$10</f>
        <v>5</v>
      </c>
      <c r="AY1" s="658">
        <f>+$AW$10+0.1</f>
        <v>5.0999999999999996</v>
      </c>
      <c r="AZ1" s="659"/>
      <c r="BA1" s="658">
        <f>+$AW$10+0.2</f>
        <v>5.2</v>
      </c>
      <c r="BB1" s="658">
        <f>+$AW$10+0.3</f>
        <v>5.3</v>
      </c>
      <c r="BG1" s="658">
        <f>+$BF$10</f>
        <v>6</v>
      </c>
      <c r="BH1" s="658">
        <f>+$BF$10+0.1</f>
        <v>6.1</v>
      </c>
      <c r="BI1" s="659"/>
      <c r="BJ1" s="658">
        <f>+$BF$10+0.2</f>
        <v>6.2</v>
      </c>
      <c r="BK1" s="658">
        <f>+$BF$10+0.3</f>
        <v>6.3</v>
      </c>
      <c r="BP1" s="658">
        <f>+$BO$10</f>
        <v>7</v>
      </c>
      <c r="BQ1" s="658">
        <f>+$BO$10+0.1</f>
        <v>7.1</v>
      </c>
      <c r="BR1" s="659"/>
      <c r="BS1" s="658">
        <f>+$BO$10+0.2</f>
        <v>7.2</v>
      </c>
      <c r="BT1" s="658">
        <f>+$BO$10+0.3</f>
        <v>7.3</v>
      </c>
      <c r="BY1" s="660">
        <f>+$BX$10</f>
        <v>8</v>
      </c>
      <c r="BZ1" s="658">
        <f>+$BX$10+0.1</f>
        <v>8.1</v>
      </c>
      <c r="CA1" s="659"/>
      <c r="CB1" s="658">
        <f>+$BX$10+0.2</f>
        <v>8.1999999999999993</v>
      </c>
      <c r="CC1" s="658">
        <f>+$BX$10+0.3</f>
        <v>8.3000000000000007</v>
      </c>
      <c r="CH1" s="660">
        <f>+$CG$10</f>
        <v>9</v>
      </c>
      <c r="CI1" s="658">
        <f>+$CG$10+0.1</f>
        <v>9.1</v>
      </c>
      <c r="CJ1" s="659"/>
      <c r="CK1" s="658">
        <f>+$CG$10+0.2</f>
        <v>9.1999999999999993</v>
      </c>
      <c r="CL1" s="658">
        <f>+$CG$10+0.3</f>
        <v>9.3000000000000007</v>
      </c>
      <c r="CQ1" s="660">
        <f>+$CP$10</f>
        <v>10</v>
      </c>
      <c r="CR1" s="661">
        <f>+CQ1+0.1</f>
        <v>10.1</v>
      </c>
      <c r="CS1" s="659"/>
      <c r="CT1" s="661">
        <f>+CQ1+0.2</f>
        <v>10.199999999999999</v>
      </c>
      <c r="CU1" s="661">
        <f>+CQ1+0.3</f>
        <v>10.3</v>
      </c>
      <c r="CZ1" s="660">
        <v>11</v>
      </c>
      <c r="DA1" s="661">
        <v>11.1</v>
      </c>
      <c r="DB1" s="659"/>
      <c r="DC1" s="661">
        <v>11.2</v>
      </c>
      <c r="DD1" s="661">
        <v>11.3</v>
      </c>
      <c r="DI1" s="660">
        <v>12</v>
      </c>
      <c r="DJ1" s="661">
        <v>12.1</v>
      </c>
      <c r="DK1" s="659"/>
      <c r="DL1" s="661">
        <v>12.2</v>
      </c>
      <c r="DM1" s="661">
        <v>12.3</v>
      </c>
      <c r="DO1" s="662"/>
      <c r="DP1" s="662"/>
      <c r="DQ1" s="662"/>
    </row>
    <row r="2" spans="1:123" ht="15.5">
      <c r="C2" s="663" t="str">
        <f>+'Review Comments'!B11</f>
        <v>ABI PROPERTIES</v>
      </c>
      <c r="G2" s="664"/>
      <c r="I2" s="665"/>
      <c r="J2" s="665"/>
      <c r="K2" s="902"/>
      <c r="L2" s="902"/>
      <c r="N2" s="1128" t="s">
        <v>14</v>
      </c>
      <c r="O2" s="1129"/>
      <c r="Q2" s="1128" t="s">
        <v>15</v>
      </c>
      <c r="R2" s="1129"/>
      <c r="W2" s="1128" t="s">
        <v>14</v>
      </c>
      <c r="X2" s="1129"/>
      <c r="Y2" s="659"/>
      <c r="Z2" s="1128" t="s">
        <v>15</v>
      </c>
      <c r="AA2" s="1129"/>
      <c r="AF2" s="1128" t="s">
        <v>14</v>
      </c>
      <c r="AG2" s="1129"/>
      <c r="AH2" s="659"/>
      <c r="AI2" s="1128" t="s">
        <v>15</v>
      </c>
      <c r="AJ2" s="1129"/>
      <c r="AO2" s="1128" t="s">
        <v>14</v>
      </c>
      <c r="AP2" s="1129"/>
      <c r="AQ2" s="659"/>
      <c r="AR2" s="1128" t="s">
        <v>15</v>
      </c>
      <c r="AS2" s="1129"/>
      <c r="AX2" s="1128" t="s">
        <v>14</v>
      </c>
      <c r="AY2" s="1129"/>
      <c r="AZ2" s="659"/>
      <c r="BA2" s="1128" t="s">
        <v>15</v>
      </c>
      <c r="BB2" s="1129"/>
      <c r="BG2" s="1128" t="s">
        <v>14</v>
      </c>
      <c r="BH2" s="1129"/>
      <c r="BI2" s="659"/>
      <c r="BJ2" s="1128" t="s">
        <v>15</v>
      </c>
      <c r="BK2" s="1129"/>
      <c r="BP2" s="1128" t="s">
        <v>14</v>
      </c>
      <c r="BQ2" s="1129"/>
      <c r="BR2" s="659"/>
      <c r="BS2" s="1128" t="s">
        <v>15</v>
      </c>
      <c r="BT2" s="1129"/>
      <c r="BY2" s="1128" t="s">
        <v>14</v>
      </c>
      <c r="BZ2" s="1129"/>
      <c r="CA2" s="659"/>
      <c r="CB2" s="1128" t="s">
        <v>15</v>
      </c>
      <c r="CC2" s="1129"/>
      <c r="CH2" s="1128" t="s">
        <v>14</v>
      </c>
      <c r="CI2" s="1129"/>
      <c r="CJ2" s="659"/>
      <c r="CK2" s="1128" t="s">
        <v>15</v>
      </c>
      <c r="CL2" s="1129"/>
      <c r="CQ2" s="1128" t="s">
        <v>14</v>
      </c>
      <c r="CR2" s="1129"/>
      <c r="CS2" s="659"/>
      <c r="CT2" s="1128" t="s">
        <v>15</v>
      </c>
      <c r="CU2" s="1129"/>
      <c r="CZ2" s="1128" t="s">
        <v>14</v>
      </c>
      <c r="DA2" s="1129"/>
      <c r="DB2" s="659"/>
      <c r="DC2" s="1128" t="s">
        <v>15</v>
      </c>
      <c r="DD2" s="1129"/>
      <c r="DI2" s="1128" t="s">
        <v>14</v>
      </c>
      <c r="DJ2" s="1129"/>
      <c r="DK2" s="659"/>
      <c r="DL2" s="1128" t="s">
        <v>15</v>
      </c>
      <c r="DM2" s="1129"/>
    </row>
    <row r="3" spans="1:123" s="666" customFormat="1" ht="15.5">
      <c r="C3" s="667" t="s">
        <v>16</v>
      </c>
      <c r="I3" s="668"/>
      <c r="J3" s="668"/>
      <c r="K3" s="903"/>
      <c r="L3" s="903"/>
      <c r="N3" s="669" t="s">
        <v>17</v>
      </c>
      <c r="O3" s="670" t="s">
        <v>18</v>
      </c>
      <c r="P3" s="656"/>
      <c r="Q3" s="669" t="s">
        <v>17</v>
      </c>
      <c r="R3" s="670" t="s">
        <v>18</v>
      </c>
      <c r="W3" s="669" t="s">
        <v>17</v>
      </c>
      <c r="X3" s="670" t="s">
        <v>18</v>
      </c>
      <c r="Y3" s="659"/>
      <c r="Z3" s="669" t="s">
        <v>17</v>
      </c>
      <c r="AA3" s="670" t="s">
        <v>18</v>
      </c>
      <c r="AF3" s="669" t="s">
        <v>17</v>
      </c>
      <c r="AG3" s="670" t="s">
        <v>18</v>
      </c>
      <c r="AH3" s="659"/>
      <c r="AI3" s="669" t="s">
        <v>17</v>
      </c>
      <c r="AJ3" s="670" t="s">
        <v>18</v>
      </c>
      <c r="AO3" s="669" t="s">
        <v>17</v>
      </c>
      <c r="AP3" s="670" t="s">
        <v>18</v>
      </c>
      <c r="AQ3" s="659"/>
      <c r="AR3" s="669" t="s">
        <v>17</v>
      </c>
      <c r="AS3" s="670" t="s">
        <v>18</v>
      </c>
      <c r="AX3" s="671" t="s">
        <v>17</v>
      </c>
      <c r="AY3" s="670" t="s">
        <v>18</v>
      </c>
      <c r="AZ3" s="659"/>
      <c r="BA3" s="671" t="s">
        <v>17</v>
      </c>
      <c r="BB3" s="670" t="s">
        <v>18</v>
      </c>
      <c r="BG3" s="671" t="s">
        <v>17</v>
      </c>
      <c r="BH3" s="670" t="s">
        <v>18</v>
      </c>
      <c r="BI3" s="659"/>
      <c r="BJ3" s="671" t="s">
        <v>17</v>
      </c>
      <c r="BK3" s="670" t="s">
        <v>18</v>
      </c>
      <c r="BP3" s="671" t="s">
        <v>17</v>
      </c>
      <c r="BQ3" s="670" t="s">
        <v>18</v>
      </c>
      <c r="BR3" s="659"/>
      <c r="BS3" s="671" t="s">
        <v>17</v>
      </c>
      <c r="BT3" s="670" t="s">
        <v>18</v>
      </c>
      <c r="BY3" s="671" t="s">
        <v>17</v>
      </c>
      <c r="BZ3" s="670" t="s">
        <v>18</v>
      </c>
      <c r="CA3" s="659"/>
      <c r="CB3" s="671" t="s">
        <v>17</v>
      </c>
      <c r="CC3" s="670" t="s">
        <v>18</v>
      </c>
      <c r="CH3" s="671" t="s">
        <v>17</v>
      </c>
      <c r="CI3" s="670" t="s">
        <v>18</v>
      </c>
      <c r="CJ3" s="659"/>
      <c r="CK3" s="671" t="s">
        <v>17</v>
      </c>
      <c r="CL3" s="670" t="s">
        <v>18</v>
      </c>
      <c r="CQ3" s="671" t="s">
        <v>17</v>
      </c>
      <c r="CR3" s="670" t="s">
        <v>18</v>
      </c>
      <c r="CS3" s="659"/>
      <c r="CT3" s="671" t="s">
        <v>17</v>
      </c>
      <c r="CU3" s="670" t="s">
        <v>18</v>
      </c>
      <c r="CZ3" s="671" t="s">
        <v>17</v>
      </c>
      <c r="DA3" s="670" t="s">
        <v>18</v>
      </c>
      <c r="DB3" s="659"/>
      <c r="DC3" s="671" t="s">
        <v>17</v>
      </c>
      <c r="DD3" s="670" t="s">
        <v>18</v>
      </c>
      <c r="DI3" s="671" t="s">
        <v>17</v>
      </c>
      <c r="DJ3" s="670" t="s">
        <v>18</v>
      </c>
      <c r="DK3" s="659"/>
      <c r="DL3" s="671" t="s">
        <v>17</v>
      </c>
      <c r="DM3" s="670" t="s">
        <v>18</v>
      </c>
    </row>
    <row r="4" spans="1:123" s="666" customFormat="1" ht="15.5">
      <c r="C4" s="667" t="s">
        <v>121</v>
      </c>
      <c r="J4" s="666" t="s">
        <v>20</v>
      </c>
      <c r="K4" s="904"/>
      <c r="L4" s="904"/>
      <c r="N4" s="672">
        <f>'Inline Rates'!J3</f>
        <v>12056</v>
      </c>
      <c r="O4" s="673">
        <f>+'Inline Rates'!J14</f>
        <v>63153</v>
      </c>
      <c r="P4" s="656"/>
      <c r="Q4" s="674">
        <f>'Inline Rates'!K3</f>
        <v>12056</v>
      </c>
      <c r="R4" s="673">
        <f>+O4</f>
        <v>63153</v>
      </c>
      <c r="W4" s="672">
        <f>+'Inline Rates'!P3</f>
        <v>12056</v>
      </c>
      <c r="X4" s="673">
        <f>+'Inline Rates'!P14</f>
        <v>63153</v>
      </c>
      <c r="Y4" s="659"/>
      <c r="Z4" s="672">
        <f>+'Inline Rates'!Q3/2</f>
        <v>12056</v>
      </c>
      <c r="AA4" s="673">
        <f>('Inline Rates'!P18)/2</f>
        <v>63153</v>
      </c>
      <c r="AF4" s="672">
        <f>+'Inline Rates'!V3</f>
        <v>12056</v>
      </c>
      <c r="AG4" s="673">
        <f>+'Inline Rates'!V14</f>
        <v>63153</v>
      </c>
      <c r="AH4" s="659"/>
      <c r="AI4" s="674">
        <f>+'Inline Rates'!W3/3</f>
        <v>12056</v>
      </c>
      <c r="AJ4" s="673">
        <f>('Inline Rates'!V18)/3</f>
        <v>63153</v>
      </c>
      <c r="AO4" s="672">
        <f>+'Inline Rates'!AB3</f>
        <v>12056</v>
      </c>
      <c r="AP4" s="673">
        <f>+'Inline Rates'!AB14</f>
        <v>63153</v>
      </c>
      <c r="AQ4" s="659"/>
      <c r="AR4" s="674">
        <f>+'Inline Rates'!AC3/4</f>
        <v>12056</v>
      </c>
      <c r="AS4" s="673">
        <f>('Inline Rates'!AB18)/4</f>
        <v>63153</v>
      </c>
      <c r="AX4" s="672">
        <f>+'Inline Rates'!AH3</f>
        <v>12056</v>
      </c>
      <c r="AY4" s="675">
        <f>+'Inline Rates'!AH14</f>
        <v>63153</v>
      </c>
      <c r="AZ4" s="659"/>
      <c r="BA4" s="672">
        <f>+'Inline Rates'!AI3/5</f>
        <v>12056</v>
      </c>
      <c r="BB4" s="673">
        <f>('Inline Rates'!AH18)/5</f>
        <v>63153</v>
      </c>
      <c r="BG4" s="672">
        <f>+'Inline Rates'!AN3</f>
        <v>12056</v>
      </c>
      <c r="BH4" s="675">
        <f>+'Inline Rates'!AN14</f>
        <v>63153</v>
      </c>
      <c r="BI4" s="659"/>
      <c r="BJ4" s="672">
        <f>+'Inline Rates'!AO3/6</f>
        <v>12056</v>
      </c>
      <c r="BK4" s="673">
        <f>('Inline Rates'!AN18)/6</f>
        <v>63153</v>
      </c>
      <c r="BP4" s="672">
        <f>+'Inline Rates'!AT3</f>
        <v>12056</v>
      </c>
      <c r="BQ4" s="895">
        <f>+'Inline Rates'!AT14</f>
        <v>63153</v>
      </c>
      <c r="BR4" s="659"/>
      <c r="BS4" s="676">
        <f>+'Inline Rates'!AU3/7</f>
        <v>12056</v>
      </c>
      <c r="BT4" s="673">
        <f>('Inline Rates'!AT18)/7</f>
        <v>63153</v>
      </c>
      <c r="BY4" s="672">
        <f>+'Inline Rates'!AZ3</f>
        <v>12056</v>
      </c>
      <c r="BZ4" s="895">
        <f>+'Inline Rates'!AZ14</f>
        <v>63153</v>
      </c>
      <c r="CA4" s="659"/>
      <c r="CB4" s="898">
        <f>+'Inline Rates'!BA3/8</f>
        <v>12056</v>
      </c>
      <c r="CC4" s="673">
        <f>('Inline Rates'!AZ18)/8</f>
        <v>63153</v>
      </c>
      <c r="CH4" s="677">
        <f>+'Inline Rates'!BF3</f>
        <v>12056</v>
      </c>
      <c r="CI4" s="675">
        <f>+'Inline Rates'!BF14</f>
        <v>63153</v>
      </c>
      <c r="CJ4" s="659"/>
      <c r="CK4" s="676">
        <f>+'Inline Rates'!BG3/9</f>
        <v>12056</v>
      </c>
      <c r="CL4" s="673">
        <f>('Inline Rates'!BF18)/9</f>
        <v>63153</v>
      </c>
      <c r="CQ4" s="676">
        <f>+'Inline Rates'!BL3</f>
        <v>12056</v>
      </c>
      <c r="CR4" s="675">
        <f>+'Inline Rates'!BL14</f>
        <v>63153</v>
      </c>
      <c r="CS4" s="659"/>
      <c r="CT4" s="676">
        <f>+'Inline Rates'!BM3/10</f>
        <v>12056</v>
      </c>
      <c r="CU4" s="673">
        <f>('Inline Rates'!BL18)/10</f>
        <v>63153</v>
      </c>
      <c r="CZ4" s="672">
        <f>+'Inline Rates'!BR3</f>
        <v>12056</v>
      </c>
      <c r="DA4" s="673">
        <f>+'Inline Rates'!BR14</f>
        <v>63153</v>
      </c>
      <c r="DB4" s="659"/>
      <c r="DC4" s="676">
        <f>+'Inline Rates'!BS3/11</f>
        <v>12056</v>
      </c>
      <c r="DD4" s="673">
        <f>('Inline Rates'!BR18)/11</f>
        <v>63153</v>
      </c>
      <c r="DI4" s="672">
        <f>+'Inline Rates'!BX3</f>
        <v>12056</v>
      </c>
      <c r="DJ4" s="673">
        <f>+'Inline Rates'!BX14</f>
        <v>63153</v>
      </c>
      <c r="DK4" s="659"/>
      <c r="DL4" s="676">
        <f>+'Inline Rates'!BY3/12</f>
        <v>12056</v>
      </c>
      <c r="DM4" s="673">
        <f>('Inline Rates'!BX18)/12</f>
        <v>63153</v>
      </c>
    </row>
    <row r="5" spans="1:123" s="666" customFormat="1">
      <c r="H5" s="678"/>
      <c r="J5" s="678" t="s">
        <v>21</v>
      </c>
      <c r="K5" s="905"/>
      <c r="L5" s="905"/>
      <c r="N5" s="679">
        <f>'Inline Rates'!J4-N4</f>
        <v>1200</v>
      </c>
      <c r="O5" s="680">
        <f>+'Inline Rates'!K14-O4</f>
        <v>1200</v>
      </c>
      <c r="P5" s="656"/>
      <c r="Q5" s="681">
        <f>'Inline Rates'!K4-Q4</f>
        <v>1200</v>
      </c>
      <c r="R5" s="682">
        <f>+O5</f>
        <v>1200</v>
      </c>
      <c r="W5" s="681">
        <f>'Inline Rates'!P4-W4</f>
        <v>1200</v>
      </c>
      <c r="X5" s="680">
        <f>+'Inline Rates'!Q14-'Min Rent Forecast'!X4</f>
        <v>1200</v>
      </c>
      <c r="Y5" s="659"/>
      <c r="Z5" s="681">
        <f>+'Inline Rates'!Q4/2-Z4</f>
        <v>1200</v>
      </c>
      <c r="AA5" s="682">
        <f>(('Inline Rates'!Q18)/2)-AA4</f>
        <v>1200</v>
      </c>
      <c r="AF5" s="681">
        <f>'Inline Rates'!V4-AF4</f>
        <v>1200</v>
      </c>
      <c r="AG5" s="680">
        <f>+'Inline Rates'!W14-AG4</f>
        <v>1200</v>
      </c>
      <c r="AH5" s="659"/>
      <c r="AI5" s="681">
        <f>+'Inline Rates'!W4/3-AI4</f>
        <v>1200</v>
      </c>
      <c r="AJ5" s="682">
        <f>(('Inline Rates'!W18)/3)-AJ4</f>
        <v>1200</v>
      </c>
      <c r="AO5" s="679">
        <f>+'Inline Rates'!AB4-AO4</f>
        <v>1200</v>
      </c>
      <c r="AP5" s="680">
        <f>+'Inline Rates'!AC14-AP4</f>
        <v>1200</v>
      </c>
      <c r="AQ5" s="659"/>
      <c r="AR5" s="681">
        <f>+'Inline Rates'!AC4/4-AR4</f>
        <v>1200</v>
      </c>
      <c r="AS5" s="682">
        <f>(('Inline Rates'!AC18)/4)-AS4</f>
        <v>1200</v>
      </c>
      <c r="AX5" s="679">
        <f>+'Inline Rates'!AH4-AX4</f>
        <v>1200</v>
      </c>
      <c r="AY5" s="683">
        <f>+'Inline Rates'!AI14-AY4</f>
        <v>1200</v>
      </c>
      <c r="AZ5" s="659"/>
      <c r="BA5" s="679">
        <f>+'Inline Rates'!AI4/5-BA4</f>
        <v>1200</v>
      </c>
      <c r="BB5" s="682">
        <f>(('Inline Rates'!AI18)/5)-BB4</f>
        <v>1200</v>
      </c>
      <c r="BG5" s="679">
        <f>+'Inline Rates'!AN4-BG4</f>
        <v>1200</v>
      </c>
      <c r="BH5" s="683">
        <f>+'Inline Rates'!AO14-BH4</f>
        <v>1200</v>
      </c>
      <c r="BI5" s="659"/>
      <c r="BJ5" s="679">
        <f>+'Inline Rates'!AO4/6-BJ4</f>
        <v>1200</v>
      </c>
      <c r="BK5" s="682">
        <f>(('Inline Rates'!AO18)/6)-BK4</f>
        <v>1200</v>
      </c>
      <c r="BP5" s="679">
        <f>+'Inline Rates'!AT4-BP4</f>
        <v>1200</v>
      </c>
      <c r="BQ5" s="896">
        <f>+'Inline Rates'!AU14-BQ4</f>
        <v>1200</v>
      </c>
      <c r="BR5" s="659"/>
      <c r="BS5" s="684">
        <f>+'Inline Rates'!AU4/7-BS4</f>
        <v>1200</v>
      </c>
      <c r="BT5" s="682">
        <f>(('Inline Rates'!AU18)/7)-BT4</f>
        <v>1200</v>
      </c>
      <c r="BY5" s="679">
        <f>+'Inline Rates'!AZ4-BY4</f>
        <v>1200</v>
      </c>
      <c r="BZ5" s="896">
        <f>+'Inline Rates'!BA14-BZ4</f>
        <v>1200</v>
      </c>
      <c r="CA5" s="659"/>
      <c r="CB5" s="899">
        <f>+'Inline Rates'!BA4/8-CB4</f>
        <v>1200</v>
      </c>
      <c r="CC5" s="897">
        <f>(('Inline Rates'!BA18)/8)-CC4</f>
        <v>1200</v>
      </c>
      <c r="CH5" s="685">
        <f>+'Inline Rates'!BF4-CH4</f>
        <v>1200</v>
      </c>
      <c r="CI5" s="683">
        <f>+'Inline Rates'!BG14-CI4</f>
        <v>1200</v>
      </c>
      <c r="CJ5" s="659"/>
      <c r="CK5" s="684">
        <f>+'Inline Rates'!BG4/9-CK4</f>
        <v>1200</v>
      </c>
      <c r="CL5" s="682">
        <f>(('Inline Rates'!BG18)/9)-CL4</f>
        <v>1200</v>
      </c>
      <c r="CQ5" s="684">
        <f>+'Inline Rates'!BL4-CQ4</f>
        <v>1200</v>
      </c>
      <c r="CR5" s="683">
        <f>+'Inline Rates'!BM14-CR4</f>
        <v>1200</v>
      </c>
      <c r="CS5" s="659"/>
      <c r="CT5" s="900">
        <f>+'Inline Rates'!BM4/10-'Min Rent Forecast'!CT4</f>
        <v>1200</v>
      </c>
      <c r="CU5" s="897">
        <f>(('Inline Rates'!BM18)/10)-CU4</f>
        <v>1200</v>
      </c>
      <c r="CZ5" s="679">
        <f>+'Inline Rates'!BR4-CZ4</f>
        <v>1200</v>
      </c>
      <c r="DA5" s="896">
        <f>+'Inline Rates'!BS14-DA4</f>
        <v>1200</v>
      </c>
      <c r="DB5" s="659"/>
      <c r="DC5" s="684">
        <f>+'Inline Rates'!BS4/11-DC4</f>
        <v>1200</v>
      </c>
      <c r="DD5" s="682">
        <f>(('Inline Rates'!BS18)/11)-DD4</f>
        <v>1200</v>
      </c>
      <c r="DI5" s="679">
        <f>+'Inline Rates'!BX4-DI4</f>
        <v>1200</v>
      </c>
      <c r="DJ5" s="682">
        <f>+'Inline Rates'!BY14-DJ4</f>
        <v>1200</v>
      </c>
      <c r="DK5" s="659"/>
      <c r="DL5" s="684">
        <f>+'Inline Rates'!BY4/12-DL4</f>
        <v>1200</v>
      </c>
      <c r="DM5" s="682">
        <f>(('Inline Rates'!BY18)/12)-DM4</f>
        <v>1200</v>
      </c>
    </row>
    <row r="6" spans="1:123" s="686" customFormat="1" ht="13">
      <c r="H6" s="687"/>
      <c r="J6" s="687" t="s">
        <v>22</v>
      </c>
      <c r="K6" s="906"/>
      <c r="L6" s="906"/>
      <c r="N6" s="688">
        <f>SUM(N4:N5)</f>
        <v>13256</v>
      </c>
      <c r="O6" s="689">
        <f>SUM(O4:O5)</f>
        <v>64353</v>
      </c>
      <c r="P6" s="656"/>
      <c r="Q6" s="690">
        <f>SUM(Q4:Q5)</f>
        <v>13256</v>
      </c>
      <c r="R6" s="689">
        <f>SUM(R4:R5)</f>
        <v>64353</v>
      </c>
      <c r="W6" s="690">
        <f>SUM(W4:W5)</f>
        <v>13256</v>
      </c>
      <c r="X6" s="689">
        <f>SUM(X4:X5)</f>
        <v>64353</v>
      </c>
      <c r="Y6" s="659"/>
      <c r="Z6" s="690">
        <f>SUM(Z4:Z5)</f>
        <v>13256</v>
      </c>
      <c r="AA6" s="689">
        <f>SUM(AA4:AA5)</f>
        <v>64353</v>
      </c>
      <c r="AF6" s="690">
        <f>SUM(AF4:AF5)</f>
        <v>13256</v>
      </c>
      <c r="AG6" s="689">
        <f>SUM(AG4:AG5)</f>
        <v>64353</v>
      </c>
      <c r="AH6" s="659"/>
      <c r="AI6" s="690">
        <f>SUM(AI4:AI5)</f>
        <v>13256</v>
      </c>
      <c r="AJ6" s="693">
        <f>SUM(AJ4:AJ5)</f>
        <v>64353</v>
      </c>
      <c r="AO6" s="690">
        <f>SUM(AO4:AO5)</f>
        <v>13256</v>
      </c>
      <c r="AP6" s="689">
        <f>SUM(AP4:AP5)</f>
        <v>64353</v>
      </c>
      <c r="AQ6" s="659"/>
      <c r="AR6" s="690">
        <f>SUM(AR4:AR5)</f>
        <v>13256</v>
      </c>
      <c r="AS6" s="689">
        <f>SUM(AS4:AS5)</f>
        <v>64353</v>
      </c>
      <c r="AX6" s="690">
        <f>SUM(AX4:AX5)</f>
        <v>13256</v>
      </c>
      <c r="AY6" s="691">
        <f>SUM(AY4:AY5)</f>
        <v>64353</v>
      </c>
      <c r="AZ6" s="659"/>
      <c r="BA6" s="690">
        <f>SUM(BA4:BA5)</f>
        <v>13256</v>
      </c>
      <c r="BB6" s="691">
        <f>SUM(BB4:BB5)</f>
        <v>64353</v>
      </c>
      <c r="BG6" s="690">
        <f>SUM(BG4:BG5)</f>
        <v>13256</v>
      </c>
      <c r="BH6" s="691">
        <f>SUM(BH4:BH5)</f>
        <v>64353</v>
      </c>
      <c r="BI6" s="659"/>
      <c r="BJ6" s="690">
        <f>SUM(BJ4:BJ5)</f>
        <v>13256</v>
      </c>
      <c r="BK6" s="691">
        <f>SUM(BK4:BK5)</f>
        <v>64353</v>
      </c>
      <c r="BP6" s="690">
        <f>SUM(BP4:BP5)</f>
        <v>13256</v>
      </c>
      <c r="BQ6" s="693">
        <f>SUM(BQ4:BQ5)</f>
        <v>64353</v>
      </c>
      <c r="BR6" s="659"/>
      <c r="BS6" s="690">
        <f>SUM(BS4:BS5)</f>
        <v>13256</v>
      </c>
      <c r="BT6" s="693">
        <f>SUM(BT4:BT5)</f>
        <v>64353</v>
      </c>
      <c r="BY6" s="690">
        <f>SUM(BY4:BY5)</f>
        <v>13256</v>
      </c>
      <c r="BZ6" s="693">
        <f>SUM(BZ4:BZ5)</f>
        <v>64353</v>
      </c>
      <c r="CA6" s="659"/>
      <c r="CB6" s="690">
        <f>SUM(CB4:CB5)</f>
        <v>13256</v>
      </c>
      <c r="CC6" s="693">
        <f>SUM(CC4:CC5)</f>
        <v>64353</v>
      </c>
      <c r="CH6" s="692">
        <f>SUM(CH4:CH5)</f>
        <v>13256</v>
      </c>
      <c r="CI6" s="691">
        <f>SUM(CI4:CI5)</f>
        <v>64353</v>
      </c>
      <c r="CJ6" s="659"/>
      <c r="CK6" s="690">
        <f>SUM(CK4:CK5)</f>
        <v>13256</v>
      </c>
      <c r="CL6" s="691">
        <f>SUM(CL4:CL5)</f>
        <v>64353</v>
      </c>
      <c r="CQ6" s="690">
        <f>SUM(CQ4:CQ5)</f>
        <v>13256</v>
      </c>
      <c r="CR6" s="691">
        <f>SUM(CR4:CR5)</f>
        <v>64353</v>
      </c>
      <c r="CS6" s="659"/>
      <c r="CT6" s="690">
        <f>SUM(CT4:CT5)</f>
        <v>13256</v>
      </c>
      <c r="CU6" s="693">
        <f>SUM(CU4:CU5)</f>
        <v>64353</v>
      </c>
      <c r="CZ6" s="690">
        <f>SUM(CZ4:CZ5)</f>
        <v>13256</v>
      </c>
      <c r="DA6" s="693">
        <f>SUM(DA4:DA5)</f>
        <v>64353</v>
      </c>
      <c r="DB6" s="659"/>
      <c r="DC6" s="690">
        <f>SUM(DC4:DC5)</f>
        <v>13256</v>
      </c>
      <c r="DD6" s="693">
        <f>SUM(DD4:DD5)</f>
        <v>64353</v>
      </c>
      <c r="DI6" s="690">
        <f>SUM(DI4:DI5)</f>
        <v>13256</v>
      </c>
      <c r="DJ6" s="693">
        <f>SUM(DJ4:DJ5)</f>
        <v>64353</v>
      </c>
      <c r="DK6" s="659"/>
      <c r="DL6" s="690">
        <f>SUM(DL4:DL5)</f>
        <v>13256</v>
      </c>
      <c r="DM6" s="693">
        <f>SUM(DM4:DM5)</f>
        <v>64353</v>
      </c>
    </row>
    <row r="7" spans="1:123" s="694" customFormat="1" ht="13">
      <c r="I7" s="695" t="s">
        <v>23</v>
      </c>
      <c r="J7" s="696" t="s">
        <v>24</v>
      </c>
      <c r="K7" s="907"/>
      <c r="L7" s="907"/>
      <c r="M7" s="695"/>
      <c r="N7" s="697">
        <f>+N4/N6</f>
        <v>0.90947495473747741</v>
      </c>
      <c r="O7" s="698">
        <f>+O4/O6</f>
        <v>0.98135285068295186</v>
      </c>
      <c r="P7" s="656"/>
      <c r="Q7" s="697">
        <f>+Q4/Q6</f>
        <v>0.90947495473747741</v>
      </c>
      <c r="R7" s="698">
        <f>+R4/R6</f>
        <v>0.98135285068295186</v>
      </c>
      <c r="W7" s="697">
        <f>+W4/W6</f>
        <v>0.90947495473747741</v>
      </c>
      <c r="X7" s="698">
        <f>+X4/X6</f>
        <v>0.98135285068295186</v>
      </c>
      <c r="Y7" s="699"/>
      <c r="Z7" s="697">
        <f>+Z4/Z6</f>
        <v>0.90947495473747741</v>
      </c>
      <c r="AA7" s="698">
        <f>+AA4/AA6</f>
        <v>0.98135285068295186</v>
      </c>
      <c r="AF7" s="697">
        <f>+AF4/AF6</f>
        <v>0.90947495473747741</v>
      </c>
      <c r="AG7" s="698">
        <f>+AG4/AG6</f>
        <v>0.98135285068295186</v>
      </c>
      <c r="AH7" s="699"/>
      <c r="AI7" s="697">
        <f>+AI4/AI6</f>
        <v>0.90947495473747741</v>
      </c>
      <c r="AJ7" s="698">
        <f>+AJ4/AJ6</f>
        <v>0.98135285068295186</v>
      </c>
      <c r="AO7" s="697">
        <f>+AO4/AO6</f>
        <v>0.90947495473747741</v>
      </c>
      <c r="AP7" s="698">
        <f>+AP4/AP6</f>
        <v>0.98135285068295186</v>
      </c>
      <c r="AQ7" s="699"/>
      <c r="AR7" s="697">
        <f>+AR4/AR6</f>
        <v>0.90947495473747741</v>
      </c>
      <c r="AS7" s="698">
        <f>+AS4/AS6</f>
        <v>0.98135285068295186</v>
      </c>
      <c r="AX7" s="697">
        <f>+AX4/AX6</f>
        <v>0.90947495473747741</v>
      </c>
      <c r="AY7" s="700">
        <f>+AY4/AY6</f>
        <v>0.98135285068295186</v>
      </c>
      <c r="AZ7" s="699"/>
      <c r="BA7" s="697">
        <f>+BA4/BA6</f>
        <v>0.90947495473747741</v>
      </c>
      <c r="BB7" s="700">
        <f>+BB4/BB6</f>
        <v>0.98135285068295186</v>
      </c>
      <c r="BG7" s="697">
        <f>+BG4/BG6</f>
        <v>0.90947495473747741</v>
      </c>
      <c r="BH7" s="700">
        <f>+BH4/BH6</f>
        <v>0.98135285068295186</v>
      </c>
      <c r="BI7" s="699"/>
      <c r="BJ7" s="697">
        <f>+BJ4/BJ6</f>
        <v>0.90947495473747741</v>
      </c>
      <c r="BK7" s="700">
        <f>+BK4/BK6</f>
        <v>0.98135285068295186</v>
      </c>
      <c r="BP7" s="697">
        <f>+BP4/BP6</f>
        <v>0.90947495473747741</v>
      </c>
      <c r="BQ7" s="698">
        <f>+BQ4/BQ6</f>
        <v>0.98135285068295186</v>
      </c>
      <c r="BR7" s="699"/>
      <c r="BS7" s="697">
        <f>+BS4/BS6</f>
        <v>0.90947495473747741</v>
      </c>
      <c r="BT7" s="698">
        <f>+BT4/BT6</f>
        <v>0.98135285068295186</v>
      </c>
      <c r="BY7" s="697">
        <f>+BY4/BY6</f>
        <v>0.90947495473747741</v>
      </c>
      <c r="BZ7" s="698">
        <f>+BZ4/BZ6</f>
        <v>0.98135285068295186</v>
      </c>
      <c r="CA7" s="699"/>
      <c r="CB7" s="697">
        <f>+CB4/CB6</f>
        <v>0.90947495473747741</v>
      </c>
      <c r="CC7" s="698">
        <f>+CC4/CC6</f>
        <v>0.98135285068295186</v>
      </c>
      <c r="CH7" s="697">
        <f>+CH4/CH6</f>
        <v>0.90947495473747741</v>
      </c>
      <c r="CI7" s="698">
        <f>+CI4/CI6</f>
        <v>0.98135285068295186</v>
      </c>
      <c r="CJ7" s="699"/>
      <c r="CK7" s="697">
        <f>+CK4/CK6</f>
        <v>0.90947495473747741</v>
      </c>
      <c r="CL7" s="698">
        <f>+CL4/CL6</f>
        <v>0.98135285068295186</v>
      </c>
      <c r="CQ7" s="697">
        <f>+CQ4/CQ6</f>
        <v>0.90947495473747741</v>
      </c>
      <c r="CR7" s="698">
        <f>+CR4/CR6</f>
        <v>0.98135285068295186</v>
      </c>
      <c r="CS7" s="699"/>
      <c r="CT7" s="697">
        <f>+CT4/CT6</f>
        <v>0.90947495473747741</v>
      </c>
      <c r="CU7" s="698">
        <f>+CU4/CU6</f>
        <v>0.98135285068295186</v>
      </c>
      <c r="CZ7" s="697">
        <f>+CZ4/CZ6</f>
        <v>0.90947495473747741</v>
      </c>
      <c r="DA7" s="698">
        <f>+DA4/DA6</f>
        <v>0.98135285068295186</v>
      </c>
      <c r="DB7" s="659"/>
      <c r="DC7" s="697">
        <f>+DC4/DC6</f>
        <v>0.90947495473747741</v>
      </c>
      <c r="DD7" s="698">
        <f>+DD4/DD6</f>
        <v>0.98135285068295186</v>
      </c>
      <c r="DI7" s="697">
        <f>+DI4/DI6</f>
        <v>0.90947495473747741</v>
      </c>
      <c r="DJ7" s="698">
        <f>+DJ4/DJ6</f>
        <v>0.98135285068295186</v>
      </c>
      <c r="DK7" s="659"/>
      <c r="DL7" s="697">
        <f>+DL4/DL6</f>
        <v>0.90947495473747741</v>
      </c>
      <c r="DM7" s="698">
        <f>+DM4/DM6</f>
        <v>0.98135285068295186</v>
      </c>
    </row>
    <row r="8" spans="1:123" s="701" customFormat="1" ht="13.5" thickBot="1">
      <c r="F8" s="702"/>
      <c r="G8" s="703"/>
      <c r="H8" s="704"/>
      <c r="I8" s="705"/>
      <c r="J8" s="706" t="s">
        <v>25</v>
      </c>
      <c r="K8" s="908"/>
      <c r="L8" s="908"/>
      <c r="M8" s="705"/>
      <c r="N8" s="707">
        <f>'Inline Rates'!J8</f>
        <v>52.953931751824811</v>
      </c>
      <c r="O8" s="708" t="s">
        <v>26</v>
      </c>
      <c r="P8" s="656"/>
      <c r="Q8" s="709">
        <f>'Inline Rates'!K8</f>
        <v>52.953931751824811</v>
      </c>
      <c r="R8" s="708" t="s">
        <v>26</v>
      </c>
      <c r="W8" s="707">
        <f>+'Inline Rates'!P8</f>
        <v>52.953931751824811</v>
      </c>
      <c r="X8" s="708" t="s">
        <v>26</v>
      </c>
      <c r="Y8" s="659"/>
      <c r="Z8" s="707">
        <f>+'Inline Rates'!Q8</f>
        <v>52.953931751824811</v>
      </c>
      <c r="AA8" s="708" t="s">
        <v>26</v>
      </c>
      <c r="AF8" s="707">
        <f>+'Inline Rates'!V8</f>
        <v>53.17166566025216</v>
      </c>
      <c r="AG8" s="708" t="s">
        <v>26</v>
      </c>
      <c r="AH8" s="659"/>
      <c r="AI8" s="707">
        <f>+'Inline Rates'!W8</f>
        <v>53.026509721300599</v>
      </c>
      <c r="AJ8" s="708" t="s">
        <v>26</v>
      </c>
      <c r="AO8" s="707">
        <f>+'Inline Rates'!AB8</f>
        <v>53.17166566025216</v>
      </c>
      <c r="AP8" s="708" t="s">
        <v>26</v>
      </c>
      <c r="AQ8" s="659"/>
      <c r="AR8" s="709">
        <f>+'Inline Rates'!AC8</f>
        <v>53.062798706038485</v>
      </c>
      <c r="AS8" s="708" t="s">
        <v>26</v>
      </c>
      <c r="AX8" s="707">
        <f>+'Inline Rates'!AH8</f>
        <v>49.305955640345061</v>
      </c>
      <c r="AY8" s="708" t="s">
        <v>26</v>
      </c>
      <c r="AZ8" s="659"/>
      <c r="BA8" s="707">
        <f>+'Inline Rates'!AI8</f>
        <v>49.667418812209689</v>
      </c>
      <c r="BB8" s="708" t="s">
        <v>26</v>
      </c>
      <c r="BG8" s="707">
        <f>+'Inline Rates'!AN8</f>
        <v>48.775351791639018</v>
      </c>
      <c r="BH8" s="708" t="s">
        <v>26</v>
      </c>
      <c r="BI8" s="659"/>
      <c r="BJ8" s="707">
        <f>+'Inline Rates'!AO8</f>
        <v>51.943863735899136</v>
      </c>
      <c r="BK8" s="708" t="s">
        <v>26</v>
      </c>
      <c r="BP8" s="707">
        <f>+'Inline Rates'!AT8</f>
        <v>54.436811645653606</v>
      </c>
      <c r="BQ8" s="708" t="s">
        <v>26</v>
      </c>
      <c r="BR8" s="659"/>
      <c r="BS8" s="710">
        <f>+'Inline Rates'!AU8</f>
        <v>52.69409859228363</v>
      </c>
      <c r="BT8" s="708" t="s">
        <v>26</v>
      </c>
      <c r="BY8" s="707">
        <f>+'Inline Rates'!AZ8</f>
        <v>54.436811645653606</v>
      </c>
      <c r="BZ8" s="708" t="s">
        <v>26</v>
      </c>
      <c r="CA8" s="659"/>
      <c r="CB8" s="709">
        <f>+'Inline Rates'!BA8</f>
        <v>52.911937723954871</v>
      </c>
      <c r="CC8" s="708" t="s">
        <v>26</v>
      </c>
      <c r="CH8" s="707">
        <f>+'Inline Rates'!BF8</f>
        <v>54.436811645653606</v>
      </c>
      <c r="CI8" s="708" t="s">
        <v>26</v>
      </c>
      <c r="CJ8" s="659"/>
      <c r="CK8" s="709">
        <f>+'Inline Rates'!BG8</f>
        <v>53.081368159699181</v>
      </c>
      <c r="CL8" s="708" t="s">
        <v>26</v>
      </c>
      <c r="CQ8" s="709">
        <f>+'Inline Rates'!BL8</f>
        <v>53.227455308560053</v>
      </c>
      <c r="CR8" s="708" t="s">
        <v>26</v>
      </c>
      <c r="CS8" s="659"/>
      <c r="CT8" s="709">
        <f>+'Inline Rates'!BM8</f>
        <v>52.926258891838089</v>
      </c>
      <c r="CU8" s="708" t="s">
        <v>26</v>
      </c>
      <c r="CZ8" s="707">
        <f>+'Inline Rates'!BR8</f>
        <v>53.227455308560053</v>
      </c>
      <c r="DA8" s="708" t="s">
        <v>26</v>
      </c>
      <c r="DB8" s="659"/>
      <c r="DC8" s="709">
        <f>+'Inline Rates'!BS8</f>
        <v>52.946736239971045</v>
      </c>
      <c r="DD8" s="708" t="s">
        <v>26</v>
      </c>
      <c r="DI8" s="709">
        <f>+'Inline Rates'!BX8</f>
        <v>51.291489814200389</v>
      </c>
      <c r="DJ8" s="708" t="s">
        <v>26</v>
      </c>
      <c r="DK8" s="659"/>
      <c r="DL8" s="709">
        <f>+'Inline Rates'!BY8</f>
        <v>52.256343828798933</v>
      </c>
      <c r="DM8" s="708" t="s">
        <v>26</v>
      </c>
    </row>
    <row r="9" spans="1:123">
      <c r="Y9" s="659"/>
      <c r="AH9" s="659"/>
      <c r="AI9" s="711"/>
      <c r="AQ9" s="659"/>
      <c r="AZ9" s="659"/>
      <c r="BI9" s="659"/>
      <c r="BR9" s="659"/>
      <c r="CA9" s="659"/>
      <c r="CJ9" s="659"/>
      <c r="CK9" s="712"/>
      <c r="CS9" s="659"/>
      <c r="DB9" s="659"/>
      <c r="DK9" s="659"/>
    </row>
    <row r="10" spans="1:123" ht="13" thickBot="1">
      <c r="I10" s="656">
        <v>12</v>
      </c>
      <c r="M10" s="713">
        <v>1</v>
      </c>
      <c r="N10" s="713"/>
      <c r="V10" s="713">
        <v>2</v>
      </c>
      <c r="AE10" s="713">
        <v>3</v>
      </c>
      <c r="AN10" s="713">
        <v>4</v>
      </c>
      <c r="AW10" s="713">
        <v>5</v>
      </c>
      <c r="BF10" s="713">
        <v>6</v>
      </c>
      <c r="BO10" s="713">
        <v>7</v>
      </c>
      <c r="BX10" s="713">
        <v>8</v>
      </c>
      <c r="CG10" s="713">
        <v>9</v>
      </c>
      <c r="CP10" s="713">
        <v>10</v>
      </c>
      <c r="CY10" s="713">
        <v>11</v>
      </c>
      <c r="DH10" s="713">
        <v>12</v>
      </c>
    </row>
    <row r="11" spans="1:123" ht="13">
      <c r="C11" s="1131" t="s">
        <v>27</v>
      </c>
      <c r="D11" s="1132"/>
      <c r="E11" s="1132"/>
      <c r="F11" s="1128" t="s">
        <v>28</v>
      </c>
      <c r="G11" s="1130"/>
      <c r="H11" s="1129"/>
      <c r="I11" s="714"/>
      <c r="K11" s="909" t="s">
        <v>29</v>
      </c>
      <c r="L11" s="909" t="s">
        <v>29</v>
      </c>
      <c r="M11" s="1128" t="s">
        <v>30</v>
      </c>
      <c r="N11" s="1130"/>
      <c r="O11" s="1129"/>
      <c r="Q11" s="1128" t="s">
        <v>31</v>
      </c>
      <c r="R11" s="1130"/>
      <c r="S11" s="1129"/>
      <c r="T11" s="909" t="s">
        <v>32</v>
      </c>
      <c r="U11" s="909" t="s">
        <v>32</v>
      </c>
      <c r="V11" s="1128" t="s">
        <v>33</v>
      </c>
      <c r="W11" s="1130"/>
      <c r="X11" s="1129"/>
      <c r="Z11" s="1128" t="s">
        <v>31</v>
      </c>
      <c r="AA11" s="1130"/>
      <c r="AB11" s="1129"/>
      <c r="AC11" s="909" t="s">
        <v>34</v>
      </c>
      <c r="AD11" s="909" t="s">
        <v>34</v>
      </c>
      <c r="AE11" s="1128" t="s">
        <v>35</v>
      </c>
      <c r="AF11" s="1130"/>
      <c r="AG11" s="1129"/>
      <c r="AI11" s="1128" t="s">
        <v>31</v>
      </c>
      <c r="AJ11" s="1130"/>
      <c r="AK11" s="1129"/>
      <c r="AL11" s="909" t="s">
        <v>36</v>
      </c>
      <c r="AM11" s="909" t="s">
        <v>36</v>
      </c>
      <c r="AN11" s="1128" t="s">
        <v>37</v>
      </c>
      <c r="AO11" s="1130"/>
      <c r="AP11" s="1129"/>
      <c r="AR11" s="1128" t="s">
        <v>31</v>
      </c>
      <c r="AS11" s="1130"/>
      <c r="AT11" s="1129"/>
      <c r="AU11" s="909" t="s">
        <v>38</v>
      </c>
      <c r="AV11" s="909" t="s">
        <v>38</v>
      </c>
      <c r="AW11" s="1128" t="s">
        <v>39</v>
      </c>
      <c r="AX11" s="1130"/>
      <c r="AY11" s="1129"/>
      <c r="BA11" s="1128" t="s">
        <v>31</v>
      </c>
      <c r="BB11" s="1130"/>
      <c r="BC11" s="1129"/>
      <c r="BD11" s="909" t="s">
        <v>40</v>
      </c>
      <c r="BE11" s="909" t="s">
        <v>40</v>
      </c>
      <c r="BF11" s="1128" t="s">
        <v>41</v>
      </c>
      <c r="BG11" s="1130"/>
      <c r="BH11" s="1129"/>
      <c r="BJ11" s="1128" t="s">
        <v>31</v>
      </c>
      <c r="BK11" s="1130"/>
      <c r="BL11" s="1129"/>
      <c r="BM11" s="909" t="s">
        <v>42</v>
      </c>
      <c r="BN11" s="909" t="s">
        <v>42</v>
      </c>
      <c r="BO11" s="1128" t="s">
        <v>43</v>
      </c>
      <c r="BP11" s="1130"/>
      <c r="BQ11" s="1129"/>
      <c r="BS11" s="1128" t="s">
        <v>31</v>
      </c>
      <c r="BT11" s="1130"/>
      <c r="BU11" s="1129"/>
      <c r="BV11" s="909" t="s">
        <v>44</v>
      </c>
      <c r="BW11" s="909" t="s">
        <v>44</v>
      </c>
      <c r="BX11" s="1128" t="s">
        <v>45</v>
      </c>
      <c r="BY11" s="1130"/>
      <c r="BZ11" s="1129"/>
      <c r="CB11" s="1128" t="s">
        <v>31</v>
      </c>
      <c r="CC11" s="1130"/>
      <c r="CD11" s="1129"/>
      <c r="CE11" s="909" t="s">
        <v>46</v>
      </c>
      <c r="CF11" s="909" t="s">
        <v>46</v>
      </c>
      <c r="CG11" s="1128" t="s">
        <v>47</v>
      </c>
      <c r="CH11" s="1130"/>
      <c r="CI11" s="1129"/>
      <c r="CK11" s="1128" t="s">
        <v>31</v>
      </c>
      <c r="CL11" s="1130"/>
      <c r="CM11" s="1129"/>
      <c r="CN11" s="909" t="s">
        <v>48</v>
      </c>
      <c r="CO11" s="909" t="s">
        <v>48</v>
      </c>
      <c r="CP11" s="1128" t="s">
        <v>49</v>
      </c>
      <c r="CQ11" s="1130"/>
      <c r="CR11" s="1129"/>
      <c r="CT11" s="1128" t="s">
        <v>31</v>
      </c>
      <c r="CU11" s="1130"/>
      <c r="CV11" s="1129"/>
      <c r="CW11" s="909" t="s">
        <v>50</v>
      </c>
      <c r="CX11" s="909" t="s">
        <v>50</v>
      </c>
      <c r="CY11" s="1128" t="s">
        <v>51</v>
      </c>
      <c r="CZ11" s="1130"/>
      <c r="DA11" s="1129"/>
      <c r="DC11" s="1128" t="s">
        <v>31</v>
      </c>
      <c r="DD11" s="1130"/>
      <c r="DE11" s="1129"/>
      <c r="DF11" s="909" t="s">
        <v>52</v>
      </c>
      <c r="DG11" s="909" t="s">
        <v>52</v>
      </c>
      <c r="DH11" s="1128" t="s">
        <v>53</v>
      </c>
      <c r="DI11" s="1130"/>
      <c r="DJ11" s="1129"/>
      <c r="DL11" s="1128" t="s">
        <v>31</v>
      </c>
      <c r="DM11" s="1130"/>
      <c r="DN11" s="1129"/>
      <c r="DO11" s="1039" t="s">
        <v>31</v>
      </c>
      <c r="DQ11" s="1131" t="s">
        <v>54</v>
      </c>
      <c r="DR11" s="1132"/>
      <c r="DS11" s="1133"/>
    </row>
    <row r="12" spans="1:123" ht="13.5" thickBot="1">
      <c r="C12" s="715" t="s">
        <v>55</v>
      </c>
      <c r="D12" s="716" t="s">
        <v>56</v>
      </c>
      <c r="E12" s="717" t="s">
        <v>57</v>
      </c>
      <c r="F12" s="718" t="s">
        <v>58</v>
      </c>
      <c r="G12" s="719" t="s">
        <v>59</v>
      </c>
      <c r="H12" s="720" t="s">
        <v>60</v>
      </c>
      <c r="I12" s="721" t="s">
        <v>61</v>
      </c>
      <c r="K12" s="909" t="s">
        <v>62</v>
      </c>
      <c r="L12" s="909" t="s">
        <v>63</v>
      </c>
      <c r="M12" s="715" t="s">
        <v>64</v>
      </c>
      <c r="N12" s="716" t="s">
        <v>122</v>
      </c>
      <c r="O12" s="717" t="s">
        <v>66</v>
      </c>
      <c r="Q12" s="722" t="s">
        <v>64</v>
      </c>
      <c r="R12" s="723" t="s">
        <v>122</v>
      </c>
      <c r="S12" s="717" t="s">
        <v>66</v>
      </c>
      <c r="T12" s="909" t="s">
        <v>62</v>
      </c>
      <c r="U12" s="909" t="s">
        <v>63</v>
      </c>
      <c r="V12" s="722" t="s">
        <v>64</v>
      </c>
      <c r="W12" s="723" t="s">
        <v>122</v>
      </c>
      <c r="X12" s="717" t="s">
        <v>66</v>
      </c>
      <c r="Z12" s="722" t="s">
        <v>64</v>
      </c>
      <c r="AA12" s="723" t="s">
        <v>122</v>
      </c>
      <c r="AB12" s="717" t="s">
        <v>66</v>
      </c>
      <c r="AC12" s="909" t="s">
        <v>62</v>
      </c>
      <c r="AD12" s="909" t="s">
        <v>63</v>
      </c>
      <c r="AE12" s="722" t="s">
        <v>64</v>
      </c>
      <c r="AF12" s="723" t="s">
        <v>122</v>
      </c>
      <c r="AG12" s="717" t="s">
        <v>66</v>
      </c>
      <c r="AI12" s="722" t="s">
        <v>64</v>
      </c>
      <c r="AJ12" s="723" t="s">
        <v>122</v>
      </c>
      <c r="AK12" s="717" t="s">
        <v>66</v>
      </c>
      <c r="AL12" s="909" t="s">
        <v>62</v>
      </c>
      <c r="AM12" s="909" t="s">
        <v>63</v>
      </c>
      <c r="AN12" s="722" t="s">
        <v>64</v>
      </c>
      <c r="AO12" s="723" t="s">
        <v>122</v>
      </c>
      <c r="AP12" s="717" t="s">
        <v>66</v>
      </c>
      <c r="AR12" s="722" t="s">
        <v>64</v>
      </c>
      <c r="AS12" s="723" t="s">
        <v>122</v>
      </c>
      <c r="AT12" s="717" t="s">
        <v>66</v>
      </c>
      <c r="AU12" s="909" t="s">
        <v>62</v>
      </c>
      <c r="AV12" s="909" t="s">
        <v>63</v>
      </c>
      <c r="AW12" s="722" t="s">
        <v>64</v>
      </c>
      <c r="AX12" s="723" t="s">
        <v>122</v>
      </c>
      <c r="AY12" s="717" t="s">
        <v>66</v>
      </c>
      <c r="BA12" s="722" t="s">
        <v>64</v>
      </c>
      <c r="BB12" s="723" t="s">
        <v>122</v>
      </c>
      <c r="BC12" s="717" t="s">
        <v>66</v>
      </c>
      <c r="BD12" s="909" t="s">
        <v>62</v>
      </c>
      <c r="BE12" s="909" t="s">
        <v>63</v>
      </c>
      <c r="BF12" s="722" t="s">
        <v>64</v>
      </c>
      <c r="BG12" s="723" t="s">
        <v>122</v>
      </c>
      <c r="BH12" s="717" t="s">
        <v>66</v>
      </c>
      <c r="BJ12" s="722" t="s">
        <v>64</v>
      </c>
      <c r="BK12" s="723" t="s">
        <v>122</v>
      </c>
      <c r="BL12" s="717" t="s">
        <v>66</v>
      </c>
      <c r="BM12" s="909" t="s">
        <v>62</v>
      </c>
      <c r="BN12" s="909" t="s">
        <v>63</v>
      </c>
      <c r="BO12" s="722" t="s">
        <v>64</v>
      </c>
      <c r="BP12" s="723" t="s">
        <v>122</v>
      </c>
      <c r="BQ12" s="717" t="s">
        <v>66</v>
      </c>
      <c r="BS12" s="722" t="s">
        <v>64</v>
      </c>
      <c r="BT12" s="723" t="s">
        <v>122</v>
      </c>
      <c r="BU12" s="717" t="s">
        <v>66</v>
      </c>
      <c r="BV12" s="909" t="s">
        <v>62</v>
      </c>
      <c r="BW12" s="909" t="s">
        <v>63</v>
      </c>
      <c r="BX12" s="722" t="s">
        <v>64</v>
      </c>
      <c r="BY12" s="723" t="s">
        <v>122</v>
      </c>
      <c r="BZ12" s="717" t="s">
        <v>66</v>
      </c>
      <c r="CB12" s="722" t="s">
        <v>64</v>
      </c>
      <c r="CC12" s="723" t="s">
        <v>122</v>
      </c>
      <c r="CD12" s="717" t="s">
        <v>66</v>
      </c>
      <c r="CE12" s="909" t="s">
        <v>62</v>
      </c>
      <c r="CF12" s="909" t="s">
        <v>63</v>
      </c>
      <c r="CG12" s="722" t="s">
        <v>64</v>
      </c>
      <c r="CH12" s="723" t="s">
        <v>122</v>
      </c>
      <c r="CI12" s="717" t="s">
        <v>66</v>
      </c>
      <c r="CK12" s="722" t="s">
        <v>64</v>
      </c>
      <c r="CL12" s="723" t="s">
        <v>122</v>
      </c>
      <c r="CM12" s="717" t="s">
        <v>66</v>
      </c>
      <c r="CN12" s="909" t="s">
        <v>62</v>
      </c>
      <c r="CO12" s="909" t="s">
        <v>63</v>
      </c>
      <c r="CP12" s="722" t="s">
        <v>64</v>
      </c>
      <c r="CQ12" s="723" t="s">
        <v>122</v>
      </c>
      <c r="CR12" s="717" t="s">
        <v>66</v>
      </c>
      <c r="CT12" s="722" t="s">
        <v>64</v>
      </c>
      <c r="CU12" s="723" t="s">
        <v>122</v>
      </c>
      <c r="CV12" s="717" t="s">
        <v>66</v>
      </c>
      <c r="CW12" s="909" t="s">
        <v>62</v>
      </c>
      <c r="CX12" s="909" t="s">
        <v>63</v>
      </c>
      <c r="CY12" s="722" t="s">
        <v>64</v>
      </c>
      <c r="CZ12" s="723" t="s">
        <v>122</v>
      </c>
      <c r="DA12" s="717" t="s">
        <v>66</v>
      </c>
      <c r="DC12" s="722" t="s">
        <v>64</v>
      </c>
      <c r="DD12" s="723" t="s">
        <v>122</v>
      </c>
      <c r="DE12" s="717" t="s">
        <v>66</v>
      </c>
      <c r="DF12" s="909" t="s">
        <v>62</v>
      </c>
      <c r="DG12" s="909" t="s">
        <v>63</v>
      </c>
      <c r="DH12" s="722" t="s">
        <v>64</v>
      </c>
      <c r="DI12" s="723" t="s">
        <v>122</v>
      </c>
      <c r="DJ12" s="717" t="s">
        <v>66</v>
      </c>
      <c r="DL12" s="722" t="s">
        <v>64</v>
      </c>
      <c r="DM12" s="723" t="s">
        <v>122</v>
      </c>
      <c r="DN12" s="717" t="s">
        <v>66</v>
      </c>
      <c r="DO12" s="724" t="s">
        <v>67</v>
      </c>
      <c r="DQ12" s="722" t="s">
        <v>122</v>
      </c>
      <c r="DR12" s="725" t="s">
        <v>123</v>
      </c>
      <c r="DS12" s="726" t="s">
        <v>67</v>
      </c>
    </row>
    <row r="13" spans="1:123" ht="12.75" customHeight="1">
      <c r="C13" s="727" t="s">
        <v>17</v>
      </c>
      <c r="T13" s="901"/>
      <c r="U13" s="901"/>
      <c r="AC13" s="901"/>
      <c r="AD13" s="901"/>
      <c r="AL13" s="901"/>
      <c r="AM13" s="901"/>
      <c r="AU13" s="901"/>
      <c r="AV13" s="901"/>
      <c r="BD13" s="901"/>
      <c r="BE13" s="901"/>
      <c r="BM13" s="901"/>
      <c r="BN13" s="901"/>
      <c r="BV13" s="901"/>
      <c r="BW13" s="901"/>
      <c r="CE13" s="901"/>
      <c r="CF13" s="901"/>
      <c r="CN13" s="901"/>
      <c r="CO13" s="901"/>
      <c r="CW13" s="901"/>
      <c r="CX13" s="901"/>
      <c r="DF13" s="901"/>
      <c r="DG13" s="901"/>
    </row>
    <row r="14" spans="1:123" s="665" customFormat="1" ht="14.15" customHeight="1">
      <c r="A14" s="665">
        <v>1</v>
      </c>
      <c r="B14" s="220" t="s">
        <v>69</v>
      </c>
      <c r="C14" s="728" t="s">
        <v>70</v>
      </c>
      <c r="D14" s="866">
        <v>32295</v>
      </c>
      <c r="E14" s="866">
        <v>40694</v>
      </c>
      <c r="F14" s="730" t="s">
        <v>71</v>
      </c>
      <c r="G14" s="729" t="s">
        <v>72</v>
      </c>
      <c r="H14" s="731">
        <v>1500</v>
      </c>
      <c r="I14" s="732">
        <f t="shared" ref="I14:I39" si="0">HLOOKUP(I$10,M$10:DI$53,ROW()-9,FALSE)</f>
        <v>11843.75</v>
      </c>
      <c r="J14" s="656"/>
      <c r="K14" s="901">
        <f>IF(ISERROR(VLOOKUP($B14,'MRI Data'!$A:$P,M$10+3,FALSE)),0,VLOOKUP($B14,'MRI Data'!$A:$P,M$10+3,FALSE))</f>
        <v>11388.75</v>
      </c>
      <c r="L14" s="901"/>
      <c r="M14" s="901">
        <f>SUM(K14:L14)</f>
        <v>11388.75</v>
      </c>
      <c r="N14" s="659">
        <v>11388.75</v>
      </c>
      <c r="O14" s="712">
        <f t="shared" ref="O14:O39" si="1">+M14-N14</f>
        <v>0</v>
      </c>
      <c r="P14" s="656"/>
      <c r="Q14" s="659">
        <f t="shared" ref="Q14:Q39" si="2">+M14</f>
        <v>11388.75</v>
      </c>
      <c r="R14" s="659">
        <f t="shared" ref="R14:R39" si="3">+N14</f>
        <v>11388.75</v>
      </c>
      <c r="S14" s="712">
        <f t="shared" ref="S14:S28" si="4">O14</f>
        <v>0</v>
      </c>
      <c r="T14" s="901">
        <f>IF(ISERROR(VLOOKUP($B14,'MRI Data'!$A:$P,V$10+3,FALSE)),0,VLOOKUP($B14,'MRI Data'!$A:$P,V$10+3,FALSE))</f>
        <v>11388.75</v>
      </c>
      <c r="U14" s="901"/>
      <c r="V14" s="901">
        <f>SUM(T14:U14)</f>
        <v>11388.75</v>
      </c>
      <c r="W14" s="659">
        <v>11388.75</v>
      </c>
      <c r="X14" s="712">
        <f t="shared" ref="X14:X39" si="5">+V14-W14</f>
        <v>0</v>
      </c>
      <c r="Y14" s="659"/>
      <c r="Z14" s="712">
        <f t="shared" ref="Z14:Z39" si="6">+Q14+V14</f>
        <v>22777.5</v>
      </c>
      <c r="AA14" s="712">
        <f t="shared" ref="AA14:AA39" si="7">+R14+W14</f>
        <v>22777.5</v>
      </c>
      <c r="AB14" s="712">
        <f t="shared" ref="AB14:AB39" si="8">+Z14-AA14</f>
        <v>0</v>
      </c>
      <c r="AC14" s="901">
        <f>IF(ISERROR(VLOOKUP($B14,'MRI Data'!$A:$P,AE$10+3,FALSE)),0,VLOOKUP($B14,'MRI Data'!$A:$P,AE$10+3,FALSE))</f>
        <v>11388.75</v>
      </c>
      <c r="AD14" s="901"/>
      <c r="AE14" s="901">
        <f>SUM(AC14:AD14)</f>
        <v>11388.75</v>
      </c>
      <c r="AF14" s="659">
        <v>11388.75</v>
      </c>
      <c r="AG14" s="712">
        <f t="shared" ref="AG14:AG39" si="9">+AE14-AF14</f>
        <v>0</v>
      </c>
      <c r="AH14" s="659"/>
      <c r="AI14" s="712">
        <f t="shared" ref="AI14:AI39" si="10">+Z14+AE14</f>
        <v>34166.25</v>
      </c>
      <c r="AJ14" s="712">
        <f t="shared" ref="AJ14:AJ39" si="11">+AA14+AF14</f>
        <v>34166.25</v>
      </c>
      <c r="AK14" s="712">
        <f t="shared" ref="AK14:AK39" si="12">+AI14-AJ14</f>
        <v>0</v>
      </c>
      <c r="AL14" s="901">
        <f>IF(ISERROR(VLOOKUP($B14,'MRI Data'!$A:$P,AN$10+3,FALSE)),0,VLOOKUP($B14,'MRI Data'!$A:$P,AN$10+3,FALSE))</f>
        <v>11388.75</v>
      </c>
      <c r="AM14" s="901"/>
      <c r="AN14" s="901">
        <f>SUM(AL14:AM14)</f>
        <v>11388.75</v>
      </c>
      <c r="AO14" s="659">
        <v>11388.75</v>
      </c>
      <c r="AP14" s="712">
        <f t="shared" ref="AP14:AP39" si="13">+AN14-AO14</f>
        <v>0</v>
      </c>
      <c r="AQ14" s="659"/>
      <c r="AR14" s="712">
        <f t="shared" ref="AR14:AR39" si="14">+AI14+AN14</f>
        <v>45555</v>
      </c>
      <c r="AS14" s="712">
        <f t="shared" ref="AS14:AS39" si="15">+AJ14+AO14</f>
        <v>45555</v>
      </c>
      <c r="AT14" s="712">
        <f t="shared" ref="AT14:AT39" si="16">+AR14-AS14</f>
        <v>0</v>
      </c>
      <c r="AU14" s="901">
        <f>IF(ISERROR(VLOOKUP($B14,'MRI Data'!$A:$P,AW$10+3,FALSE)),0,VLOOKUP($B14,'MRI Data'!$A:$P,AW$10+3,FALSE))</f>
        <v>11388.75</v>
      </c>
      <c r="AV14" s="901"/>
      <c r="AW14" s="901">
        <f>SUM(AU14:AV14)</f>
        <v>11388.75</v>
      </c>
      <c r="AX14" s="659">
        <v>11388.75</v>
      </c>
      <c r="AY14" s="712">
        <f t="shared" ref="AY14:AY39" si="17">+AW14-AX14</f>
        <v>0</v>
      </c>
      <c r="AZ14" s="659"/>
      <c r="BA14" s="712">
        <f t="shared" ref="BA14:BA39" si="18">+AR14+AW14</f>
        <v>56943.75</v>
      </c>
      <c r="BB14" s="712">
        <f t="shared" ref="BB14:BB39" si="19">+AS14+AX14</f>
        <v>56943.75</v>
      </c>
      <c r="BC14" s="712">
        <f t="shared" ref="BC14:BC39" si="20">+BA14-BB14</f>
        <v>0</v>
      </c>
      <c r="BD14" s="901">
        <f>IF(ISERROR(VLOOKUP($B14,'MRI Data'!$A:$P,BF$10+3,FALSE)),0,VLOOKUP($B14,'MRI Data'!$A:$P,BF$10+3,FALSE))</f>
        <v>11388.75</v>
      </c>
      <c r="BE14" s="901"/>
      <c r="BF14" s="901">
        <f>SUM(BD14:BE14)</f>
        <v>11388.75</v>
      </c>
      <c r="BG14" s="659">
        <v>11388.75</v>
      </c>
      <c r="BH14" s="712">
        <f t="shared" ref="BH14:BH39" si="21">+BF14-BG14</f>
        <v>0</v>
      </c>
      <c r="BI14" s="659"/>
      <c r="BJ14" s="712">
        <f t="shared" ref="BJ14:BJ39" si="22">+BA14+BF14</f>
        <v>68332.5</v>
      </c>
      <c r="BK14" s="712">
        <f t="shared" ref="BK14:BK39" si="23">+BB14+BG14</f>
        <v>68332.5</v>
      </c>
      <c r="BL14" s="712">
        <f t="shared" ref="BL14:BL39" si="24">+BJ14-BK14</f>
        <v>0</v>
      </c>
      <c r="BM14" s="901">
        <f>IF(ISERROR(VLOOKUP($B14,'MRI Data'!$A:$P,BO$10+3,FALSE)),0,VLOOKUP($B14,'MRI Data'!$A:$P,BO$10+3,FALSE))</f>
        <v>11388.75</v>
      </c>
      <c r="BN14" s="901"/>
      <c r="BO14" s="901">
        <f>SUM(BM14:BN14)</f>
        <v>11388.75</v>
      </c>
      <c r="BP14" s="659">
        <v>11389</v>
      </c>
      <c r="BQ14" s="712">
        <f t="shared" ref="BQ14:BQ39" si="25">+BO14-BP14</f>
        <v>-0.25</v>
      </c>
      <c r="BR14" s="659"/>
      <c r="BS14" s="712">
        <f t="shared" ref="BS14:BS39" si="26">+BJ14+BO14</f>
        <v>79721.25</v>
      </c>
      <c r="BT14" s="712">
        <f t="shared" ref="BT14:BT39" si="27">+BK14+BP14</f>
        <v>79721.5</v>
      </c>
      <c r="BU14" s="712">
        <f t="shared" ref="BU14:BU39" si="28">+BS14-BT14</f>
        <v>-0.25</v>
      </c>
      <c r="BV14" s="901">
        <f>IF(ISERROR(VLOOKUP($B14,'MRI Data'!$A:$P,BX$10+3,FALSE)),0,VLOOKUP($B14,'MRI Data'!$A:$P,BX$10+3,FALSE))</f>
        <v>11388.75</v>
      </c>
      <c r="BW14" s="901"/>
      <c r="BX14" s="901">
        <f>SUM(BV14:BW14)</f>
        <v>11388.75</v>
      </c>
      <c r="BY14" s="659">
        <v>11389</v>
      </c>
      <c r="BZ14" s="712">
        <f t="shared" ref="BZ14:BZ39" si="29">+BX14-BY14</f>
        <v>-0.25</v>
      </c>
      <c r="CA14" s="659"/>
      <c r="CB14" s="712">
        <f t="shared" ref="CB14:CB39" si="30">+BS14+BX14</f>
        <v>91110</v>
      </c>
      <c r="CC14" s="712">
        <f t="shared" ref="CC14:CC39" si="31">+BT14+BY14</f>
        <v>91110.5</v>
      </c>
      <c r="CD14" s="712">
        <f t="shared" ref="CD14:CD39" si="32">+CB14-CC14</f>
        <v>-0.5</v>
      </c>
      <c r="CE14" s="901">
        <f>IF(ISERROR(VLOOKUP($B14,'MRI Data'!$A:$P,CG$10+3,FALSE)),0,VLOOKUP($B14,'MRI Data'!$A:$P,CG$10+3,FALSE))</f>
        <v>11388.75</v>
      </c>
      <c r="CF14" s="901"/>
      <c r="CG14" s="901">
        <f>SUM(CE14:CF14)</f>
        <v>11388.75</v>
      </c>
      <c r="CH14" s="659">
        <v>11389</v>
      </c>
      <c r="CI14" s="712">
        <f t="shared" ref="CI14:CI39" si="33">+CG14-CH14</f>
        <v>-0.25</v>
      </c>
      <c r="CJ14" s="659"/>
      <c r="CK14" s="712">
        <f t="shared" ref="CK14:CK39" si="34">+CB14+CG14</f>
        <v>102498.75</v>
      </c>
      <c r="CL14" s="712">
        <f t="shared" ref="CL14:CL39" si="35">+CC14+CH14</f>
        <v>102499.5</v>
      </c>
      <c r="CM14" s="712">
        <f t="shared" ref="CM14:CM39" si="36">+CK14-CL14</f>
        <v>-0.75</v>
      </c>
      <c r="CN14" s="901">
        <f>IF(ISERROR(VLOOKUP($B14,'MRI Data'!$A:$P,CP$10+3,FALSE)),0,VLOOKUP($B14,'MRI Data'!$A:$P,CP$10+3,FALSE))</f>
        <v>11388.75</v>
      </c>
      <c r="CO14" s="901"/>
      <c r="CP14" s="901">
        <f>SUM(CN14:CO14)</f>
        <v>11388.75</v>
      </c>
      <c r="CQ14" s="659">
        <v>11389</v>
      </c>
      <c r="CR14" s="712">
        <f t="shared" ref="CR14:CR39" si="37">+CP14-CQ14</f>
        <v>-0.25</v>
      </c>
      <c r="CS14" s="659"/>
      <c r="CT14" s="712">
        <f t="shared" ref="CT14:CT39" si="38">+CK14+CP14</f>
        <v>113887.5</v>
      </c>
      <c r="CU14" s="712">
        <f t="shared" ref="CU14:CU39" si="39">+CL14+CQ14</f>
        <v>113888.5</v>
      </c>
      <c r="CV14" s="712">
        <f t="shared" ref="CV14:CV39" si="40">+CT14-CU14</f>
        <v>-1</v>
      </c>
      <c r="CW14" s="901">
        <f>IF(ISERROR(VLOOKUP($B14,'MRI Data'!$A:$P,CY$10+3,FALSE)),0,VLOOKUP($B14,'MRI Data'!$A:$P,CY$10+3,FALSE))</f>
        <v>11388.75</v>
      </c>
      <c r="CX14" s="901"/>
      <c r="CY14" s="901">
        <f>SUM(CW14:CX14)</f>
        <v>11388.75</v>
      </c>
      <c r="CZ14" s="659">
        <v>11389</v>
      </c>
      <c r="DA14" s="712">
        <f t="shared" ref="DA14:DA39" si="41">+CY14-CZ14</f>
        <v>-0.25</v>
      </c>
      <c r="DB14" s="659"/>
      <c r="DC14" s="712">
        <f t="shared" ref="DC14:DC39" si="42">+CT14+CY14</f>
        <v>125276.25</v>
      </c>
      <c r="DD14" s="712">
        <f t="shared" ref="DD14:DD39" si="43">+CU14+CZ14</f>
        <v>125277.5</v>
      </c>
      <c r="DE14" s="712">
        <f t="shared" ref="DE14:DE39" si="44">+DC14-DD14</f>
        <v>-1.25</v>
      </c>
      <c r="DF14" s="901">
        <f>IF(ISERROR(VLOOKUP($B14,'MRI Data'!$A:$P,DH$10+3,FALSE)),0,VLOOKUP($B14,'MRI Data'!$A:$P,DH$10+3,FALSE))</f>
        <v>11843.75</v>
      </c>
      <c r="DG14" s="901"/>
      <c r="DH14" s="901">
        <f>SUM(DF14:DG14)</f>
        <v>11843.75</v>
      </c>
      <c r="DI14" s="659">
        <v>11844</v>
      </c>
      <c r="DJ14" s="712">
        <f t="shared" ref="DJ14:DJ39" si="45">+DH14-DI14</f>
        <v>-0.25</v>
      </c>
      <c r="DK14" s="659"/>
      <c r="DL14" s="712">
        <f t="shared" ref="DL14:DL39" si="46">+DC14+DH14</f>
        <v>137120</v>
      </c>
      <c r="DM14" s="712">
        <f t="shared" ref="DM14:DM39" si="47">+DD14+DI14</f>
        <v>137121.5</v>
      </c>
      <c r="DN14" s="712">
        <f t="shared" ref="DN14:DN39" si="48">+DL14-DM14</f>
        <v>-1.5</v>
      </c>
      <c r="DO14" s="733"/>
      <c r="DQ14" s="734">
        <f t="shared" ref="DQ14:DQ39" si="49">+DM14</f>
        <v>137121.5</v>
      </c>
      <c r="DR14" s="734">
        <v>0</v>
      </c>
      <c r="DS14" s="735"/>
    </row>
    <row r="15" spans="1:123" s="665" customFormat="1" ht="14.15" customHeight="1">
      <c r="A15" s="665">
        <v>2</v>
      </c>
      <c r="B15" s="220" t="s">
        <v>73</v>
      </c>
      <c r="C15" s="728" t="s">
        <v>74</v>
      </c>
      <c r="D15" s="866">
        <v>35223</v>
      </c>
      <c r="E15" s="866">
        <v>40724</v>
      </c>
      <c r="F15" s="730" t="s">
        <v>71</v>
      </c>
      <c r="G15" s="729" t="s">
        <v>75</v>
      </c>
      <c r="H15" s="731">
        <v>1055</v>
      </c>
      <c r="I15" s="732">
        <f t="shared" si="0"/>
        <v>5417.43</v>
      </c>
      <c r="J15" s="656"/>
      <c r="K15" s="901">
        <f>IF(ISERROR(VLOOKUP($B15,'MRI Data'!$A:$P,M$10+3,FALSE)),0,VLOOKUP($B15,'MRI Data'!$A:$P,M$10+3,FALSE))</f>
        <v>5417.43</v>
      </c>
      <c r="L15" s="901"/>
      <c r="M15" s="901">
        <f t="shared" ref="M15:M39" si="50">SUM(K15:L15)</f>
        <v>5417.43</v>
      </c>
      <c r="N15" s="659">
        <v>5417.43</v>
      </c>
      <c r="O15" s="712">
        <f t="shared" si="1"/>
        <v>0</v>
      </c>
      <c r="P15" s="656"/>
      <c r="Q15" s="659">
        <f t="shared" si="2"/>
        <v>5417.43</v>
      </c>
      <c r="R15" s="659">
        <f t="shared" si="3"/>
        <v>5417.43</v>
      </c>
      <c r="S15" s="712">
        <f t="shared" si="4"/>
        <v>0</v>
      </c>
      <c r="T15" s="901">
        <f>IF(ISERROR(VLOOKUP($B15,'MRI Data'!$A:$P,V$10+3,FALSE)),0,VLOOKUP($B15,'MRI Data'!$A:$P,V$10+3,FALSE))</f>
        <v>5417.43</v>
      </c>
      <c r="U15" s="901"/>
      <c r="V15" s="901">
        <f t="shared" ref="V15:V39" si="51">SUM(T15:U15)</f>
        <v>5417.43</v>
      </c>
      <c r="W15" s="659">
        <v>5417.43</v>
      </c>
      <c r="X15" s="712">
        <f t="shared" si="5"/>
        <v>0</v>
      </c>
      <c r="Y15" s="659"/>
      <c r="Z15" s="712">
        <f t="shared" si="6"/>
        <v>10834.86</v>
      </c>
      <c r="AA15" s="712">
        <f t="shared" si="7"/>
        <v>10834.86</v>
      </c>
      <c r="AB15" s="712">
        <f t="shared" si="8"/>
        <v>0</v>
      </c>
      <c r="AC15" s="901">
        <f>IF(ISERROR(VLOOKUP($B15,'MRI Data'!$A:$P,AE$10+3,FALSE)),0,VLOOKUP($B15,'MRI Data'!$A:$P,AE$10+3,FALSE))</f>
        <v>5417.43</v>
      </c>
      <c r="AD15" s="901"/>
      <c r="AE15" s="901">
        <f t="shared" ref="AE15:AE39" si="52">SUM(AC15:AD15)</f>
        <v>5417.43</v>
      </c>
      <c r="AF15" s="659">
        <v>5417.43</v>
      </c>
      <c r="AG15" s="712">
        <f t="shared" si="9"/>
        <v>0</v>
      </c>
      <c r="AH15" s="659"/>
      <c r="AI15" s="712">
        <f t="shared" si="10"/>
        <v>16252.29</v>
      </c>
      <c r="AJ15" s="712">
        <f t="shared" si="11"/>
        <v>16252.29</v>
      </c>
      <c r="AK15" s="712">
        <f t="shared" si="12"/>
        <v>0</v>
      </c>
      <c r="AL15" s="901">
        <f>IF(ISERROR(VLOOKUP($B15,'MRI Data'!$A:$P,AN$10+3,FALSE)),0,VLOOKUP($B15,'MRI Data'!$A:$P,AN$10+3,FALSE))</f>
        <v>5417.43</v>
      </c>
      <c r="AM15" s="901"/>
      <c r="AN15" s="901">
        <f t="shared" ref="AN15:AN39" si="53">SUM(AL15:AM15)</f>
        <v>5417.43</v>
      </c>
      <c r="AO15" s="659">
        <v>5417.43</v>
      </c>
      <c r="AP15" s="712">
        <f t="shared" si="13"/>
        <v>0</v>
      </c>
      <c r="AQ15" s="659"/>
      <c r="AR15" s="712">
        <f t="shared" si="14"/>
        <v>21669.72</v>
      </c>
      <c r="AS15" s="712">
        <f t="shared" si="15"/>
        <v>21669.72</v>
      </c>
      <c r="AT15" s="712">
        <f t="shared" si="16"/>
        <v>0</v>
      </c>
      <c r="AU15" s="901">
        <f>IF(ISERROR(VLOOKUP($B15,'MRI Data'!$A:$P,AW$10+3,FALSE)),0,VLOOKUP($B15,'MRI Data'!$A:$P,AW$10+3,FALSE))</f>
        <v>5417.43</v>
      </c>
      <c r="AV15" s="901"/>
      <c r="AW15" s="901">
        <f t="shared" ref="AW15:AW39" si="54">SUM(AU15:AV15)</f>
        <v>5417.43</v>
      </c>
      <c r="AX15" s="659">
        <v>5417.43</v>
      </c>
      <c r="AY15" s="712">
        <f t="shared" si="17"/>
        <v>0</v>
      </c>
      <c r="AZ15" s="659"/>
      <c r="BA15" s="712">
        <f t="shared" si="18"/>
        <v>27087.15</v>
      </c>
      <c r="BB15" s="712">
        <f t="shared" si="19"/>
        <v>27087.15</v>
      </c>
      <c r="BC15" s="712">
        <f t="shared" si="20"/>
        <v>0</v>
      </c>
      <c r="BD15" s="901">
        <f>IF(ISERROR(VLOOKUP($B15,'MRI Data'!$A:$P,BF$10+3,FALSE)),0,VLOOKUP($B15,'MRI Data'!$A:$P,BF$10+3,FALSE))</f>
        <v>5417.43</v>
      </c>
      <c r="BE15" s="901"/>
      <c r="BF15" s="901">
        <f t="shared" ref="BF15:BF39" si="55">SUM(BD15:BE15)</f>
        <v>5417.43</v>
      </c>
      <c r="BG15" s="659">
        <v>5417.43</v>
      </c>
      <c r="BH15" s="712">
        <f t="shared" si="21"/>
        <v>0</v>
      </c>
      <c r="BI15" s="659"/>
      <c r="BJ15" s="712">
        <f t="shared" si="22"/>
        <v>32504.58</v>
      </c>
      <c r="BK15" s="712">
        <f t="shared" si="23"/>
        <v>32504.58</v>
      </c>
      <c r="BL15" s="712">
        <f t="shared" si="24"/>
        <v>0</v>
      </c>
      <c r="BM15" s="901">
        <f>IF(ISERROR(VLOOKUP($B15,'MRI Data'!$A:$P,BO$10+3,FALSE)),0,VLOOKUP($B15,'MRI Data'!$A:$P,BO$10+3,FALSE))</f>
        <v>5417.43</v>
      </c>
      <c r="BN15" s="901"/>
      <c r="BO15" s="901">
        <f t="shared" ref="BO15:BO39" si="56">SUM(BM15:BN15)</f>
        <v>5417.43</v>
      </c>
      <c r="BP15" s="659">
        <v>5417</v>
      </c>
      <c r="BQ15" s="712">
        <f t="shared" si="25"/>
        <v>0.43000000000029104</v>
      </c>
      <c r="BR15" s="659"/>
      <c r="BS15" s="712">
        <f t="shared" si="26"/>
        <v>37922.01</v>
      </c>
      <c r="BT15" s="712">
        <f t="shared" si="27"/>
        <v>37921.58</v>
      </c>
      <c r="BU15" s="712">
        <f t="shared" si="28"/>
        <v>0.43000000000029104</v>
      </c>
      <c r="BV15" s="901">
        <f>IF(ISERROR(VLOOKUP($B15,'MRI Data'!$A:$P,BX$10+3,FALSE)),0,VLOOKUP($B15,'MRI Data'!$A:$P,BX$10+3,FALSE))</f>
        <v>5417.43</v>
      </c>
      <c r="BW15" s="901"/>
      <c r="BX15" s="901">
        <f t="shared" ref="BX15:BX39" si="57">SUM(BV15:BW15)</f>
        <v>5417.43</v>
      </c>
      <c r="BY15" s="659">
        <v>5417</v>
      </c>
      <c r="BZ15" s="712">
        <f t="shared" si="29"/>
        <v>0.43000000000029104</v>
      </c>
      <c r="CA15" s="659"/>
      <c r="CB15" s="712">
        <f t="shared" si="30"/>
        <v>43339.44</v>
      </c>
      <c r="CC15" s="712">
        <f t="shared" si="31"/>
        <v>43338.58</v>
      </c>
      <c r="CD15" s="712">
        <f t="shared" si="32"/>
        <v>0.86000000000058208</v>
      </c>
      <c r="CE15" s="901">
        <f>IF(ISERROR(VLOOKUP($B15,'MRI Data'!$A:$P,CG$10+3,FALSE)),0,VLOOKUP($B15,'MRI Data'!$A:$P,CG$10+3,FALSE))</f>
        <v>5417.43</v>
      </c>
      <c r="CF15" s="901"/>
      <c r="CG15" s="901">
        <f t="shared" ref="CG15:CG39" si="58">SUM(CE15:CF15)</f>
        <v>5417.43</v>
      </c>
      <c r="CH15" s="659">
        <v>5417</v>
      </c>
      <c r="CI15" s="712">
        <f t="shared" si="33"/>
        <v>0.43000000000029104</v>
      </c>
      <c r="CJ15" s="659"/>
      <c r="CK15" s="712">
        <f t="shared" si="34"/>
        <v>48756.87</v>
      </c>
      <c r="CL15" s="712">
        <f t="shared" si="35"/>
        <v>48755.58</v>
      </c>
      <c r="CM15" s="712">
        <f t="shared" si="36"/>
        <v>1.2900000000008731</v>
      </c>
      <c r="CN15" s="901">
        <f>IF(ISERROR(VLOOKUP($B15,'MRI Data'!$A:$P,CP$10+3,FALSE)),0,VLOOKUP($B15,'MRI Data'!$A:$P,CP$10+3,FALSE))</f>
        <v>5417.43</v>
      </c>
      <c r="CO15" s="901"/>
      <c r="CP15" s="901">
        <f t="shared" ref="CP15:CP39" si="59">SUM(CN15:CO15)</f>
        <v>5417.43</v>
      </c>
      <c r="CQ15" s="659">
        <v>5417</v>
      </c>
      <c r="CR15" s="712">
        <f t="shared" si="37"/>
        <v>0.43000000000029104</v>
      </c>
      <c r="CS15" s="659"/>
      <c r="CT15" s="712">
        <f t="shared" si="38"/>
        <v>54174.3</v>
      </c>
      <c r="CU15" s="712">
        <f t="shared" si="39"/>
        <v>54172.58</v>
      </c>
      <c r="CV15" s="712">
        <f t="shared" si="40"/>
        <v>1.7200000000011642</v>
      </c>
      <c r="CW15" s="901">
        <f>IF(ISERROR(VLOOKUP($B15,'MRI Data'!$A:$P,CY$10+3,FALSE)),0,VLOOKUP($B15,'MRI Data'!$A:$P,CY$10+3,FALSE))</f>
        <v>5417.43</v>
      </c>
      <c r="CX15" s="901"/>
      <c r="CY15" s="901">
        <f t="shared" ref="CY15:CY39" si="60">SUM(CW15:CX15)</f>
        <v>5417.43</v>
      </c>
      <c r="CZ15" s="659">
        <v>5417</v>
      </c>
      <c r="DA15" s="712">
        <f t="shared" si="41"/>
        <v>0.43000000000029104</v>
      </c>
      <c r="DB15" s="659"/>
      <c r="DC15" s="712">
        <f t="shared" si="42"/>
        <v>59591.73</v>
      </c>
      <c r="DD15" s="712">
        <f t="shared" si="43"/>
        <v>59589.58</v>
      </c>
      <c r="DE15" s="712">
        <f t="shared" si="44"/>
        <v>2.1500000000014552</v>
      </c>
      <c r="DF15" s="901">
        <f>IF(ISERROR(VLOOKUP($B15,'MRI Data'!$A:$P,DH$10+3,FALSE)),0,VLOOKUP($B15,'MRI Data'!$A:$P,DH$10+3,FALSE))</f>
        <v>5417.43</v>
      </c>
      <c r="DG15" s="901"/>
      <c r="DH15" s="901">
        <f t="shared" ref="DH15:DH39" si="61">SUM(DF15:DG15)</f>
        <v>5417.43</v>
      </c>
      <c r="DI15" s="659">
        <v>5417</v>
      </c>
      <c r="DJ15" s="712">
        <f t="shared" si="45"/>
        <v>0.43000000000029104</v>
      </c>
      <c r="DK15" s="659"/>
      <c r="DL15" s="712">
        <f t="shared" si="46"/>
        <v>65009.16</v>
      </c>
      <c r="DM15" s="712">
        <f t="shared" si="47"/>
        <v>65006.58</v>
      </c>
      <c r="DN15" s="712">
        <f t="shared" si="48"/>
        <v>2.5800000000017462</v>
      </c>
      <c r="DO15" s="736"/>
      <c r="DP15" s="712"/>
      <c r="DQ15" s="734">
        <f t="shared" si="49"/>
        <v>65006.58</v>
      </c>
      <c r="DR15" s="734">
        <v>0</v>
      </c>
      <c r="DS15" s="735"/>
    </row>
    <row r="16" spans="1:123" s="665" customFormat="1" ht="14.15" customHeight="1">
      <c r="A16" s="665">
        <v>3</v>
      </c>
      <c r="B16" s="220" t="s">
        <v>76</v>
      </c>
      <c r="C16" s="728" t="s">
        <v>77</v>
      </c>
      <c r="D16" s="866">
        <v>34700</v>
      </c>
      <c r="E16" s="866">
        <v>41820</v>
      </c>
      <c r="F16" s="730" t="s">
        <v>71</v>
      </c>
      <c r="G16" s="729" t="s">
        <v>78</v>
      </c>
      <c r="H16" s="731">
        <v>1320</v>
      </c>
      <c r="I16" s="732">
        <f t="shared" si="0"/>
        <v>6490</v>
      </c>
      <c r="J16" s="656"/>
      <c r="K16" s="901">
        <f>IF(ISERROR(VLOOKUP($B16,'MRI Data'!$A:$P,M$10+3,FALSE)),0,VLOOKUP($B16,'MRI Data'!$A:$P,M$10+3,FALSE))</f>
        <v>6490</v>
      </c>
      <c r="L16" s="901"/>
      <c r="M16" s="901">
        <f t="shared" si="50"/>
        <v>6490</v>
      </c>
      <c r="N16" s="659">
        <v>6490</v>
      </c>
      <c r="O16" s="712">
        <f t="shared" si="1"/>
        <v>0</v>
      </c>
      <c r="P16" s="656"/>
      <c r="Q16" s="659">
        <f t="shared" si="2"/>
        <v>6490</v>
      </c>
      <c r="R16" s="659">
        <f t="shared" si="3"/>
        <v>6490</v>
      </c>
      <c r="S16" s="712">
        <f t="shared" si="4"/>
        <v>0</v>
      </c>
      <c r="T16" s="901">
        <f>IF(ISERROR(VLOOKUP($B16,'MRI Data'!$A:$P,V$10+3,FALSE)),0,VLOOKUP($B16,'MRI Data'!$A:$P,V$10+3,FALSE))</f>
        <v>6490</v>
      </c>
      <c r="U16" s="901"/>
      <c r="V16" s="901">
        <f t="shared" si="51"/>
        <v>6490</v>
      </c>
      <c r="W16" s="659">
        <v>6490</v>
      </c>
      <c r="X16" s="712">
        <f t="shared" si="5"/>
        <v>0</v>
      </c>
      <c r="Y16" s="659"/>
      <c r="Z16" s="712">
        <f t="shared" si="6"/>
        <v>12980</v>
      </c>
      <c r="AA16" s="712">
        <f t="shared" si="7"/>
        <v>12980</v>
      </c>
      <c r="AB16" s="712">
        <f t="shared" si="8"/>
        <v>0</v>
      </c>
      <c r="AC16" s="901">
        <f>IF(ISERROR(VLOOKUP($B16,'MRI Data'!$A:$P,AE$10+3,FALSE)),0,VLOOKUP($B16,'MRI Data'!$A:$P,AE$10+3,FALSE))</f>
        <v>6490</v>
      </c>
      <c r="AD16" s="901"/>
      <c r="AE16" s="901">
        <f t="shared" si="52"/>
        <v>6490</v>
      </c>
      <c r="AF16" s="659">
        <v>6490</v>
      </c>
      <c r="AG16" s="712">
        <f t="shared" si="9"/>
        <v>0</v>
      </c>
      <c r="AH16" s="659"/>
      <c r="AI16" s="712">
        <f t="shared" si="10"/>
        <v>19470</v>
      </c>
      <c r="AJ16" s="712">
        <f t="shared" si="11"/>
        <v>19470</v>
      </c>
      <c r="AK16" s="712">
        <f t="shared" si="12"/>
        <v>0</v>
      </c>
      <c r="AL16" s="901">
        <f>IF(ISERROR(VLOOKUP($B16,'MRI Data'!$A:$P,AN$10+3,FALSE)),0,VLOOKUP($B16,'MRI Data'!$A:$P,AN$10+3,FALSE))</f>
        <v>6490</v>
      </c>
      <c r="AM16" s="901"/>
      <c r="AN16" s="901">
        <f t="shared" si="53"/>
        <v>6490</v>
      </c>
      <c r="AO16" s="659">
        <v>6490</v>
      </c>
      <c r="AP16" s="712">
        <f t="shared" si="13"/>
        <v>0</v>
      </c>
      <c r="AQ16" s="659"/>
      <c r="AR16" s="712">
        <f t="shared" si="14"/>
        <v>25960</v>
      </c>
      <c r="AS16" s="712">
        <f t="shared" si="15"/>
        <v>25960</v>
      </c>
      <c r="AT16" s="712">
        <f t="shared" si="16"/>
        <v>0</v>
      </c>
      <c r="AU16" s="901">
        <f>IF(ISERROR(VLOOKUP($B16,'MRI Data'!$A:$P,AW$10+3,FALSE)),0,VLOOKUP($B16,'MRI Data'!$A:$P,AW$10+3,FALSE))</f>
        <v>6490</v>
      </c>
      <c r="AV16" s="901"/>
      <c r="AW16" s="901">
        <f t="shared" si="54"/>
        <v>6490</v>
      </c>
      <c r="AX16" s="659">
        <v>6490</v>
      </c>
      <c r="AY16" s="712">
        <f t="shared" si="17"/>
        <v>0</v>
      </c>
      <c r="AZ16" s="659"/>
      <c r="BA16" s="712">
        <f t="shared" si="18"/>
        <v>32450</v>
      </c>
      <c r="BB16" s="712">
        <f t="shared" si="19"/>
        <v>32450</v>
      </c>
      <c r="BC16" s="712">
        <f t="shared" si="20"/>
        <v>0</v>
      </c>
      <c r="BD16" s="901">
        <f>IF(ISERROR(VLOOKUP($B16,'MRI Data'!$A:$P,BF$10+3,FALSE)),0,VLOOKUP($B16,'MRI Data'!$A:$P,BF$10+3,FALSE))</f>
        <v>6490</v>
      </c>
      <c r="BE16" s="901"/>
      <c r="BF16" s="901">
        <f t="shared" si="55"/>
        <v>6490</v>
      </c>
      <c r="BG16" s="659">
        <v>6490</v>
      </c>
      <c r="BH16" s="712">
        <f t="shared" si="21"/>
        <v>0</v>
      </c>
      <c r="BI16" s="659"/>
      <c r="BJ16" s="712">
        <f t="shared" si="22"/>
        <v>38940</v>
      </c>
      <c r="BK16" s="712">
        <f t="shared" si="23"/>
        <v>38940</v>
      </c>
      <c r="BL16" s="712">
        <f t="shared" si="24"/>
        <v>0</v>
      </c>
      <c r="BM16" s="901">
        <f>IF(ISERROR(VLOOKUP($B16,'MRI Data'!$A:$P,BO$10+3,FALSE)),0,VLOOKUP($B16,'MRI Data'!$A:$P,BO$10+3,FALSE))</f>
        <v>6490</v>
      </c>
      <c r="BN16" s="901"/>
      <c r="BO16" s="901">
        <f t="shared" si="56"/>
        <v>6490</v>
      </c>
      <c r="BP16" s="659">
        <v>6490</v>
      </c>
      <c r="BQ16" s="712">
        <f t="shared" si="25"/>
        <v>0</v>
      </c>
      <c r="BR16" s="659"/>
      <c r="BS16" s="712">
        <f t="shared" si="26"/>
        <v>45430</v>
      </c>
      <c r="BT16" s="712">
        <f t="shared" si="27"/>
        <v>45430</v>
      </c>
      <c r="BU16" s="712">
        <f t="shared" si="28"/>
        <v>0</v>
      </c>
      <c r="BV16" s="901">
        <f>IF(ISERROR(VLOOKUP($B16,'MRI Data'!$A:$P,BX$10+3,FALSE)),0,VLOOKUP($B16,'MRI Data'!$A:$P,BX$10+3,FALSE))</f>
        <v>6490</v>
      </c>
      <c r="BW16" s="901"/>
      <c r="BX16" s="901">
        <f t="shared" si="57"/>
        <v>6490</v>
      </c>
      <c r="BY16" s="659">
        <v>6490</v>
      </c>
      <c r="BZ16" s="712">
        <f t="shared" si="29"/>
        <v>0</v>
      </c>
      <c r="CA16" s="659"/>
      <c r="CB16" s="712">
        <f t="shared" si="30"/>
        <v>51920</v>
      </c>
      <c r="CC16" s="712">
        <f t="shared" si="31"/>
        <v>51920</v>
      </c>
      <c r="CD16" s="712">
        <f t="shared" si="32"/>
        <v>0</v>
      </c>
      <c r="CE16" s="901">
        <f>IF(ISERROR(VLOOKUP($B16,'MRI Data'!$A:$P,CG$10+3,FALSE)),0,VLOOKUP($B16,'MRI Data'!$A:$P,CG$10+3,FALSE))</f>
        <v>6490</v>
      </c>
      <c r="CF16" s="901"/>
      <c r="CG16" s="901">
        <f t="shared" si="58"/>
        <v>6490</v>
      </c>
      <c r="CH16" s="659">
        <v>6490</v>
      </c>
      <c r="CI16" s="712">
        <f t="shared" si="33"/>
        <v>0</v>
      </c>
      <c r="CJ16" s="659"/>
      <c r="CK16" s="712">
        <f t="shared" si="34"/>
        <v>58410</v>
      </c>
      <c r="CL16" s="712">
        <f t="shared" si="35"/>
        <v>58410</v>
      </c>
      <c r="CM16" s="712">
        <f t="shared" si="36"/>
        <v>0</v>
      </c>
      <c r="CN16" s="901">
        <f>IF(ISERROR(VLOOKUP($B16,'MRI Data'!$A:$P,CP$10+3,FALSE)),0,VLOOKUP($B16,'MRI Data'!$A:$P,CP$10+3,FALSE))</f>
        <v>6490</v>
      </c>
      <c r="CO16" s="901"/>
      <c r="CP16" s="901">
        <f t="shared" si="59"/>
        <v>6490</v>
      </c>
      <c r="CQ16" s="659">
        <v>6490</v>
      </c>
      <c r="CR16" s="712">
        <f t="shared" si="37"/>
        <v>0</v>
      </c>
      <c r="CS16" s="659"/>
      <c r="CT16" s="712">
        <f t="shared" si="38"/>
        <v>64900</v>
      </c>
      <c r="CU16" s="712">
        <f t="shared" si="39"/>
        <v>64900</v>
      </c>
      <c r="CV16" s="712">
        <f t="shared" si="40"/>
        <v>0</v>
      </c>
      <c r="CW16" s="901">
        <f>IF(ISERROR(VLOOKUP($B16,'MRI Data'!$A:$P,CY$10+3,FALSE)),0,VLOOKUP($B16,'MRI Data'!$A:$P,CY$10+3,FALSE))</f>
        <v>6490</v>
      </c>
      <c r="CX16" s="901"/>
      <c r="CY16" s="901">
        <f t="shared" si="60"/>
        <v>6490</v>
      </c>
      <c r="CZ16" s="659">
        <v>6490</v>
      </c>
      <c r="DA16" s="712">
        <f t="shared" si="41"/>
        <v>0</v>
      </c>
      <c r="DB16" s="659"/>
      <c r="DC16" s="712">
        <f t="shared" si="42"/>
        <v>71390</v>
      </c>
      <c r="DD16" s="712">
        <f t="shared" si="43"/>
        <v>71390</v>
      </c>
      <c r="DE16" s="712">
        <f t="shared" si="44"/>
        <v>0</v>
      </c>
      <c r="DF16" s="901">
        <f>IF(ISERROR(VLOOKUP($B16,'MRI Data'!$A:$P,DH$10+3,FALSE)),0,VLOOKUP($B16,'MRI Data'!$A:$P,DH$10+3,FALSE))</f>
        <v>6490</v>
      </c>
      <c r="DG16" s="901"/>
      <c r="DH16" s="901">
        <f t="shared" si="61"/>
        <v>6490</v>
      </c>
      <c r="DI16" s="659">
        <v>6490</v>
      </c>
      <c r="DJ16" s="712">
        <f t="shared" si="45"/>
        <v>0</v>
      </c>
      <c r="DK16" s="659"/>
      <c r="DL16" s="712">
        <f t="shared" si="46"/>
        <v>77880</v>
      </c>
      <c r="DM16" s="712">
        <f t="shared" si="47"/>
        <v>77880</v>
      </c>
      <c r="DN16" s="712">
        <f t="shared" si="48"/>
        <v>0</v>
      </c>
      <c r="DO16" s="737"/>
      <c r="DP16" s="712"/>
      <c r="DQ16" s="734">
        <f t="shared" si="49"/>
        <v>77880</v>
      </c>
      <c r="DR16" s="734">
        <v>0</v>
      </c>
      <c r="DS16" s="735"/>
    </row>
    <row r="17" spans="1:123" s="665" customFormat="1" ht="14.15" customHeight="1">
      <c r="A17" s="665">
        <f t="shared" ref="A17:A39" si="62">+A16+1</f>
        <v>4</v>
      </c>
      <c r="B17" s="220" t="s">
        <v>79</v>
      </c>
      <c r="C17" s="728" t="s">
        <v>80</v>
      </c>
      <c r="D17" s="866">
        <v>35217</v>
      </c>
      <c r="E17" s="866">
        <v>41243</v>
      </c>
      <c r="F17" s="730" t="s">
        <v>71</v>
      </c>
      <c r="G17" s="729" t="s">
        <v>81</v>
      </c>
      <c r="H17" s="731">
        <v>650</v>
      </c>
      <c r="I17" s="732">
        <f t="shared" si="0"/>
        <v>3690.92</v>
      </c>
      <c r="J17" s="656"/>
      <c r="K17" s="901">
        <f>IF(ISERROR(VLOOKUP($B17,'MRI Data'!$A:$P,M$10+3,FALSE)),0,VLOOKUP($B17,'MRI Data'!$A:$P,M$10+3,FALSE))</f>
        <v>3549</v>
      </c>
      <c r="L17" s="901"/>
      <c r="M17" s="901">
        <f t="shared" si="50"/>
        <v>3549</v>
      </c>
      <c r="N17" s="659">
        <v>3549</v>
      </c>
      <c r="O17" s="712">
        <f t="shared" si="1"/>
        <v>0</v>
      </c>
      <c r="P17" s="656"/>
      <c r="Q17" s="659">
        <f t="shared" si="2"/>
        <v>3549</v>
      </c>
      <c r="R17" s="659">
        <f t="shared" si="3"/>
        <v>3549</v>
      </c>
      <c r="S17" s="712">
        <f t="shared" si="4"/>
        <v>0</v>
      </c>
      <c r="T17" s="901">
        <f>IF(ISERROR(VLOOKUP($B17,'MRI Data'!$A:$P,V$10+3,FALSE)),0,VLOOKUP($B17,'MRI Data'!$A:$P,V$10+3,FALSE))</f>
        <v>3549</v>
      </c>
      <c r="U17" s="901"/>
      <c r="V17" s="901">
        <f t="shared" si="51"/>
        <v>3549</v>
      </c>
      <c r="W17" s="659">
        <f>3549</f>
        <v>3549</v>
      </c>
      <c r="X17" s="712">
        <f t="shared" si="5"/>
        <v>0</v>
      </c>
      <c r="Y17" s="659"/>
      <c r="Z17" s="712">
        <f t="shared" si="6"/>
        <v>7098</v>
      </c>
      <c r="AA17" s="712">
        <f t="shared" si="7"/>
        <v>7098</v>
      </c>
      <c r="AB17" s="712">
        <f t="shared" si="8"/>
        <v>0</v>
      </c>
      <c r="AC17" s="901">
        <f>IF(ISERROR(VLOOKUP($B17,'MRI Data'!$A:$P,AE$10+3,FALSE)),0,VLOOKUP($B17,'MRI Data'!$A:$P,AE$10+3,FALSE))</f>
        <v>3549</v>
      </c>
      <c r="AD17" s="901"/>
      <c r="AE17" s="901">
        <f t="shared" si="52"/>
        <v>3549</v>
      </c>
      <c r="AF17" s="659">
        <f>3549</f>
        <v>3549</v>
      </c>
      <c r="AG17" s="712">
        <f t="shared" si="9"/>
        <v>0</v>
      </c>
      <c r="AH17" s="659"/>
      <c r="AI17" s="712">
        <f t="shared" si="10"/>
        <v>10647</v>
      </c>
      <c r="AJ17" s="712">
        <f t="shared" si="11"/>
        <v>10647</v>
      </c>
      <c r="AK17" s="712">
        <f t="shared" si="12"/>
        <v>0</v>
      </c>
      <c r="AL17" s="901">
        <f>IF(ISERROR(VLOOKUP($B17,'MRI Data'!$A:$P,AN$10+3,FALSE)),0,VLOOKUP($B17,'MRI Data'!$A:$P,AN$10+3,FALSE))</f>
        <v>3549</v>
      </c>
      <c r="AM17" s="901"/>
      <c r="AN17" s="901">
        <f t="shared" si="53"/>
        <v>3549</v>
      </c>
      <c r="AO17" s="659">
        <f>3549</f>
        <v>3549</v>
      </c>
      <c r="AP17" s="712">
        <f t="shared" si="13"/>
        <v>0</v>
      </c>
      <c r="AQ17" s="659"/>
      <c r="AR17" s="712">
        <f t="shared" si="14"/>
        <v>14196</v>
      </c>
      <c r="AS17" s="712">
        <f t="shared" si="15"/>
        <v>14196</v>
      </c>
      <c r="AT17" s="712">
        <f t="shared" si="16"/>
        <v>0</v>
      </c>
      <c r="AU17" s="901">
        <f>IF(ISERROR(VLOOKUP($B17,'MRI Data'!$A:$P,AW$10+3,FALSE)),0,VLOOKUP($B17,'MRI Data'!$A:$P,AW$10+3,FALSE))</f>
        <v>3549</v>
      </c>
      <c r="AV17" s="901"/>
      <c r="AW17" s="901">
        <f t="shared" si="54"/>
        <v>3549</v>
      </c>
      <c r="AX17" s="659">
        <f>3549</f>
        <v>3549</v>
      </c>
      <c r="AY17" s="712">
        <f t="shared" si="17"/>
        <v>0</v>
      </c>
      <c r="AZ17" s="659"/>
      <c r="BA17" s="712">
        <f t="shared" si="18"/>
        <v>17745</v>
      </c>
      <c r="BB17" s="712">
        <f t="shared" si="19"/>
        <v>17745</v>
      </c>
      <c r="BC17" s="712">
        <f t="shared" si="20"/>
        <v>0</v>
      </c>
      <c r="BD17" s="901">
        <f>IF(ISERROR(VLOOKUP($B17,'MRI Data'!$A:$P,BF$10+3,FALSE)),0,VLOOKUP($B17,'MRI Data'!$A:$P,BF$10+3,FALSE))</f>
        <v>3690.92</v>
      </c>
      <c r="BE17" s="901"/>
      <c r="BF17" s="901">
        <f t="shared" si="55"/>
        <v>3690.92</v>
      </c>
      <c r="BG17" s="659">
        <v>3690.92</v>
      </c>
      <c r="BH17" s="712">
        <f t="shared" si="21"/>
        <v>0</v>
      </c>
      <c r="BI17" s="659"/>
      <c r="BJ17" s="712">
        <f t="shared" si="22"/>
        <v>21435.919999999998</v>
      </c>
      <c r="BK17" s="712">
        <f t="shared" si="23"/>
        <v>21435.919999999998</v>
      </c>
      <c r="BL17" s="712">
        <f t="shared" si="24"/>
        <v>0</v>
      </c>
      <c r="BM17" s="901">
        <f>IF(ISERROR(VLOOKUP($B17,'MRI Data'!$A:$P,BO$10+3,FALSE)),0,VLOOKUP($B17,'MRI Data'!$A:$P,BO$10+3,FALSE))</f>
        <v>3690.92</v>
      </c>
      <c r="BN17" s="901"/>
      <c r="BO17" s="901">
        <f t="shared" si="56"/>
        <v>3690.92</v>
      </c>
      <c r="BP17" s="659">
        <v>3691</v>
      </c>
      <c r="BQ17" s="712">
        <f t="shared" si="25"/>
        <v>-7.999999999992724E-2</v>
      </c>
      <c r="BR17" s="659"/>
      <c r="BS17" s="712">
        <f t="shared" si="26"/>
        <v>25126.839999999997</v>
      </c>
      <c r="BT17" s="712">
        <f t="shared" si="27"/>
        <v>25126.92</v>
      </c>
      <c r="BU17" s="712">
        <f t="shared" si="28"/>
        <v>-8.000000000174623E-2</v>
      </c>
      <c r="BV17" s="901">
        <f>IF(ISERROR(VLOOKUP($B17,'MRI Data'!$A:$P,BX$10+3,FALSE)),0,VLOOKUP($B17,'MRI Data'!$A:$P,BX$10+3,FALSE))</f>
        <v>3690.92</v>
      </c>
      <c r="BW17" s="901"/>
      <c r="BX17" s="901">
        <f t="shared" si="57"/>
        <v>3690.92</v>
      </c>
      <c r="BY17" s="659">
        <v>3691</v>
      </c>
      <c r="BZ17" s="712">
        <f t="shared" si="29"/>
        <v>-7.999999999992724E-2</v>
      </c>
      <c r="CA17" s="659"/>
      <c r="CB17" s="712">
        <f t="shared" si="30"/>
        <v>28817.759999999995</v>
      </c>
      <c r="CC17" s="712">
        <f t="shared" si="31"/>
        <v>28817.919999999998</v>
      </c>
      <c r="CD17" s="712">
        <f t="shared" si="32"/>
        <v>-0.16000000000349246</v>
      </c>
      <c r="CE17" s="901">
        <f>IF(ISERROR(VLOOKUP($B17,'MRI Data'!$A:$P,CG$10+3,FALSE)),0,VLOOKUP($B17,'MRI Data'!$A:$P,CG$10+3,FALSE))</f>
        <v>3690.92</v>
      </c>
      <c r="CF17" s="901"/>
      <c r="CG17" s="901">
        <f t="shared" si="58"/>
        <v>3690.92</v>
      </c>
      <c r="CH17" s="659">
        <v>3691</v>
      </c>
      <c r="CI17" s="712">
        <f t="shared" si="33"/>
        <v>-7.999999999992724E-2</v>
      </c>
      <c r="CJ17" s="659"/>
      <c r="CK17" s="712">
        <f t="shared" si="34"/>
        <v>32508.679999999993</v>
      </c>
      <c r="CL17" s="712">
        <f t="shared" si="35"/>
        <v>32508.92</v>
      </c>
      <c r="CM17" s="712">
        <f t="shared" si="36"/>
        <v>-0.24000000000523869</v>
      </c>
      <c r="CN17" s="901">
        <f>IF(ISERROR(VLOOKUP($B17,'MRI Data'!$A:$P,CP$10+3,FALSE)),0,VLOOKUP($B17,'MRI Data'!$A:$P,CP$10+3,FALSE))</f>
        <v>3690.92</v>
      </c>
      <c r="CO17" s="901"/>
      <c r="CP17" s="901">
        <f t="shared" si="59"/>
        <v>3690.92</v>
      </c>
      <c r="CQ17" s="659">
        <v>3691</v>
      </c>
      <c r="CR17" s="712">
        <f t="shared" si="37"/>
        <v>-7.999999999992724E-2</v>
      </c>
      <c r="CS17" s="659"/>
      <c r="CT17" s="712">
        <f t="shared" si="38"/>
        <v>36199.599999999991</v>
      </c>
      <c r="CU17" s="712">
        <f t="shared" si="39"/>
        <v>36199.919999999998</v>
      </c>
      <c r="CV17" s="712">
        <f t="shared" si="40"/>
        <v>-0.32000000000698492</v>
      </c>
      <c r="CW17" s="901">
        <f>IF(ISERROR(VLOOKUP($B17,'MRI Data'!$A:$P,CY$10+3,FALSE)),0,VLOOKUP($B17,'MRI Data'!$A:$P,CY$10+3,FALSE))</f>
        <v>3690.92</v>
      </c>
      <c r="CX17" s="901"/>
      <c r="CY17" s="901">
        <f t="shared" si="60"/>
        <v>3690.92</v>
      </c>
      <c r="CZ17" s="659">
        <v>3691</v>
      </c>
      <c r="DA17" s="712">
        <f t="shared" si="41"/>
        <v>-7.999999999992724E-2</v>
      </c>
      <c r="DB17" s="659"/>
      <c r="DC17" s="712">
        <f t="shared" si="42"/>
        <v>39890.51999999999</v>
      </c>
      <c r="DD17" s="712">
        <f t="shared" si="43"/>
        <v>39890.92</v>
      </c>
      <c r="DE17" s="712">
        <f t="shared" si="44"/>
        <v>-0.40000000000873115</v>
      </c>
      <c r="DF17" s="901">
        <f>IF(ISERROR(VLOOKUP($B17,'MRI Data'!$A:$P,DH$10+3,FALSE)),0,VLOOKUP($B17,'MRI Data'!$A:$P,DH$10+3,FALSE))</f>
        <v>3690.92</v>
      </c>
      <c r="DG17" s="901"/>
      <c r="DH17" s="901">
        <f t="shared" si="61"/>
        <v>3690.92</v>
      </c>
      <c r="DI17" s="659">
        <v>3691</v>
      </c>
      <c r="DJ17" s="712">
        <f t="shared" si="45"/>
        <v>-7.999999999992724E-2</v>
      </c>
      <c r="DK17" s="659"/>
      <c r="DL17" s="712">
        <f t="shared" si="46"/>
        <v>43581.439999999988</v>
      </c>
      <c r="DM17" s="712">
        <f t="shared" si="47"/>
        <v>43581.919999999998</v>
      </c>
      <c r="DN17" s="712">
        <f t="shared" si="48"/>
        <v>-0.48000000001047738</v>
      </c>
      <c r="DO17" s="738"/>
      <c r="DP17" s="712"/>
      <c r="DQ17" s="734">
        <f t="shared" si="49"/>
        <v>43581.919999999998</v>
      </c>
      <c r="DR17" s="734">
        <v>0</v>
      </c>
      <c r="DS17" s="735"/>
    </row>
    <row r="18" spans="1:123" s="665" customFormat="1" ht="69" customHeight="1">
      <c r="A18" s="665">
        <f t="shared" si="62"/>
        <v>5</v>
      </c>
      <c r="B18" s="220" t="s">
        <v>82</v>
      </c>
      <c r="C18" s="728" t="s">
        <v>83</v>
      </c>
      <c r="D18" s="866">
        <v>33574</v>
      </c>
      <c r="E18" s="866">
        <v>41090</v>
      </c>
      <c r="F18" s="730" t="s">
        <v>71</v>
      </c>
      <c r="G18" s="729" t="s">
        <v>84</v>
      </c>
      <c r="H18" s="731">
        <v>1080</v>
      </c>
      <c r="I18" s="732">
        <f t="shared" si="0"/>
        <v>4825.8500000000004</v>
      </c>
      <c r="J18" s="656"/>
      <c r="K18" s="901">
        <f>IF(ISERROR(VLOOKUP($B18,'MRI Data'!$A:$P,M$10+3,FALSE)),0,VLOOKUP($B18,'MRI Data'!$A:$P,M$10+3,FALSE))</f>
        <v>4554.24</v>
      </c>
      <c r="L18" s="901"/>
      <c r="M18" s="901">
        <f t="shared" si="50"/>
        <v>4554.24</v>
      </c>
      <c r="N18" s="659">
        <f>4860-305.76</f>
        <v>4554.24</v>
      </c>
      <c r="O18" s="712">
        <f t="shared" si="1"/>
        <v>0</v>
      </c>
      <c r="P18" s="656"/>
      <c r="Q18" s="659">
        <f t="shared" si="2"/>
        <v>4554.24</v>
      </c>
      <c r="R18" s="659">
        <f t="shared" si="3"/>
        <v>4554.24</v>
      </c>
      <c r="S18" s="712">
        <f t="shared" si="4"/>
        <v>0</v>
      </c>
      <c r="T18" s="901">
        <f>IF(ISERROR(VLOOKUP($B18,'MRI Data'!$A:$P,V$10+3,FALSE)),0,VLOOKUP($B18,'MRI Data'!$A:$P,V$10+3,FALSE))</f>
        <v>4860</v>
      </c>
      <c r="U18" s="901"/>
      <c r="V18" s="901">
        <f t="shared" si="51"/>
        <v>4860</v>
      </c>
      <c r="W18" s="659">
        <f>4860</f>
        <v>4860</v>
      </c>
      <c r="X18" s="712">
        <f t="shared" si="5"/>
        <v>0</v>
      </c>
      <c r="Y18" s="659"/>
      <c r="Z18" s="712">
        <f t="shared" si="6"/>
        <v>9414.24</v>
      </c>
      <c r="AA18" s="712">
        <f t="shared" si="7"/>
        <v>9414.24</v>
      </c>
      <c r="AB18" s="712">
        <f t="shared" si="8"/>
        <v>0</v>
      </c>
      <c r="AC18" s="901">
        <f>IF(ISERROR(VLOOKUP($B18,'MRI Data'!$A:$P,AE$10+3,FALSE)),0,VLOOKUP($B18,'MRI Data'!$A:$P,AE$10+3,FALSE))</f>
        <v>4860</v>
      </c>
      <c r="AD18" s="901"/>
      <c r="AE18" s="901">
        <f t="shared" si="52"/>
        <v>4860</v>
      </c>
      <c r="AF18" s="659">
        <f>4860</f>
        <v>4860</v>
      </c>
      <c r="AG18" s="712">
        <f t="shared" si="9"/>
        <v>0</v>
      </c>
      <c r="AH18" s="659"/>
      <c r="AI18" s="712">
        <f t="shared" si="10"/>
        <v>14274.24</v>
      </c>
      <c r="AJ18" s="712">
        <f t="shared" si="11"/>
        <v>14274.24</v>
      </c>
      <c r="AK18" s="712">
        <f t="shared" si="12"/>
        <v>0</v>
      </c>
      <c r="AL18" s="901">
        <f>IF(ISERROR(VLOOKUP($B18,'MRI Data'!$A:$P,AN$10+3,FALSE)),0,VLOOKUP($B18,'MRI Data'!$A:$P,AN$10+3,FALSE))</f>
        <v>4860</v>
      </c>
      <c r="AM18" s="901"/>
      <c r="AN18" s="901">
        <f t="shared" si="53"/>
        <v>4860</v>
      </c>
      <c r="AO18" s="659">
        <f>4860</f>
        <v>4860</v>
      </c>
      <c r="AP18" s="712">
        <f t="shared" si="13"/>
        <v>0</v>
      </c>
      <c r="AQ18" s="659"/>
      <c r="AR18" s="712">
        <f t="shared" si="14"/>
        <v>19134.239999999998</v>
      </c>
      <c r="AS18" s="712">
        <f t="shared" si="15"/>
        <v>19134.239999999998</v>
      </c>
      <c r="AT18" s="712">
        <f t="shared" si="16"/>
        <v>0</v>
      </c>
      <c r="AU18" s="901">
        <f>IF(ISERROR(VLOOKUP($B18,'MRI Data'!$A:$P,AW$10+3,FALSE)),0,VLOOKUP($B18,'MRI Data'!$A:$P,AW$10+3,FALSE))</f>
        <v>4860</v>
      </c>
      <c r="AV18" s="901">
        <f>-12150+6075</f>
        <v>-6075</v>
      </c>
      <c r="AW18" s="901">
        <f t="shared" si="54"/>
        <v>-1215</v>
      </c>
      <c r="AX18" s="712">
        <f>4860-4860*5+2430*5+1215*5</f>
        <v>-1215</v>
      </c>
      <c r="AY18" s="712">
        <f t="shared" si="17"/>
        <v>0</v>
      </c>
      <c r="AZ18" s="659"/>
      <c r="BA18" s="712">
        <f t="shared" si="18"/>
        <v>17919.239999999998</v>
      </c>
      <c r="BB18" s="712">
        <f t="shared" si="19"/>
        <v>17919.239999999998</v>
      </c>
      <c r="BC18" s="712">
        <f t="shared" si="20"/>
        <v>0</v>
      </c>
      <c r="BD18" s="901">
        <f>IF(ISERROR(VLOOKUP($B18,'MRI Data'!$A:$P,BF$10+3,FALSE)),0,VLOOKUP($B18,'MRI Data'!$A:$P,BF$10+3,FALSE))</f>
        <v>-9720</v>
      </c>
      <c r="BE18" s="901">
        <v>18711</v>
      </c>
      <c r="BF18" s="901">
        <f t="shared" si="55"/>
        <v>8991</v>
      </c>
      <c r="BG18" s="712">
        <f>4860-2430+5346-6075+7290</f>
        <v>8991</v>
      </c>
      <c r="BH18" s="712">
        <f t="shared" si="21"/>
        <v>0</v>
      </c>
      <c r="BI18" s="659"/>
      <c r="BJ18" s="712">
        <f t="shared" si="22"/>
        <v>26910.239999999998</v>
      </c>
      <c r="BK18" s="712">
        <f t="shared" si="23"/>
        <v>26910.239999999998</v>
      </c>
      <c r="BL18" s="712">
        <f t="shared" si="24"/>
        <v>0</v>
      </c>
      <c r="BM18" s="901">
        <f>IF(ISERROR(VLOOKUP($B18,'MRI Data'!$A:$P,BO$10+3,FALSE)),0,VLOOKUP($B18,'MRI Data'!$A:$P,BO$10+3,FALSE))</f>
        <v>4860</v>
      </c>
      <c r="BN18" s="901">
        <v>0</v>
      </c>
      <c r="BO18" s="901">
        <f t="shared" si="56"/>
        <v>4860</v>
      </c>
      <c r="BP18" s="659">
        <v>4860</v>
      </c>
      <c r="BQ18" s="712">
        <f t="shared" si="25"/>
        <v>0</v>
      </c>
      <c r="BR18" s="659"/>
      <c r="BS18" s="712">
        <f t="shared" si="26"/>
        <v>31770.239999999998</v>
      </c>
      <c r="BT18" s="712">
        <f t="shared" si="27"/>
        <v>31770.239999999998</v>
      </c>
      <c r="BU18" s="712">
        <f t="shared" si="28"/>
        <v>0</v>
      </c>
      <c r="BV18" s="901">
        <f>IF(ISERROR(VLOOKUP($B18,'MRI Data'!$A:$P,BX$10+3,FALSE)),0,VLOOKUP($B18,'MRI Data'!$A:$P,BX$10+3,FALSE))</f>
        <v>4860</v>
      </c>
      <c r="BW18" s="901">
        <v>0</v>
      </c>
      <c r="BX18" s="901">
        <f t="shared" si="57"/>
        <v>4860</v>
      </c>
      <c r="BY18" s="659">
        <v>4860</v>
      </c>
      <c r="BZ18" s="712">
        <f t="shared" si="29"/>
        <v>0</v>
      </c>
      <c r="CA18" s="659"/>
      <c r="CB18" s="712">
        <f t="shared" si="30"/>
        <v>36630.239999999998</v>
      </c>
      <c r="CC18" s="712">
        <f t="shared" si="31"/>
        <v>36630.239999999998</v>
      </c>
      <c r="CD18" s="712">
        <f t="shared" si="32"/>
        <v>0</v>
      </c>
      <c r="CE18" s="901">
        <f>IF(ISERROR(VLOOKUP($B18,'MRI Data'!$A:$P,CG$10+3,FALSE)),0,VLOOKUP($B18,'MRI Data'!$A:$P,CG$10+3,FALSE))</f>
        <v>4860</v>
      </c>
      <c r="CF18" s="901">
        <v>0</v>
      </c>
      <c r="CG18" s="901">
        <f t="shared" si="58"/>
        <v>4860</v>
      </c>
      <c r="CH18" s="659">
        <v>4860</v>
      </c>
      <c r="CI18" s="712">
        <f t="shared" si="33"/>
        <v>0</v>
      </c>
      <c r="CJ18" s="659"/>
      <c r="CK18" s="712">
        <f t="shared" si="34"/>
        <v>41490.239999999998</v>
      </c>
      <c r="CL18" s="712">
        <f t="shared" si="35"/>
        <v>41490.239999999998</v>
      </c>
      <c r="CM18" s="712">
        <f t="shared" si="36"/>
        <v>0</v>
      </c>
      <c r="CN18" s="901">
        <f>IF(ISERROR(VLOOKUP($B18,'MRI Data'!$A:$P,CP$10+3,FALSE)),0,VLOOKUP($B18,'MRI Data'!$A:$P,CP$10+3,FALSE))</f>
        <v>-980.2</v>
      </c>
      <c r="CO18" s="901">
        <v>2920.1</v>
      </c>
      <c r="CP18" s="901">
        <f t="shared" si="59"/>
        <v>1939.8999999999999</v>
      </c>
      <c r="CQ18" s="659">
        <v>4860</v>
      </c>
      <c r="CR18" s="712">
        <f t="shared" si="37"/>
        <v>-2920.1000000000004</v>
      </c>
      <c r="CS18" s="659"/>
      <c r="CT18" s="712">
        <f t="shared" si="38"/>
        <v>43430.14</v>
      </c>
      <c r="CU18" s="712">
        <f t="shared" si="39"/>
        <v>46350.239999999998</v>
      </c>
      <c r="CV18" s="712">
        <f t="shared" si="40"/>
        <v>-2920.0999999999985</v>
      </c>
      <c r="CW18" s="901">
        <f>IF(ISERROR(VLOOKUP($B18,'MRI Data'!$A:$P,CY$10+3,FALSE)),0,VLOOKUP($B18,'MRI Data'!$A:$P,CY$10+3,FALSE))</f>
        <v>3492.4</v>
      </c>
      <c r="CX18" s="901">
        <f>-2920.1+3603.9</f>
        <v>683.80000000000018</v>
      </c>
      <c r="CY18" s="901">
        <f>SUM(CW18:CX18)</f>
        <v>4176.2000000000007</v>
      </c>
      <c r="CZ18" s="659">
        <v>4860</v>
      </c>
      <c r="DA18" s="712">
        <f t="shared" si="41"/>
        <v>-683.79999999999927</v>
      </c>
      <c r="DB18" s="659"/>
      <c r="DC18" s="712">
        <f t="shared" si="42"/>
        <v>47606.34</v>
      </c>
      <c r="DD18" s="712">
        <f t="shared" si="43"/>
        <v>51210.239999999998</v>
      </c>
      <c r="DE18" s="712">
        <f t="shared" si="44"/>
        <v>-3603.9000000000015</v>
      </c>
      <c r="DF18" s="901">
        <f>IF(ISERROR(VLOOKUP($B18,'MRI Data'!$A:$P,DH$10+3,FALSE)),0,VLOOKUP($B18,'MRI Data'!$A:$P,DH$10+3,FALSE))</f>
        <v>5174.2</v>
      </c>
      <c r="DG18" s="901">
        <f>-3603.9+3255.55</f>
        <v>-348.34999999999991</v>
      </c>
      <c r="DH18" s="901">
        <f t="shared" si="61"/>
        <v>4825.8500000000004</v>
      </c>
      <c r="DI18" s="659">
        <v>4860</v>
      </c>
      <c r="DJ18" s="712">
        <f t="shared" si="45"/>
        <v>-34.149999999999636</v>
      </c>
      <c r="DK18" s="659"/>
      <c r="DL18" s="712">
        <f t="shared" si="46"/>
        <v>52432.189999999995</v>
      </c>
      <c r="DM18" s="712">
        <f t="shared" si="47"/>
        <v>56070.239999999998</v>
      </c>
      <c r="DN18" s="712">
        <f t="shared" si="48"/>
        <v>-3638.0500000000029</v>
      </c>
      <c r="DO18" s="911" t="s">
        <v>124</v>
      </c>
      <c r="DP18" s="712"/>
      <c r="DQ18" s="734">
        <f t="shared" si="49"/>
        <v>56070.239999999998</v>
      </c>
      <c r="DR18" s="734">
        <v>-3638</v>
      </c>
      <c r="DS18" s="911" t="s">
        <v>124</v>
      </c>
    </row>
    <row r="19" spans="1:123" s="665" customFormat="1" ht="60" customHeight="1">
      <c r="A19" s="665">
        <f t="shared" si="62"/>
        <v>6</v>
      </c>
      <c r="B19" s="220" t="s">
        <v>86</v>
      </c>
      <c r="C19" s="728" t="s">
        <v>87</v>
      </c>
      <c r="D19" s="866">
        <v>35217</v>
      </c>
      <c r="E19" s="866">
        <v>41060</v>
      </c>
      <c r="F19" s="730" t="s">
        <v>71</v>
      </c>
      <c r="G19" s="729" t="s">
        <v>88</v>
      </c>
      <c r="H19" s="731">
        <v>900</v>
      </c>
      <c r="I19" s="732">
        <f t="shared" si="0"/>
        <v>-875</v>
      </c>
      <c r="J19" s="656"/>
      <c r="K19" s="901">
        <f>IF(ISERROR(VLOOKUP($B19,'MRI Data'!$A:$P,M$10+3,FALSE)),0,VLOOKUP($B19,'MRI Data'!$A:$P,M$10+3,FALSE))</f>
        <v>-2475</v>
      </c>
      <c r="L19" s="901">
        <v>4950</v>
      </c>
      <c r="M19" s="901">
        <f t="shared" si="50"/>
        <v>2475</v>
      </c>
      <c r="N19" s="659">
        <f>4950-2475</f>
        <v>2475</v>
      </c>
      <c r="O19" s="712">
        <f t="shared" si="1"/>
        <v>0</v>
      </c>
      <c r="P19" s="656"/>
      <c r="Q19" s="659">
        <f t="shared" si="2"/>
        <v>2475</v>
      </c>
      <c r="R19" s="659">
        <f t="shared" si="3"/>
        <v>2475</v>
      </c>
      <c r="S19" s="712">
        <f t="shared" si="4"/>
        <v>0</v>
      </c>
      <c r="T19" s="901">
        <f>IF(ISERROR(VLOOKUP($B19,'MRI Data'!$A:$P,V$10+3,FALSE)),0,VLOOKUP($B19,'MRI Data'!$A:$P,V$10+3,FALSE))</f>
        <v>2475</v>
      </c>
      <c r="U19" s="901"/>
      <c r="V19" s="901">
        <f t="shared" si="51"/>
        <v>2475</v>
      </c>
      <c r="W19" s="659">
        <f>2475</f>
        <v>2475</v>
      </c>
      <c r="X19" s="712">
        <f t="shared" si="5"/>
        <v>0</v>
      </c>
      <c r="Y19" s="712"/>
      <c r="Z19" s="712">
        <f t="shared" si="6"/>
        <v>4950</v>
      </c>
      <c r="AA19" s="712">
        <f t="shared" si="7"/>
        <v>4950</v>
      </c>
      <c r="AB19" s="712">
        <f t="shared" si="8"/>
        <v>0</v>
      </c>
      <c r="AC19" s="901">
        <f>IF(ISERROR(VLOOKUP($B19,'MRI Data'!$A:$P,AE$10+3,FALSE)),0,VLOOKUP($B19,'MRI Data'!$A:$P,AE$10+3,FALSE))</f>
        <v>2475</v>
      </c>
      <c r="AD19" s="901"/>
      <c r="AE19" s="901">
        <f t="shared" si="52"/>
        <v>2475</v>
      </c>
      <c r="AF19" s="659">
        <f>2475</f>
        <v>2475</v>
      </c>
      <c r="AG19" s="712">
        <f t="shared" si="9"/>
        <v>0</v>
      </c>
      <c r="AH19" s="712"/>
      <c r="AI19" s="712">
        <f t="shared" si="10"/>
        <v>7425</v>
      </c>
      <c r="AJ19" s="712">
        <f t="shared" si="11"/>
        <v>7425</v>
      </c>
      <c r="AK19" s="712">
        <f t="shared" si="12"/>
        <v>0</v>
      </c>
      <c r="AL19" s="901">
        <f>IF(ISERROR(VLOOKUP($B19,'MRI Data'!$A:$P,AN$10+3,FALSE)),0,VLOOKUP($B19,'MRI Data'!$A:$P,AN$10+3,FALSE))</f>
        <v>2475</v>
      </c>
      <c r="AM19" s="901"/>
      <c r="AN19" s="901">
        <f t="shared" si="53"/>
        <v>2475</v>
      </c>
      <c r="AO19" s="659">
        <f>2475</f>
        <v>2475</v>
      </c>
      <c r="AP19" s="712">
        <f t="shared" si="13"/>
        <v>0</v>
      </c>
      <c r="AQ19" s="712"/>
      <c r="AR19" s="712">
        <f t="shared" si="14"/>
        <v>9900</v>
      </c>
      <c r="AS19" s="712">
        <f t="shared" si="15"/>
        <v>9900</v>
      </c>
      <c r="AT19" s="712">
        <f t="shared" si="16"/>
        <v>0</v>
      </c>
      <c r="AU19" s="901">
        <f>IF(ISERROR(VLOOKUP($B19,'MRI Data'!$A:$P,AW$10+3,FALSE)),0,VLOOKUP($B19,'MRI Data'!$A:$P,AW$10+3,FALSE))</f>
        <v>2475</v>
      </c>
      <c r="AV19" s="901"/>
      <c r="AW19" s="901">
        <f t="shared" si="54"/>
        <v>2475</v>
      </c>
      <c r="AX19" s="659">
        <f>2475</f>
        <v>2475</v>
      </c>
      <c r="AY19" s="712">
        <f t="shared" si="17"/>
        <v>0</v>
      </c>
      <c r="AZ19" s="712"/>
      <c r="BA19" s="712">
        <f t="shared" si="18"/>
        <v>12375</v>
      </c>
      <c r="BB19" s="712">
        <f t="shared" si="19"/>
        <v>12375</v>
      </c>
      <c r="BC19" s="712">
        <f t="shared" si="20"/>
        <v>0</v>
      </c>
      <c r="BD19" s="901">
        <f>IF(ISERROR(VLOOKUP($B19,'MRI Data'!$A:$P,BF$10+3,FALSE)),0,VLOOKUP($B19,'MRI Data'!$A:$P,BF$10+3,FALSE))</f>
        <v>2659.39</v>
      </c>
      <c r="BE19" s="901"/>
      <c r="BF19" s="901">
        <f t="shared" si="55"/>
        <v>2659.39</v>
      </c>
      <c r="BG19" s="659">
        <f>4950-2475+184.39</f>
        <v>2659.39</v>
      </c>
      <c r="BH19" s="712">
        <f t="shared" si="21"/>
        <v>0</v>
      </c>
      <c r="BI19" s="712"/>
      <c r="BJ19" s="712">
        <f t="shared" si="22"/>
        <v>15034.39</v>
      </c>
      <c r="BK19" s="712">
        <f t="shared" si="23"/>
        <v>15034.39</v>
      </c>
      <c r="BL19" s="712">
        <f t="shared" si="24"/>
        <v>0</v>
      </c>
      <c r="BM19" s="901">
        <f>IF(ISERROR(VLOOKUP($B19,'MRI Data'!$A:$P,BO$10+3,FALSE)),0,VLOOKUP($B19,'MRI Data'!$A:$P,BO$10+3,FALSE))</f>
        <v>4950</v>
      </c>
      <c r="BN19" s="901">
        <v>2771.57</v>
      </c>
      <c r="BO19" s="901">
        <f t="shared" si="56"/>
        <v>7721.57</v>
      </c>
      <c r="BP19" s="712">
        <v>4950</v>
      </c>
      <c r="BQ19" s="712">
        <f t="shared" si="25"/>
        <v>2771.5699999999997</v>
      </c>
      <c r="BR19" s="712"/>
      <c r="BS19" s="712">
        <f t="shared" si="26"/>
        <v>22755.96</v>
      </c>
      <c r="BT19" s="712">
        <f t="shared" si="27"/>
        <v>19984.39</v>
      </c>
      <c r="BU19" s="712">
        <f t="shared" si="28"/>
        <v>2771.5699999999997</v>
      </c>
      <c r="BV19" s="901">
        <f>IF(ISERROR(VLOOKUP($B19,'MRI Data'!$A:$P,BX$10+3,FALSE)),0,VLOOKUP($B19,'MRI Data'!$A:$P,BX$10+3,FALSE))</f>
        <v>7721.57</v>
      </c>
      <c r="BW19" s="901">
        <f>-2772</f>
        <v>-2772</v>
      </c>
      <c r="BX19" s="901">
        <f t="shared" si="57"/>
        <v>4949.57</v>
      </c>
      <c r="BY19" s="659">
        <v>4950</v>
      </c>
      <c r="BZ19" s="712">
        <f t="shared" si="29"/>
        <v>-0.43000000000029104</v>
      </c>
      <c r="CA19" s="712"/>
      <c r="CB19" s="712">
        <f t="shared" si="30"/>
        <v>27705.53</v>
      </c>
      <c r="CC19" s="712">
        <f t="shared" si="31"/>
        <v>24934.39</v>
      </c>
      <c r="CD19" s="712">
        <f t="shared" si="32"/>
        <v>2771.1399999999994</v>
      </c>
      <c r="CE19" s="901">
        <f>IF(ISERROR(VLOOKUP($B19,'MRI Data'!$A:$P,CG$10+3,FALSE)),0,VLOOKUP($B19,'MRI Data'!$A:$P,CG$10+3,FALSE))</f>
        <v>4950</v>
      </c>
      <c r="CF19" s="901">
        <v>0</v>
      </c>
      <c r="CG19" s="901">
        <f t="shared" si="58"/>
        <v>4950</v>
      </c>
      <c r="CH19" s="712">
        <v>4950</v>
      </c>
      <c r="CI19" s="712">
        <f t="shared" si="33"/>
        <v>0</v>
      </c>
      <c r="CJ19" s="712"/>
      <c r="CK19" s="712">
        <f t="shared" si="34"/>
        <v>32655.53</v>
      </c>
      <c r="CL19" s="712">
        <f t="shared" si="35"/>
        <v>29884.39</v>
      </c>
      <c r="CM19" s="712">
        <f t="shared" si="36"/>
        <v>2771.1399999999994</v>
      </c>
      <c r="CN19" s="901">
        <f>IF(ISERROR(VLOOKUP($B19,'MRI Data'!$A:$P,CP$10+3,FALSE)),0,VLOOKUP($B19,'MRI Data'!$A:$P,CP$10+3,FALSE))</f>
        <v>4950</v>
      </c>
      <c r="CO19" s="901">
        <v>0</v>
      </c>
      <c r="CP19" s="901">
        <f t="shared" si="59"/>
        <v>4950</v>
      </c>
      <c r="CQ19" s="712">
        <v>4950</v>
      </c>
      <c r="CR19" s="712">
        <f t="shared" si="37"/>
        <v>0</v>
      </c>
      <c r="CS19" s="712"/>
      <c r="CT19" s="712">
        <f t="shared" si="38"/>
        <v>37605.53</v>
      </c>
      <c r="CU19" s="712">
        <f t="shared" si="39"/>
        <v>34834.39</v>
      </c>
      <c r="CV19" s="712">
        <f t="shared" si="40"/>
        <v>2771.1399999999994</v>
      </c>
      <c r="CW19" s="901">
        <f>IF(ISERROR(VLOOKUP($B19,'MRI Data'!$A:$P,CY$10+3,FALSE)),0,VLOOKUP($B19,'MRI Data'!$A:$P,CY$10+3,FALSE))</f>
        <v>4950</v>
      </c>
      <c r="CX19" s="901">
        <v>0</v>
      </c>
      <c r="CY19" s="901">
        <f t="shared" si="60"/>
        <v>4950</v>
      </c>
      <c r="CZ19" s="712">
        <v>4950</v>
      </c>
      <c r="DA19" s="712">
        <f t="shared" si="41"/>
        <v>0</v>
      </c>
      <c r="DB19" s="712"/>
      <c r="DC19" s="712">
        <f t="shared" si="42"/>
        <v>42555.53</v>
      </c>
      <c r="DD19" s="712">
        <f t="shared" si="43"/>
        <v>39784.39</v>
      </c>
      <c r="DE19" s="712">
        <f t="shared" si="44"/>
        <v>2771.1399999999994</v>
      </c>
      <c r="DF19" s="901">
        <f>IF(ISERROR(VLOOKUP($B19,'MRI Data'!$A:$P,DH$10+3,FALSE)),0,VLOOKUP($B19,'MRI Data'!$A:$P,DH$10+3,FALSE))</f>
        <v>-4875</v>
      </c>
      <c r="DG19" s="901">
        <v>4000</v>
      </c>
      <c r="DH19" s="901">
        <f t="shared" si="61"/>
        <v>-875</v>
      </c>
      <c r="DI19" s="712">
        <v>5100</v>
      </c>
      <c r="DJ19" s="712">
        <f t="shared" si="45"/>
        <v>-5975</v>
      </c>
      <c r="DK19" s="712"/>
      <c r="DL19" s="712">
        <f t="shared" si="46"/>
        <v>41680.53</v>
      </c>
      <c r="DM19" s="712">
        <f t="shared" si="47"/>
        <v>44884.39</v>
      </c>
      <c r="DN19" s="712">
        <f t="shared" si="48"/>
        <v>-3203.8600000000006</v>
      </c>
      <c r="DO19" s="742" t="s">
        <v>125</v>
      </c>
      <c r="DP19" s="712"/>
      <c r="DQ19" s="734">
        <f t="shared" si="49"/>
        <v>44884.39</v>
      </c>
      <c r="DR19" s="734">
        <v>-3204</v>
      </c>
      <c r="DS19" s="911" t="s">
        <v>126</v>
      </c>
    </row>
    <row r="20" spans="1:123" s="665" customFormat="1" ht="27" customHeight="1">
      <c r="A20" s="665">
        <f t="shared" si="62"/>
        <v>7</v>
      </c>
      <c r="B20" s="220" t="s">
        <v>90</v>
      </c>
      <c r="C20" s="728" t="s">
        <v>91</v>
      </c>
      <c r="D20" s="866">
        <v>37838</v>
      </c>
      <c r="E20" s="866">
        <v>40786</v>
      </c>
      <c r="F20" s="730" t="s">
        <v>71</v>
      </c>
      <c r="G20" s="729" t="s">
        <v>92</v>
      </c>
      <c r="H20" s="740">
        <v>1500</v>
      </c>
      <c r="I20" s="732">
        <f t="shared" si="0"/>
        <v>6468.75</v>
      </c>
      <c r="J20" s="656"/>
      <c r="K20" s="901">
        <f>IF(ISERROR(VLOOKUP($B20,'MRI Data'!$A:$P,M$10+3,FALSE)),0,VLOOKUP($B20,'MRI Data'!$A:$P,M$10+3,FALSE))</f>
        <v>6250</v>
      </c>
      <c r="L20" s="901"/>
      <c r="M20" s="901">
        <f t="shared" si="50"/>
        <v>6250</v>
      </c>
      <c r="N20" s="659">
        <v>6250</v>
      </c>
      <c r="O20" s="712">
        <f t="shared" si="1"/>
        <v>0</v>
      </c>
      <c r="P20" s="656"/>
      <c r="Q20" s="659">
        <f t="shared" si="2"/>
        <v>6250</v>
      </c>
      <c r="R20" s="659">
        <f t="shared" si="3"/>
        <v>6250</v>
      </c>
      <c r="S20" s="712">
        <f t="shared" si="4"/>
        <v>0</v>
      </c>
      <c r="T20" s="901">
        <f>IF(ISERROR(VLOOKUP($B20,'MRI Data'!$A:$P,V$10+3,FALSE)),0,VLOOKUP($B20,'MRI Data'!$A:$P,V$10+3,FALSE))</f>
        <v>6250</v>
      </c>
      <c r="U20" s="901"/>
      <c r="V20" s="901">
        <f t="shared" si="51"/>
        <v>6250</v>
      </c>
      <c r="W20" s="659">
        <v>6250</v>
      </c>
      <c r="X20" s="712">
        <f t="shared" si="5"/>
        <v>0</v>
      </c>
      <c r="Y20" s="659"/>
      <c r="Z20" s="712">
        <f t="shared" si="6"/>
        <v>12500</v>
      </c>
      <c r="AA20" s="712">
        <f t="shared" si="7"/>
        <v>12500</v>
      </c>
      <c r="AB20" s="712">
        <f t="shared" si="8"/>
        <v>0</v>
      </c>
      <c r="AC20" s="901">
        <f>IF(ISERROR(VLOOKUP($B20,'MRI Data'!$A:$P,AE$10+3,FALSE)),0,VLOOKUP($B20,'MRI Data'!$A:$P,AE$10+3,FALSE))</f>
        <v>6468.75</v>
      </c>
      <c r="AD20" s="901"/>
      <c r="AE20" s="901">
        <f t="shared" si="52"/>
        <v>6468.75</v>
      </c>
      <c r="AF20" s="659">
        <v>6468.75</v>
      </c>
      <c r="AG20" s="712">
        <f t="shared" si="9"/>
        <v>0</v>
      </c>
      <c r="AH20" s="659"/>
      <c r="AI20" s="712">
        <f t="shared" si="10"/>
        <v>18968.75</v>
      </c>
      <c r="AJ20" s="712">
        <f t="shared" si="11"/>
        <v>18968.75</v>
      </c>
      <c r="AK20" s="712">
        <f t="shared" si="12"/>
        <v>0</v>
      </c>
      <c r="AL20" s="901">
        <f>IF(ISERROR(VLOOKUP($B20,'MRI Data'!$A:$P,AN$10+3,FALSE)),0,VLOOKUP($B20,'MRI Data'!$A:$P,AN$10+3,FALSE))</f>
        <v>6468.75</v>
      </c>
      <c r="AM20" s="901"/>
      <c r="AN20" s="901">
        <f t="shared" si="53"/>
        <v>6468.75</v>
      </c>
      <c r="AO20" s="659">
        <v>6468.75</v>
      </c>
      <c r="AP20" s="712">
        <f t="shared" si="13"/>
        <v>0</v>
      </c>
      <c r="AQ20" s="659"/>
      <c r="AR20" s="712">
        <f t="shared" si="14"/>
        <v>25437.5</v>
      </c>
      <c r="AS20" s="712">
        <f t="shared" si="15"/>
        <v>25437.5</v>
      </c>
      <c r="AT20" s="712">
        <f t="shared" si="16"/>
        <v>0</v>
      </c>
      <c r="AU20" s="901">
        <f>IF(ISERROR(VLOOKUP($B20,'MRI Data'!$A:$P,AW$10+3,FALSE)),0,VLOOKUP($B20,'MRI Data'!$A:$P,AW$10+3,FALSE))</f>
        <v>6468.75</v>
      </c>
      <c r="AV20" s="901">
        <f>-12828.13+1737.62</f>
        <v>-11090.509999999998</v>
      </c>
      <c r="AW20" s="901">
        <f t="shared" si="54"/>
        <v>-4621.7599999999984</v>
      </c>
      <c r="AX20" s="712">
        <f>6468.75-6468.75*3-6250+3828.66+3542.52+3394.57+3800</f>
        <v>-4621.75</v>
      </c>
      <c r="AY20" s="712">
        <f t="shared" si="17"/>
        <v>-9.9999999983992893E-3</v>
      </c>
      <c r="AZ20" s="659"/>
      <c r="BA20" s="712">
        <f t="shared" si="18"/>
        <v>20815.740000000002</v>
      </c>
      <c r="BB20" s="712">
        <f t="shared" si="19"/>
        <v>20815.75</v>
      </c>
      <c r="BC20" s="712">
        <f t="shared" si="20"/>
        <v>-9.9999999983992893E-3</v>
      </c>
      <c r="BD20" s="901">
        <f>IF(ISERROR(VLOOKUP($B20,'MRI Data'!$A:$P,BF$10+3,FALSE)),0,VLOOKUP($B20,'MRI Data'!$A:$P,BF$10+3,FALSE))</f>
        <v>-8640.5</v>
      </c>
      <c r="BE20" s="901">
        <v>26200</v>
      </c>
      <c r="BF20" s="901">
        <f t="shared" si="55"/>
        <v>17559.5</v>
      </c>
      <c r="BG20" s="712">
        <f>-1737.62+12828.13-13156.25+269.57+417.52+703.66+6468.75-3343.75+13534.26+1574.99</f>
        <v>17559.259999999998</v>
      </c>
      <c r="BH20" s="712">
        <f t="shared" si="21"/>
        <v>0.24000000000160071</v>
      </c>
      <c r="BI20" s="659"/>
      <c r="BJ20" s="712">
        <f t="shared" si="22"/>
        <v>38375.240000000005</v>
      </c>
      <c r="BK20" s="712">
        <f t="shared" si="23"/>
        <v>38375.009999999995</v>
      </c>
      <c r="BL20" s="712">
        <f t="shared" si="24"/>
        <v>0.23000000001047738</v>
      </c>
      <c r="BM20" s="901">
        <f>IF(ISERROR(VLOOKUP($B20,'MRI Data'!$A:$P,BO$10+3,FALSE)),0,VLOOKUP($B20,'MRI Data'!$A:$P,BO$10+3,FALSE))</f>
        <v>6250</v>
      </c>
      <c r="BN20" s="901">
        <v>219</v>
      </c>
      <c r="BO20" s="901">
        <f t="shared" si="56"/>
        <v>6469</v>
      </c>
      <c r="BP20" s="659">
        <v>6250</v>
      </c>
      <c r="BQ20" s="712">
        <f t="shared" si="25"/>
        <v>219</v>
      </c>
      <c r="BR20" s="659"/>
      <c r="BS20" s="712">
        <f t="shared" si="26"/>
        <v>44844.240000000005</v>
      </c>
      <c r="BT20" s="712">
        <f t="shared" si="27"/>
        <v>44625.009999999995</v>
      </c>
      <c r="BU20" s="712">
        <f t="shared" si="28"/>
        <v>219.23000000001048</v>
      </c>
      <c r="BV20" s="901">
        <f>IF(ISERROR(VLOOKUP($B20,'MRI Data'!$A:$P,BX$10+3,FALSE)),0,VLOOKUP($B20,'MRI Data'!$A:$P,BX$10+3,FALSE))</f>
        <v>7794.17</v>
      </c>
      <c r="BW20" s="901">
        <v>-1325</v>
      </c>
      <c r="BX20" s="901">
        <f t="shared" si="57"/>
        <v>6469.17</v>
      </c>
      <c r="BY20" s="659">
        <v>6250</v>
      </c>
      <c r="BZ20" s="712">
        <f t="shared" si="29"/>
        <v>219.17000000000007</v>
      </c>
      <c r="CA20" s="659"/>
      <c r="CB20" s="712">
        <f t="shared" si="30"/>
        <v>51313.41</v>
      </c>
      <c r="CC20" s="712">
        <f t="shared" si="31"/>
        <v>50875.009999999995</v>
      </c>
      <c r="CD20" s="712">
        <f t="shared" si="32"/>
        <v>438.40000000000873</v>
      </c>
      <c r="CE20" s="901">
        <f>IF(ISERROR(VLOOKUP($B20,'MRI Data'!$A:$P,CG$10+3,FALSE)),0,VLOOKUP($B20,'MRI Data'!$A:$P,CG$10+3,FALSE))</f>
        <v>6250</v>
      </c>
      <c r="CF20" s="901">
        <f>219</f>
        <v>219</v>
      </c>
      <c r="CG20" s="901">
        <f t="shared" si="58"/>
        <v>6469</v>
      </c>
      <c r="CH20" s="659">
        <v>6250</v>
      </c>
      <c r="CI20" s="712">
        <f t="shared" si="33"/>
        <v>219</v>
      </c>
      <c r="CJ20" s="659"/>
      <c r="CK20" s="712">
        <f t="shared" si="34"/>
        <v>57782.41</v>
      </c>
      <c r="CL20" s="712">
        <f t="shared" si="35"/>
        <v>57125.009999999995</v>
      </c>
      <c r="CM20" s="712">
        <f t="shared" si="36"/>
        <v>657.40000000000873</v>
      </c>
      <c r="CN20" s="901">
        <f>IF(ISERROR(VLOOKUP($B20,'MRI Data'!$A:$P,CP$10+3,FALSE)),0,VLOOKUP($B20,'MRI Data'!$A:$P,CP$10+3,FALSE))</f>
        <v>6250</v>
      </c>
      <c r="CO20" s="901">
        <f>219</f>
        <v>219</v>
      </c>
      <c r="CP20" s="901">
        <f t="shared" si="59"/>
        <v>6469</v>
      </c>
      <c r="CQ20" s="659">
        <v>6250</v>
      </c>
      <c r="CR20" s="712">
        <f t="shared" si="37"/>
        <v>219</v>
      </c>
      <c r="CS20" s="659"/>
      <c r="CT20" s="712">
        <f t="shared" si="38"/>
        <v>64251.41</v>
      </c>
      <c r="CU20" s="712">
        <f t="shared" si="39"/>
        <v>63375.009999999995</v>
      </c>
      <c r="CV20" s="712">
        <f t="shared" si="40"/>
        <v>876.40000000000873</v>
      </c>
      <c r="CW20" s="901">
        <f>IF(ISERROR(VLOOKUP($B20,'MRI Data'!$A:$P,CY$10+3,FALSE)),0,VLOOKUP($B20,'MRI Data'!$A:$P,CY$10+3,FALSE))</f>
        <v>6250</v>
      </c>
      <c r="CX20" s="901">
        <v>218.75</v>
      </c>
      <c r="CY20" s="901">
        <f t="shared" si="60"/>
        <v>6468.75</v>
      </c>
      <c r="CZ20" s="659">
        <v>6250</v>
      </c>
      <c r="DA20" s="712">
        <f t="shared" si="41"/>
        <v>218.75</v>
      </c>
      <c r="DB20" s="659"/>
      <c r="DC20" s="712">
        <f t="shared" si="42"/>
        <v>70720.160000000003</v>
      </c>
      <c r="DD20" s="712">
        <f t="shared" si="43"/>
        <v>69625.009999999995</v>
      </c>
      <c r="DE20" s="712">
        <f t="shared" si="44"/>
        <v>1095.1500000000087</v>
      </c>
      <c r="DF20" s="901">
        <f>IF(ISERROR(VLOOKUP($B20,'MRI Data'!$A:$P,DH$10+3,FALSE)),0,VLOOKUP($B20,'MRI Data'!$A:$P,DH$10+3,FALSE))</f>
        <v>6250</v>
      </c>
      <c r="DG20" s="901">
        <v>218.75</v>
      </c>
      <c r="DH20" s="901">
        <f t="shared" si="61"/>
        <v>6468.75</v>
      </c>
      <c r="DI20" s="659">
        <v>6250</v>
      </c>
      <c r="DJ20" s="712">
        <f t="shared" si="45"/>
        <v>218.75</v>
      </c>
      <c r="DK20" s="659"/>
      <c r="DL20" s="712">
        <f t="shared" si="46"/>
        <v>77188.91</v>
      </c>
      <c r="DM20" s="712">
        <f t="shared" si="47"/>
        <v>75875.009999999995</v>
      </c>
      <c r="DN20" s="712">
        <f t="shared" si="48"/>
        <v>1313.9000000000087</v>
      </c>
      <c r="DO20" s="739" t="s">
        <v>127</v>
      </c>
      <c r="DP20" s="712"/>
      <c r="DQ20" s="734">
        <f t="shared" si="49"/>
        <v>75875.009999999995</v>
      </c>
      <c r="DR20" s="734">
        <v>1314</v>
      </c>
      <c r="DS20" s="739" t="s">
        <v>127</v>
      </c>
    </row>
    <row r="21" spans="1:123" s="665" customFormat="1" ht="25.5" customHeight="1">
      <c r="A21" s="665">
        <f t="shared" si="62"/>
        <v>8</v>
      </c>
      <c r="B21" s="220" t="s">
        <v>94</v>
      </c>
      <c r="C21" s="728" t="s">
        <v>95</v>
      </c>
      <c r="D21" s="866">
        <v>32674</v>
      </c>
      <c r="E21" s="866">
        <v>42735</v>
      </c>
      <c r="F21" s="730" t="s">
        <v>71</v>
      </c>
      <c r="G21" s="729" t="s">
        <v>96</v>
      </c>
      <c r="H21" s="731">
        <v>2742</v>
      </c>
      <c r="I21" s="732">
        <f t="shared" si="0"/>
        <v>11425</v>
      </c>
      <c r="J21" s="656"/>
      <c r="K21" s="901">
        <f>IF(ISERROR(VLOOKUP($B21,'MRI Data'!$A:$P,M$10+3,FALSE)),0,VLOOKUP($B21,'MRI Data'!$A:$P,M$10+3,FALSE))</f>
        <v>12770.87</v>
      </c>
      <c r="L21" s="901"/>
      <c r="M21" s="901">
        <f t="shared" si="50"/>
        <v>12770.87</v>
      </c>
      <c r="N21" s="659">
        <v>12770.87</v>
      </c>
      <c r="O21" s="712">
        <f t="shared" si="1"/>
        <v>0</v>
      </c>
      <c r="P21" s="656"/>
      <c r="Q21" s="659">
        <f t="shared" si="2"/>
        <v>12770.87</v>
      </c>
      <c r="R21" s="659">
        <f t="shared" si="3"/>
        <v>12770.87</v>
      </c>
      <c r="S21" s="712">
        <f t="shared" si="4"/>
        <v>0</v>
      </c>
      <c r="T21" s="901">
        <f>IF(ISERROR(VLOOKUP($B21,'MRI Data'!$A:$P,V$10+3,FALSE)),0,VLOOKUP($B21,'MRI Data'!$A:$P,V$10+3,FALSE))</f>
        <v>12770.87</v>
      </c>
      <c r="U21" s="901"/>
      <c r="V21" s="901">
        <f t="shared" si="51"/>
        <v>12770.87</v>
      </c>
      <c r="W21" s="659">
        <v>12770.87</v>
      </c>
      <c r="X21" s="712">
        <f t="shared" si="5"/>
        <v>0</v>
      </c>
      <c r="Y21" s="659"/>
      <c r="Z21" s="712">
        <f t="shared" si="6"/>
        <v>25541.74</v>
      </c>
      <c r="AA21" s="712">
        <f t="shared" si="7"/>
        <v>25541.74</v>
      </c>
      <c r="AB21" s="712">
        <f t="shared" si="8"/>
        <v>0</v>
      </c>
      <c r="AC21" s="901">
        <f>IF(ISERROR(VLOOKUP($B21,'MRI Data'!$A:$P,AE$10+3,FALSE)),0,VLOOKUP($B21,'MRI Data'!$A:$P,AE$10+3,FALSE))</f>
        <v>12770.87</v>
      </c>
      <c r="AD21" s="901"/>
      <c r="AE21" s="901">
        <f t="shared" si="52"/>
        <v>12770.87</v>
      </c>
      <c r="AF21" s="659">
        <v>12770.87</v>
      </c>
      <c r="AG21" s="712">
        <f t="shared" si="9"/>
        <v>0</v>
      </c>
      <c r="AH21" s="659"/>
      <c r="AI21" s="712">
        <f t="shared" si="10"/>
        <v>38312.61</v>
      </c>
      <c r="AJ21" s="712">
        <f t="shared" si="11"/>
        <v>38312.61</v>
      </c>
      <c r="AK21" s="712">
        <f t="shared" si="12"/>
        <v>0</v>
      </c>
      <c r="AL21" s="901">
        <f>IF(ISERROR(VLOOKUP($B21,'MRI Data'!$A:$P,AN$10+3,FALSE)),0,VLOOKUP($B21,'MRI Data'!$A:$P,AN$10+3,FALSE))</f>
        <v>12770.87</v>
      </c>
      <c r="AM21" s="901"/>
      <c r="AN21" s="901">
        <f t="shared" si="53"/>
        <v>12770.87</v>
      </c>
      <c r="AO21" s="659">
        <v>12770.87</v>
      </c>
      <c r="AP21" s="712">
        <f t="shared" si="13"/>
        <v>0</v>
      </c>
      <c r="AQ21" s="659"/>
      <c r="AR21" s="712">
        <f t="shared" si="14"/>
        <v>51083.48</v>
      </c>
      <c r="AS21" s="712">
        <f t="shared" si="15"/>
        <v>51083.48</v>
      </c>
      <c r="AT21" s="712">
        <f t="shared" si="16"/>
        <v>0</v>
      </c>
      <c r="AU21" s="901">
        <f>IF(ISERROR(VLOOKUP($B21,'MRI Data'!$A:$P,AW$10+3,FALSE)),0,VLOOKUP($B21,'MRI Data'!$A:$P,AW$10+3,FALSE))</f>
        <v>12770.87</v>
      </c>
      <c r="AV21" s="901"/>
      <c r="AW21" s="901">
        <f t="shared" si="54"/>
        <v>12770.87</v>
      </c>
      <c r="AX21" s="659">
        <v>12770.87</v>
      </c>
      <c r="AY21" s="712">
        <f t="shared" si="17"/>
        <v>0</v>
      </c>
      <c r="AZ21" s="659"/>
      <c r="BA21" s="712">
        <f t="shared" si="18"/>
        <v>63854.350000000006</v>
      </c>
      <c r="BB21" s="712">
        <f t="shared" si="19"/>
        <v>63854.350000000006</v>
      </c>
      <c r="BC21" s="712">
        <f t="shared" si="20"/>
        <v>0</v>
      </c>
      <c r="BD21" s="901">
        <f>IF(ISERROR(VLOOKUP($B21,'MRI Data'!$A:$P,BF$10+3,FALSE)),0,VLOOKUP($B21,'MRI Data'!$A:$P,BF$10+3,FALSE))</f>
        <v>12770.87</v>
      </c>
      <c r="BE21" s="901"/>
      <c r="BF21" s="901">
        <f t="shared" si="55"/>
        <v>12770.87</v>
      </c>
      <c r="BG21" s="659">
        <v>12770.87</v>
      </c>
      <c r="BH21" s="712">
        <f t="shared" si="21"/>
        <v>0</v>
      </c>
      <c r="BI21" s="659"/>
      <c r="BJ21" s="712">
        <f t="shared" si="22"/>
        <v>76625.22</v>
      </c>
      <c r="BK21" s="712">
        <f t="shared" si="23"/>
        <v>76625.22</v>
      </c>
      <c r="BL21" s="712">
        <f t="shared" si="24"/>
        <v>0</v>
      </c>
      <c r="BM21" s="901">
        <f>IF(ISERROR(VLOOKUP($B21,'MRI Data'!$A:$P,BO$10+3,FALSE)),0,VLOOKUP($B21,'MRI Data'!$A:$P,BO$10+3,FALSE))</f>
        <v>11425</v>
      </c>
      <c r="BN21" s="901"/>
      <c r="BO21" s="901">
        <f t="shared" si="56"/>
        <v>11425</v>
      </c>
      <c r="BP21" s="659">
        <v>11425</v>
      </c>
      <c r="BQ21" s="712">
        <f t="shared" si="25"/>
        <v>0</v>
      </c>
      <c r="BR21" s="659"/>
      <c r="BS21" s="712">
        <f t="shared" si="26"/>
        <v>88050.22</v>
      </c>
      <c r="BT21" s="712">
        <f t="shared" si="27"/>
        <v>88050.22</v>
      </c>
      <c r="BU21" s="712">
        <f t="shared" si="28"/>
        <v>0</v>
      </c>
      <c r="BV21" s="901">
        <f>IF(ISERROR(VLOOKUP($B21,'MRI Data'!$A:$P,BX$10+3,FALSE)),0,VLOOKUP($B21,'MRI Data'!$A:$P,BX$10+3,FALSE))</f>
        <v>11425</v>
      </c>
      <c r="BW21" s="901"/>
      <c r="BX21" s="901">
        <f t="shared" si="57"/>
        <v>11425</v>
      </c>
      <c r="BY21" s="659">
        <v>11425</v>
      </c>
      <c r="BZ21" s="712">
        <f t="shared" si="29"/>
        <v>0</v>
      </c>
      <c r="CA21" s="659"/>
      <c r="CB21" s="712">
        <f t="shared" si="30"/>
        <v>99475.22</v>
      </c>
      <c r="CC21" s="712">
        <f t="shared" si="31"/>
        <v>99475.22</v>
      </c>
      <c r="CD21" s="712">
        <f t="shared" si="32"/>
        <v>0</v>
      </c>
      <c r="CE21" s="901">
        <f>IF(ISERROR(VLOOKUP($B21,'MRI Data'!$A:$P,CG$10+3,FALSE)),0,VLOOKUP($B21,'MRI Data'!$A:$P,CG$10+3,FALSE))</f>
        <v>11425</v>
      </c>
      <c r="CF21" s="901"/>
      <c r="CG21" s="901">
        <f t="shared" si="58"/>
        <v>11425</v>
      </c>
      <c r="CH21" s="659">
        <v>11425</v>
      </c>
      <c r="CI21" s="712">
        <f t="shared" si="33"/>
        <v>0</v>
      </c>
      <c r="CJ21" s="659"/>
      <c r="CK21" s="712">
        <f t="shared" si="34"/>
        <v>110900.22</v>
      </c>
      <c r="CL21" s="712">
        <f t="shared" si="35"/>
        <v>110900.22</v>
      </c>
      <c r="CM21" s="712">
        <f t="shared" si="36"/>
        <v>0</v>
      </c>
      <c r="CN21" s="901">
        <f>IF(ISERROR(VLOOKUP($B21,'MRI Data'!$A:$P,CP$10+3,FALSE)),0,VLOOKUP($B21,'MRI Data'!$A:$P,CP$10+3,FALSE))</f>
        <v>11425</v>
      </c>
      <c r="CO21" s="901"/>
      <c r="CP21" s="901">
        <f t="shared" si="59"/>
        <v>11425</v>
      </c>
      <c r="CQ21" s="659">
        <v>11425</v>
      </c>
      <c r="CR21" s="712">
        <f t="shared" si="37"/>
        <v>0</v>
      </c>
      <c r="CS21" s="659"/>
      <c r="CT21" s="712">
        <f t="shared" si="38"/>
        <v>122325.22</v>
      </c>
      <c r="CU21" s="712">
        <f t="shared" si="39"/>
        <v>122325.22</v>
      </c>
      <c r="CV21" s="712">
        <f t="shared" si="40"/>
        <v>0</v>
      </c>
      <c r="CW21" s="901">
        <f>IF(ISERROR(VLOOKUP($B21,'MRI Data'!$A:$P,CY$10+3,FALSE)),0,VLOOKUP($B21,'MRI Data'!$A:$P,CY$10+3,FALSE))</f>
        <v>11425</v>
      </c>
      <c r="CX21" s="901"/>
      <c r="CY21" s="901">
        <f t="shared" si="60"/>
        <v>11425</v>
      </c>
      <c r="CZ21" s="659">
        <v>11425</v>
      </c>
      <c r="DA21" s="712">
        <f t="shared" si="41"/>
        <v>0</v>
      </c>
      <c r="DB21" s="659"/>
      <c r="DC21" s="712">
        <f t="shared" si="42"/>
        <v>133750.22</v>
      </c>
      <c r="DD21" s="712">
        <f t="shared" si="43"/>
        <v>133750.22</v>
      </c>
      <c r="DE21" s="712">
        <f t="shared" si="44"/>
        <v>0</v>
      </c>
      <c r="DF21" s="901">
        <f>IF(ISERROR(VLOOKUP($B21,'MRI Data'!$A:$P,DH$10+3,FALSE)),0,VLOOKUP($B21,'MRI Data'!$A:$P,DH$10+3,FALSE))</f>
        <v>11425</v>
      </c>
      <c r="DG21" s="901"/>
      <c r="DH21" s="901">
        <f t="shared" si="61"/>
        <v>11425</v>
      </c>
      <c r="DI21" s="659">
        <v>11425</v>
      </c>
      <c r="DJ21" s="712">
        <f t="shared" si="45"/>
        <v>0</v>
      </c>
      <c r="DK21" s="659"/>
      <c r="DL21" s="712">
        <f t="shared" si="46"/>
        <v>145175.22</v>
      </c>
      <c r="DM21" s="712">
        <f t="shared" si="47"/>
        <v>145175.22</v>
      </c>
      <c r="DN21" s="712">
        <f t="shared" si="48"/>
        <v>0</v>
      </c>
      <c r="DO21" s="739"/>
      <c r="DP21" s="712"/>
      <c r="DQ21" s="734">
        <f t="shared" si="49"/>
        <v>145175.22</v>
      </c>
      <c r="DR21" s="734">
        <v>0</v>
      </c>
      <c r="DS21" s="739"/>
    </row>
    <row r="22" spans="1:123" s="665" customFormat="1" ht="14.15" customHeight="1">
      <c r="A22" s="665">
        <f t="shared" si="62"/>
        <v>9</v>
      </c>
      <c r="C22" s="741" t="s">
        <v>98</v>
      </c>
      <c r="D22" s="867">
        <v>39234</v>
      </c>
      <c r="E22" s="866">
        <v>42735</v>
      </c>
      <c r="F22" s="730" t="s">
        <v>71</v>
      </c>
      <c r="G22" s="729" t="s">
        <v>99</v>
      </c>
      <c r="H22" s="731">
        <v>1309</v>
      </c>
      <c r="I22" s="732">
        <f t="shared" si="0"/>
        <v>1E-4</v>
      </c>
      <c r="J22" s="656"/>
      <c r="K22" s="901">
        <f>IF(ISERROR(VLOOKUP($B22,'MRI Data'!$A:$P,M$10+3,FALSE)),0,VLOOKUP($B22,'MRI Data'!$A:$P,M$10+3,FALSE))</f>
        <v>0</v>
      </c>
      <c r="L22" s="901">
        <v>1E-4</v>
      </c>
      <c r="M22" s="901">
        <f t="shared" si="50"/>
        <v>1E-4</v>
      </c>
      <c r="N22" s="712">
        <v>1E-4</v>
      </c>
      <c r="O22" s="712">
        <f t="shared" si="1"/>
        <v>0</v>
      </c>
      <c r="P22" s="656"/>
      <c r="Q22" s="659">
        <f t="shared" si="2"/>
        <v>1E-4</v>
      </c>
      <c r="R22" s="712">
        <f t="shared" si="3"/>
        <v>1E-4</v>
      </c>
      <c r="S22" s="712">
        <f t="shared" si="4"/>
        <v>0</v>
      </c>
      <c r="T22" s="901">
        <f>IF(ISERROR(VLOOKUP($B22,'MRI Data'!$A:$P,V$10+3,FALSE)),0,VLOOKUP($B22,'MRI Data'!$A:$P,V$10+3,FALSE))</f>
        <v>0</v>
      </c>
      <c r="U22" s="901">
        <v>1E-4</v>
      </c>
      <c r="V22" s="901">
        <f t="shared" si="51"/>
        <v>1E-4</v>
      </c>
      <c r="W22" s="712">
        <v>1E-4</v>
      </c>
      <c r="X22" s="712">
        <f t="shared" si="5"/>
        <v>0</v>
      </c>
      <c r="Y22" s="659"/>
      <c r="Z22" s="712">
        <f t="shared" si="6"/>
        <v>2.0000000000000001E-4</v>
      </c>
      <c r="AA22" s="712">
        <f t="shared" si="7"/>
        <v>2.0000000000000001E-4</v>
      </c>
      <c r="AB22" s="712">
        <f t="shared" si="8"/>
        <v>0</v>
      </c>
      <c r="AC22" s="901">
        <f>IF(ISERROR(VLOOKUP($B22,'MRI Data'!$A:$P,AE$10+3,FALSE)),0,VLOOKUP($B22,'MRI Data'!$A:$P,AE$10+3,FALSE))</f>
        <v>0</v>
      </c>
      <c r="AD22" s="901">
        <v>1E-4</v>
      </c>
      <c r="AE22" s="901">
        <f t="shared" si="52"/>
        <v>1E-4</v>
      </c>
      <c r="AF22" s="712">
        <v>1E-4</v>
      </c>
      <c r="AG22" s="712">
        <f t="shared" si="9"/>
        <v>0</v>
      </c>
      <c r="AH22" s="659"/>
      <c r="AI22" s="712">
        <f t="shared" si="10"/>
        <v>3.0000000000000003E-4</v>
      </c>
      <c r="AJ22" s="712">
        <f t="shared" si="11"/>
        <v>3.0000000000000003E-4</v>
      </c>
      <c r="AK22" s="712">
        <f t="shared" si="12"/>
        <v>0</v>
      </c>
      <c r="AL22" s="901">
        <f>IF(ISERROR(VLOOKUP($B22,'MRI Data'!$A:$P,AN$10+3,FALSE)),0,VLOOKUP($B22,'MRI Data'!$A:$P,AN$10+3,FALSE))</f>
        <v>0</v>
      </c>
      <c r="AM22" s="901">
        <v>1E-4</v>
      </c>
      <c r="AN22" s="901">
        <f t="shared" si="53"/>
        <v>1E-4</v>
      </c>
      <c r="AO22" s="712">
        <v>1E-4</v>
      </c>
      <c r="AP22" s="712">
        <f t="shared" si="13"/>
        <v>0</v>
      </c>
      <c r="AQ22" s="659"/>
      <c r="AR22" s="712">
        <f t="shared" si="14"/>
        <v>4.0000000000000002E-4</v>
      </c>
      <c r="AS22" s="712">
        <f t="shared" si="15"/>
        <v>4.0000000000000002E-4</v>
      </c>
      <c r="AT22" s="712">
        <f t="shared" si="16"/>
        <v>0</v>
      </c>
      <c r="AU22" s="901">
        <f>IF(ISERROR(VLOOKUP($B22,'MRI Data'!$A:$P,AW$10+3,FALSE)),0,VLOOKUP($B22,'MRI Data'!$A:$P,AW$10+3,FALSE))</f>
        <v>0</v>
      </c>
      <c r="AV22" s="901">
        <v>1E-4</v>
      </c>
      <c r="AW22" s="901">
        <f t="shared" si="54"/>
        <v>1E-4</v>
      </c>
      <c r="AX22" s="712">
        <v>1E-4</v>
      </c>
      <c r="AY22" s="712">
        <f t="shared" si="17"/>
        <v>0</v>
      </c>
      <c r="AZ22" s="659"/>
      <c r="BA22" s="712">
        <f t="shared" si="18"/>
        <v>5.0000000000000001E-4</v>
      </c>
      <c r="BB22" s="712">
        <f t="shared" si="19"/>
        <v>5.0000000000000001E-4</v>
      </c>
      <c r="BC22" s="712">
        <f t="shared" si="20"/>
        <v>0</v>
      </c>
      <c r="BD22" s="901">
        <f>IF(ISERROR(VLOOKUP($B22,'MRI Data'!$A:$P,BF$10+3,FALSE)),0,VLOOKUP($B22,'MRI Data'!$A:$P,BF$10+3,FALSE))</f>
        <v>0</v>
      </c>
      <c r="BE22" s="901">
        <v>1E-4</v>
      </c>
      <c r="BF22" s="901">
        <f t="shared" si="55"/>
        <v>1E-4</v>
      </c>
      <c r="BG22" s="712">
        <v>1E-4</v>
      </c>
      <c r="BH22" s="712">
        <f t="shared" si="21"/>
        <v>0</v>
      </c>
      <c r="BI22" s="659"/>
      <c r="BJ22" s="712">
        <f t="shared" si="22"/>
        <v>6.0000000000000006E-4</v>
      </c>
      <c r="BK22" s="712">
        <f t="shared" si="23"/>
        <v>6.0000000000000006E-4</v>
      </c>
      <c r="BL22" s="712">
        <f t="shared" si="24"/>
        <v>0</v>
      </c>
      <c r="BM22" s="901">
        <f>IF(ISERROR(VLOOKUP($B22,'MRI Data'!$A:$P,BO$10+3,FALSE)),0,VLOOKUP($B22,'MRI Data'!$A:$P,BO$10+3,FALSE))</f>
        <v>0</v>
      </c>
      <c r="BN22" s="901">
        <v>1E-4</v>
      </c>
      <c r="BO22" s="901">
        <f t="shared" si="56"/>
        <v>1E-4</v>
      </c>
      <c r="BP22" s="659">
        <v>0</v>
      </c>
      <c r="BQ22" s="712">
        <f t="shared" si="25"/>
        <v>1E-4</v>
      </c>
      <c r="BR22" s="659"/>
      <c r="BS22" s="712">
        <f t="shared" si="26"/>
        <v>7.000000000000001E-4</v>
      </c>
      <c r="BT22" s="712">
        <f t="shared" si="27"/>
        <v>6.0000000000000006E-4</v>
      </c>
      <c r="BU22" s="712">
        <f t="shared" si="28"/>
        <v>1.0000000000000005E-4</v>
      </c>
      <c r="BV22" s="901">
        <f>IF(ISERROR(VLOOKUP($B22,'MRI Data'!$A:$P,BX$10+3,FALSE)),0,VLOOKUP($B22,'MRI Data'!$A:$P,BX$10+3,FALSE))</f>
        <v>0</v>
      </c>
      <c r="BW22" s="901">
        <v>1E-4</v>
      </c>
      <c r="BX22" s="901">
        <f t="shared" si="57"/>
        <v>1E-4</v>
      </c>
      <c r="BY22" s="659">
        <v>0</v>
      </c>
      <c r="BZ22" s="712">
        <f t="shared" si="29"/>
        <v>1E-4</v>
      </c>
      <c r="CA22" s="659"/>
      <c r="CB22" s="712">
        <f t="shared" si="30"/>
        <v>8.0000000000000015E-4</v>
      </c>
      <c r="CC22" s="712">
        <f t="shared" si="31"/>
        <v>6.0000000000000006E-4</v>
      </c>
      <c r="CD22" s="712">
        <f t="shared" si="32"/>
        <v>2.0000000000000009E-4</v>
      </c>
      <c r="CE22" s="901">
        <f>IF(ISERROR(VLOOKUP($B22,'MRI Data'!$A:$P,CG$10+3,FALSE)),0,VLOOKUP($B22,'MRI Data'!$A:$P,CG$10+3,FALSE))</f>
        <v>0</v>
      </c>
      <c r="CF22" s="901">
        <v>1E-4</v>
      </c>
      <c r="CG22" s="901">
        <f t="shared" si="58"/>
        <v>1E-4</v>
      </c>
      <c r="CH22" s="659">
        <v>0</v>
      </c>
      <c r="CI22" s="712">
        <f t="shared" si="33"/>
        <v>1E-4</v>
      </c>
      <c r="CJ22" s="659"/>
      <c r="CK22" s="712">
        <f t="shared" si="34"/>
        <v>9.0000000000000019E-4</v>
      </c>
      <c r="CL22" s="712">
        <f t="shared" si="35"/>
        <v>6.0000000000000006E-4</v>
      </c>
      <c r="CM22" s="712">
        <f t="shared" si="36"/>
        <v>3.0000000000000014E-4</v>
      </c>
      <c r="CN22" s="901">
        <f>IF(ISERROR(VLOOKUP($B22,'MRI Data'!$A:$P,CP$10+3,FALSE)),0,VLOOKUP($B22,'MRI Data'!$A:$P,CP$10+3,FALSE))</f>
        <v>0</v>
      </c>
      <c r="CO22" s="901">
        <v>1E-4</v>
      </c>
      <c r="CP22" s="901">
        <f t="shared" si="59"/>
        <v>1E-4</v>
      </c>
      <c r="CQ22" s="659">
        <v>0</v>
      </c>
      <c r="CR22" s="712">
        <f t="shared" si="37"/>
        <v>1E-4</v>
      </c>
      <c r="CS22" s="659"/>
      <c r="CT22" s="712">
        <f t="shared" si="38"/>
        <v>1.0000000000000002E-3</v>
      </c>
      <c r="CU22" s="712">
        <f t="shared" si="39"/>
        <v>6.0000000000000006E-4</v>
      </c>
      <c r="CV22" s="712">
        <f t="shared" si="40"/>
        <v>4.0000000000000018E-4</v>
      </c>
      <c r="CW22" s="901">
        <f>IF(ISERROR(VLOOKUP($B22,'MRI Data'!$A:$P,CY$10+3,FALSE)),0,VLOOKUP($B22,'MRI Data'!$A:$P,CY$10+3,FALSE))</f>
        <v>0</v>
      </c>
      <c r="CX22" s="901">
        <v>1E-4</v>
      </c>
      <c r="CY22" s="901">
        <f t="shared" si="60"/>
        <v>1E-4</v>
      </c>
      <c r="CZ22" s="659">
        <v>0</v>
      </c>
      <c r="DA22" s="712">
        <f t="shared" si="41"/>
        <v>1E-4</v>
      </c>
      <c r="DB22" s="659"/>
      <c r="DC22" s="712">
        <f t="shared" si="42"/>
        <v>1.1000000000000003E-3</v>
      </c>
      <c r="DD22" s="712">
        <f t="shared" si="43"/>
        <v>6.0000000000000006E-4</v>
      </c>
      <c r="DE22" s="712">
        <f t="shared" si="44"/>
        <v>5.0000000000000023E-4</v>
      </c>
      <c r="DF22" s="901">
        <f>IF(ISERROR(VLOOKUP($B22,'MRI Data'!$A:$P,DH$10+3,FALSE)),0,VLOOKUP($B22,'MRI Data'!$A:$P,DH$10+3,FALSE))</f>
        <v>0</v>
      </c>
      <c r="DG22" s="901">
        <v>1E-4</v>
      </c>
      <c r="DH22" s="901">
        <f t="shared" si="61"/>
        <v>1E-4</v>
      </c>
      <c r="DI22" s="659">
        <v>0</v>
      </c>
      <c r="DJ22" s="712">
        <f t="shared" si="45"/>
        <v>1E-4</v>
      </c>
      <c r="DK22" s="659"/>
      <c r="DL22" s="712">
        <f t="shared" si="46"/>
        <v>1.2000000000000003E-3</v>
      </c>
      <c r="DM22" s="712">
        <f t="shared" si="47"/>
        <v>6.0000000000000006E-4</v>
      </c>
      <c r="DN22" s="712">
        <f t="shared" si="48"/>
        <v>6.0000000000000027E-4</v>
      </c>
      <c r="DO22" s="742"/>
      <c r="DP22" s="712"/>
      <c r="DQ22" s="734">
        <f t="shared" si="49"/>
        <v>6.0000000000000006E-4</v>
      </c>
      <c r="DR22" s="734">
        <v>0</v>
      </c>
      <c r="DS22" s="735"/>
    </row>
    <row r="23" spans="1:123" s="665" customFormat="1" ht="14.15" customHeight="1">
      <c r="A23" s="665">
        <f t="shared" si="62"/>
        <v>10</v>
      </c>
      <c r="C23" s="728" t="s">
        <v>100</v>
      </c>
      <c r="D23" s="866"/>
      <c r="E23" s="866"/>
      <c r="F23" s="730" t="s">
        <v>100</v>
      </c>
      <c r="G23" s="729" t="s">
        <v>101</v>
      </c>
      <c r="H23" s="731">
        <v>1200</v>
      </c>
      <c r="I23" s="732">
        <f t="shared" si="0"/>
        <v>0</v>
      </c>
      <c r="J23" s="656"/>
      <c r="K23" s="901">
        <f>IF(ISERROR(VLOOKUP($B23,'MRI Data'!$A:$P,M$10+3,FALSE)),0,VLOOKUP($B23,'MRI Data'!$A:$P,M$10+3,FALSE))</f>
        <v>0</v>
      </c>
      <c r="L23" s="901"/>
      <c r="M23" s="901">
        <f t="shared" si="50"/>
        <v>0</v>
      </c>
      <c r="N23" s="712">
        <v>0</v>
      </c>
      <c r="O23" s="712">
        <f t="shared" si="1"/>
        <v>0</v>
      </c>
      <c r="P23" s="656"/>
      <c r="Q23" s="712">
        <f t="shared" si="2"/>
        <v>0</v>
      </c>
      <c r="R23" s="712">
        <f t="shared" si="3"/>
        <v>0</v>
      </c>
      <c r="S23" s="712">
        <f t="shared" si="4"/>
        <v>0</v>
      </c>
      <c r="T23" s="901">
        <f>IF(ISERROR(VLOOKUP($B23,'MRI Data'!$A:$P,V$10+3,FALSE)),0,VLOOKUP($B23,'MRI Data'!$A:$P,V$10+3,FALSE))</f>
        <v>0</v>
      </c>
      <c r="U23" s="901"/>
      <c r="V23" s="901">
        <f t="shared" si="51"/>
        <v>0</v>
      </c>
      <c r="W23" s="712">
        <v>0</v>
      </c>
      <c r="X23" s="712">
        <f t="shared" si="5"/>
        <v>0</v>
      </c>
      <c r="Y23" s="659"/>
      <c r="Z23" s="712">
        <f t="shared" si="6"/>
        <v>0</v>
      </c>
      <c r="AA23" s="712">
        <f t="shared" si="7"/>
        <v>0</v>
      </c>
      <c r="AB23" s="712">
        <f t="shared" si="8"/>
        <v>0</v>
      </c>
      <c r="AC23" s="901">
        <f>IF(ISERROR(VLOOKUP($B23,'MRI Data'!$A:$P,AE$10+3,FALSE)),0,VLOOKUP($B23,'MRI Data'!$A:$P,AE$10+3,FALSE))</f>
        <v>0</v>
      </c>
      <c r="AD23" s="901"/>
      <c r="AE23" s="901">
        <f t="shared" si="52"/>
        <v>0</v>
      </c>
      <c r="AF23" s="712">
        <v>0</v>
      </c>
      <c r="AG23" s="712">
        <f t="shared" si="9"/>
        <v>0</v>
      </c>
      <c r="AH23" s="659"/>
      <c r="AI23" s="712">
        <f t="shared" si="10"/>
        <v>0</v>
      </c>
      <c r="AJ23" s="712">
        <f t="shared" si="11"/>
        <v>0</v>
      </c>
      <c r="AK23" s="712">
        <f t="shared" si="12"/>
        <v>0</v>
      </c>
      <c r="AL23" s="901">
        <f>IF(ISERROR(VLOOKUP($B23,'MRI Data'!$A:$P,AN$10+3,FALSE)),0,VLOOKUP($B23,'MRI Data'!$A:$P,AN$10+3,FALSE))</f>
        <v>0</v>
      </c>
      <c r="AM23" s="901"/>
      <c r="AN23" s="901">
        <f t="shared" si="53"/>
        <v>0</v>
      </c>
      <c r="AO23" s="712">
        <v>0</v>
      </c>
      <c r="AP23" s="712">
        <f t="shared" si="13"/>
        <v>0</v>
      </c>
      <c r="AQ23" s="659"/>
      <c r="AR23" s="712">
        <f t="shared" si="14"/>
        <v>0</v>
      </c>
      <c r="AS23" s="712">
        <f t="shared" si="15"/>
        <v>0</v>
      </c>
      <c r="AT23" s="712">
        <f t="shared" si="16"/>
        <v>0</v>
      </c>
      <c r="AU23" s="901">
        <f>IF(ISERROR(VLOOKUP($B23,'MRI Data'!$A:$P,AW$10+3,FALSE)),0,VLOOKUP($B23,'MRI Data'!$A:$P,AW$10+3,FALSE))</f>
        <v>0</v>
      </c>
      <c r="AV23" s="901"/>
      <c r="AW23" s="901">
        <f t="shared" si="54"/>
        <v>0</v>
      </c>
      <c r="AX23" s="712">
        <v>0</v>
      </c>
      <c r="AY23" s="712">
        <f t="shared" si="17"/>
        <v>0</v>
      </c>
      <c r="AZ23" s="659"/>
      <c r="BA23" s="712">
        <f t="shared" si="18"/>
        <v>0</v>
      </c>
      <c r="BB23" s="712">
        <f t="shared" si="19"/>
        <v>0</v>
      </c>
      <c r="BC23" s="712">
        <f t="shared" si="20"/>
        <v>0</v>
      </c>
      <c r="BD23" s="901">
        <f>IF(ISERROR(VLOOKUP($B23,'MRI Data'!$A:$P,BF$10+3,FALSE)),0,VLOOKUP($B23,'MRI Data'!$A:$P,BF$10+3,FALSE))</f>
        <v>0</v>
      </c>
      <c r="BE23" s="901"/>
      <c r="BF23" s="901">
        <f t="shared" si="55"/>
        <v>0</v>
      </c>
      <c r="BG23" s="712">
        <v>0</v>
      </c>
      <c r="BH23" s="712">
        <f t="shared" si="21"/>
        <v>0</v>
      </c>
      <c r="BI23" s="659"/>
      <c r="BJ23" s="712">
        <f t="shared" si="22"/>
        <v>0</v>
      </c>
      <c r="BK23" s="712">
        <f t="shared" si="23"/>
        <v>0</v>
      </c>
      <c r="BL23" s="712">
        <f t="shared" si="24"/>
        <v>0</v>
      </c>
      <c r="BM23" s="901">
        <f>IF(ISERROR(VLOOKUP($B23,'MRI Data'!$A:$P,BO$10+3,FALSE)),0,VLOOKUP($B23,'MRI Data'!$A:$P,BO$10+3,FALSE))</f>
        <v>0</v>
      </c>
      <c r="BN23" s="901"/>
      <c r="BO23" s="901">
        <f t="shared" si="56"/>
        <v>0</v>
      </c>
      <c r="BP23" s="712">
        <v>0</v>
      </c>
      <c r="BQ23" s="712">
        <f t="shared" si="25"/>
        <v>0</v>
      </c>
      <c r="BR23" s="659"/>
      <c r="BS23" s="712">
        <f t="shared" si="26"/>
        <v>0</v>
      </c>
      <c r="BT23" s="712">
        <f t="shared" si="27"/>
        <v>0</v>
      </c>
      <c r="BU23" s="712">
        <f t="shared" si="28"/>
        <v>0</v>
      </c>
      <c r="BV23" s="901">
        <f>IF(ISERROR(VLOOKUP($B23,'MRI Data'!$A:$P,BX$10+3,FALSE)),0,VLOOKUP($B23,'MRI Data'!$A:$P,BX$10+3,FALSE))</f>
        <v>0</v>
      </c>
      <c r="BW23" s="901"/>
      <c r="BX23" s="901">
        <f t="shared" si="57"/>
        <v>0</v>
      </c>
      <c r="BY23" s="712">
        <v>0</v>
      </c>
      <c r="BZ23" s="712">
        <f t="shared" si="29"/>
        <v>0</v>
      </c>
      <c r="CA23" s="659"/>
      <c r="CB23" s="712">
        <f t="shared" si="30"/>
        <v>0</v>
      </c>
      <c r="CC23" s="712">
        <f t="shared" si="31"/>
        <v>0</v>
      </c>
      <c r="CD23" s="712">
        <f t="shared" si="32"/>
        <v>0</v>
      </c>
      <c r="CE23" s="901">
        <f>IF(ISERROR(VLOOKUP($B23,'MRI Data'!$A:$P,CG$10+3,FALSE)),0,VLOOKUP($B23,'MRI Data'!$A:$P,CG$10+3,FALSE))</f>
        <v>0</v>
      </c>
      <c r="CF23" s="901"/>
      <c r="CG23" s="901">
        <f t="shared" si="58"/>
        <v>0</v>
      </c>
      <c r="CH23" s="712">
        <v>0</v>
      </c>
      <c r="CI23" s="712">
        <f t="shared" si="33"/>
        <v>0</v>
      </c>
      <c r="CJ23" s="659"/>
      <c r="CK23" s="712">
        <f t="shared" si="34"/>
        <v>0</v>
      </c>
      <c r="CL23" s="712">
        <f t="shared" si="35"/>
        <v>0</v>
      </c>
      <c r="CM23" s="712">
        <f t="shared" si="36"/>
        <v>0</v>
      </c>
      <c r="CN23" s="901">
        <f>IF(ISERROR(VLOOKUP($B23,'MRI Data'!$A:$P,CP$10+3,FALSE)),0,VLOOKUP($B23,'MRI Data'!$A:$P,CP$10+3,FALSE))</f>
        <v>0</v>
      </c>
      <c r="CO23" s="901"/>
      <c r="CP23" s="901">
        <f t="shared" si="59"/>
        <v>0</v>
      </c>
      <c r="CQ23" s="712">
        <v>0</v>
      </c>
      <c r="CR23" s="712">
        <f t="shared" si="37"/>
        <v>0</v>
      </c>
      <c r="CS23" s="659"/>
      <c r="CT23" s="712">
        <f t="shared" si="38"/>
        <v>0</v>
      </c>
      <c r="CU23" s="712">
        <f t="shared" si="39"/>
        <v>0</v>
      </c>
      <c r="CV23" s="712">
        <f t="shared" si="40"/>
        <v>0</v>
      </c>
      <c r="CW23" s="901">
        <f>IF(ISERROR(VLOOKUP($B23,'MRI Data'!$A:$P,CY$10+3,FALSE)),0,VLOOKUP($B23,'MRI Data'!$A:$P,CY$10+3,FALSE))</f>
        <v>0</v>
      </c>
      <c r="CX23" s="901"/>
      <c r="CY23" s="901">
        <f t="shared" si="60"/>
        <v>0</v>
      </c>
      <c r="CZ23" s="712">
        <v>4500</v>
      </c>
      <c r="DA23" s="712">
        <f t="shared" si="41"/>
        <v>-4500</v>
      </c>
      <c r="DB23" s="659"/>
      <c r="DC23" s="712">
        <f t="shared" si="42"/>
        <v>0</v>
      </c>
      <c r="DD23" s="712">
        <f t="shared" si="43"/>
        <v>4500</v>
      </c>
      <c r="DE23" s="712">
        <f t="shared" si="44"/>
        <v>-4500</v>
      </c>
      <c r="DF23" s="901">
        <f>IF(ISERROR(VLOOKUP($B23,'MRI Data'!$A:$P,DH$10+3,FALSE)),0,VLOOKUP($B23,'MRI Data'!$A:$P,DH$10+3,FALSE))</f>
        <v>0</v>
      </c>
      <c r="DG23" s="901"/>
      <c r="DH23" s="901">
        <f t="shared" si="61"/>
        <v>0</v>
      </c>
      <c r="DI23" s="712">
        <v>4500</v>
      </c>
      <c r="DJ23" s="712">
        <f t="shared" si="45"/>
        <v>-4500</v>
      </c>
      <c r="DK23" s="659"/>
      <c r="DL23" s="712">
        <f t="shared" si="46"/>
        <v>0</v>
      </c>
      <c r="DM23" s="712">
        <f t="shared" si="47"/>
        <v>9000</v>
      </c>
      <c r="DN23" s="712">
        <f t="shared" si="48"/>
        <v>-9000</v>
      </c>
      <c r="DO23" s="742" t="s">
        <v>128</v>
      </c>
      <c r="DP23" s="712"/>
      <c r="DQ23" s="734">
        <f t="shared" si="49"/>
        <v>9000</v>
      </c>
      <c r="DR23" s="734">
        <v>-9000</v>
      </c>
      <c r="DS23" s="742" t="s">
        <v>128</v>
      </c>
    </row>
    <row r="24" spans="1:123" s="665" customFormat="1" ht="14.15" hidden="1" customHeight="1">
      <c r="A24" s="665">
        <f t="shared" si="62"/>
        <v>11</v>
      </c>
      <c r="C24" s="728"/>
      <c r="D24" s="729"/>
      <c r="E24" s="729"/>
      <c r="F24" s="730"/>
      <c r="G24" s="729"/>
      <c r="H24" s="731"/>
      <c r="I24" s="732">
        <f t="shared" si="0"/>
        <v>0</v>
      </c>
      <c r="J24" s="656"/>
      <c r="K24" s="901"/>
      <c r="L24" s="901"/>
      <c r="M24" s="901">
        <f t="shared" si="50"/>
        <v>0</v>
      </c>
      <c r="N24" s="659"/>
      <c r="O24" s="712">
        <f t="shared" si="1"/>
        <v>0</v>
      </c>
      <c r="P24" s="656"/>
      <c r="Q24" s="659">
        <f t="shared" si="2"/>
        <v>0</v>
      </c>
      <c r="R24" s="659">
        <f t="shared" si="3"/>
        <v>0</v>
      </c>
      <c r="S24" s="712">
        <f t="shared" si="4"/>
        <v>0</v>
      </c>
      <c r="T24" s="901"/>
      <c r="U24" s="901"/>
      <c r="V24" s="901">
        <f t="shared" si="51"/>
        <v>0</v>
      </c>
      <c r="W24" s="659"/>
      <c r="X24" s="712">
        <f t="shared" si="5"/>
        <v>0</v>
      </c>
      <c r="Y24" s="659"/>
      <c r="Z24" s="712">
        <f t="shared" si="6"/>
        <v>0</v>
      </c>
      <c r="AA24" s="712">
        <f t="shared" si="7"/>
        <v>0</v>
      </c>
      <c r="AB24" s="712">
        <f t="shared" si="8"/>
        <v>0</v>
      </c>
      <c r="AC24" s="901"/>
      <c r="AD24" s="901"/>
      <c r="AE24" s="901">
        <f t="shared" si="52"/>
        <v>0</v>
      </c>
      <c r="AF24" s="659"/>
      <c r="AG24" s="712">
        <f t="shared" si="9"/>
        <v>0</v>
      </c>
      <c r="AH24" s="659"/>
      <c r="AI24" s="712">
        <f t="shared" si="10"/>
        <v>0</v>
      </c>
      <c r="AJ24" s="712">
        <f t="shared" si="11"/>
        <v>0</v>
      </c>
      <c r="AK24" s="712">
        <f t="shared" si="12"/>
        <v>0</v>
      </c>
      <c r="AL24" s="901"/>
      <c r="AM24" s="901"/>
      <c r="AN24" s="901">
        <f t="shared" si="53"/>
        <v>0</v>
      </c>
      <c r="AO24" s="712"/>
      <c r="AP24" s="712">
        <f t="shared" si="13"/>
        <v>0</v>
      </c>
      <c r="AQ24" s="659"/>
      <c r="AR24" s="712">
        <f t="shared" si="14"/>
        <v>0</v>
      </c>
      <c r="AS24" s="712">
        <f t="shared" si="15"/>
        <v>0</v>
      </c>
      <c r="AT24" s="712">
        <f t="shared" si="16"/>
        <v>0</v>
      </c>
      <c r="AU24" s="901"/>
      <c r="AV24" s="901"/>
      <c r="AW24" s="901">
        <f t="shared" si="54"/>
        <v>0</v>
      </c>
      <c r="AX24" s="712"/>
      <c r="AY24" s="712">
        <f t="shared" si="17"/>
        <v>0</v>
      </c>
      <c r="AZ24" s="659"/>
      <c r="BA24" s="712">
        <f t="shared" si="18"/>
        <v>0</v>
      </c>
      <c r="BB24" s="712">
        <f t="shared" si="19"/>
        <v>0</v>
      </c>
      <c r="BC24" s="712">
        <f t="shared" si="20"/>
        <v>0</v>
      </c>
      <c r="BD24" s="901"/>
      <c r="BE24" s="901"/>
      <c r="BF24" s="901">
        <f t="shared" si="55"/>
        <v>0</v>
      </c>
      <c r="BG24" s="743"/>
      <c r="BH24" s="712">
        <f t="shared" si="21"/>
        <v>0</v>
      </c>
      <c r="BI24" s="659"/>
      <c r="BJ24" s="712">
        <f t="shared" si="22"/>
        <v>0</v>
      </c>
      <c r="BK24" s="712">
        <f t="shared" si="23"/>
        <v>0</v>
      </c>
      <c r="BL24" s="712">
        <f t="shared" si="24"/>
        <v>0</v>
      </c>
      <c r="BM24" s="901"/>
      <c r="BN24" s="901"/>
      <c r="BO24" s="901">
        <f t="shared" si="56"/>
        <v>0</v>
      </c>
      <c r="BP24" s="659"/>
      <c r="BQ24" s="712">
        <f t="shared" si="25"/>
        <v>0</v>
      </c>
      <c r="BR24" s="659"/>
      <c r="BS24" s="712">
        <f t="shared" si="26"/>
        <v>0</v>
      </c>
      <c r="BT24" s="712">
        <f t="shared" si="27"/>
        <v>0</v>
      </c>
      <c r="BU24" s="712">
        <f t="shared" si="28"/>
        <v>0</v>
      </c>
      <c r="BV24" s="901"/>
      <c r="BW24" s="901"/>
      <c r="BX24" s="901">
        <f t="shared" si="57"/>
        <v>0</v>
      </c>
      <c r="BY24" s="659"/>
      <c r="BZ24" s="712">
        <f t="shared" si="29"/>
        <v>0</v>
      </c>
      <c r="CA24" s="659"/>
      <c r="CB24" s="712">
        <f t="shared" si="30"/>
        <v>0</v>
      </c>
      <c r="CC24" s="712">
        <f t="shared" si="31"/>
        <v>0</v>
      </c>
      <c r="CD24" s="712">
        <f t="shared" si="32"/>
        <v>0</v>
      </c>
      <c r="CE24" s="901"/>
      <c r="CF24" s="901"/>
      <c r="CG24" s="901">
        <f t="shared" si="58"/>
        <v>0</v>
      </c>
      <c r="CH24" s="659"/>
      <c r="CI24" s="712">
        <f t="shared" si="33"/>
        <v>0</v>
      </c>
      <c r="CJ24" s="659"/>
      <c r="CK24" s="712">
        <f t="shared" si="34"/>
        <v>0</v>
      </c>
      <c r="CL24" s="712">
        <f t="shared" si="35"/>
        <v>0</v>
      </c>
      <c r="CM24" s="712">
        <f t="shared" si="36"/>
        <v>0</v>
      </c>
      <c r="CN24" s="901"/>
      <c r="CO24" s="901"/>
      <c r="CP24" s="901">
        <f t="shared" si="59"/>
        <v>0</v>
      </c>
      <c r="CQ24" s="659"/>
      <c r="CR24" s="712">
        <f t="shared" si="37"/>
        <v>0</v>
      </c>
      <c r="CS24" s="659"/>
      <c r="CT24" s="712">
        <f t="shared" si="38"/>
        <v>0</v>
      </c>
      <c r="CU24" s="712">
        <f t="shared" si="39"/>
        <v>0</v>
      </c>
      <c r="CV24" s="712">
        <f t="shared" si="40"/>
        <v>0</v>
      </c>
      <c r="CW24" s="901"/>
      <c r="CX24" s="901"/>
      <c r="CY24" s="901">
        <f t="shared" si="60"/>
        <v>0</v>
      </c>
      <c r="CZ24" s="659"/>
      <c r="DA24" s="712">
        <f t="shared" si="41"/>
        <v>0</v>
      </c>
      <c r="DB24" s="659"/>
      <c r="DC24" s="712">
        <f t="shared" si="42"/>
        <v>0</v>
      </c>
      <c r="DD24" s="712">
        <f t="shared" si="43"/>
        <v>0</v>
      </c>
      <c r="DE24" s="712">
        <f t="shared" si="44"/>
        <v>0</v>
      </c>
      <c r="DF24" s="901"/>
      <c r="DG24" s="901"/>
      <c r="DH24" s="901">
        <f t="shared" si="61"/>
        <v>0</v>
      </c>
      <c r="DI24" s="659"/>
      <c r="DJ24" s="712">
        <f t="shared" si="45"/>
        <v>0</v>
      </c>
      <c r="DK24" s="659"/>
      <c r="DL24" s="712">
        <f t="shared" si="46"/>
        <v>0</v>
      </c>
      <c r="DM24" s="712">
        <f t="shared" si="47"/>
        <v>0</v>
      </c>
      <c r="DN24" s="712">
        <f t="shared" si="48"/>
        <v>0</v>
      </c>
      <c r="DO24" s="735"/>
      <c r="DP24" s="712"/>
      <c r="DQ24" s="734">
        <f t="shared" si="49"/>
        <v>0</v>
      </c>
      <c r="DR24" s="734">
        <v>0</v>
      </c>
      <c r="DS24" s="735"/>
    </row>
    <row r="25" spans="1:123" s="665" customFormat="1" ht="14.15" hidden="1" customHeight="1">
      <c r="A25" s="665">
        <f t="shared" si="62"/>
        <v>12</v>
      </c>
      <c r="C25" s="728"/>
      <c r="D25" s="729"/>
      <c r="E25" s="729"/>
      <c r="F25" s="730"/>
      <c r="G25" s="729"/>
      <c r="H25" s="731"/>
      <c r="I25" s="732">
        <f t="shared" si="0"/>
        <v>0</v>
      </c>
      <c r="J25" s="656"/>
      <c r="K25" s="901"/>
      <c r="L25" s="901"/>
      <c r="M25" s="901">
        <f t="shared" si="50"/>
        <v>0</v>
      </c>
      <c r="N25" s="659"/>
      <c r="O25" s="712">
        <f t="shared" si="1"/>
        <v>0</v>
      </c>
      <c r="P25" s="656"/>
      <c r="Q25" s="659">
        <f t="shared" si="2"/>
        <v>0</v>
      </c>
      <c r="R25" s="659">
        <f t="shared" si="3"/>
        <v>0</v>
      </c>
      <c r="S25" s="712">
        <f t="shared" si="4"/>
        <v>0</v>
      </c>
      <c r="T25" s="901"/>
      <c r="U25" s="901"/>
      <c r="V25" s="901">
        <f t="shared" si="51"/>
        <v>0</v>
      </c>
      <c r="W25" s="659"/>
      <c r="X25" s="712">
        <f t="shared" si="5"/>
        <v>0</v>
      </c>
      <c r="Y25" s="659"/>
      <c r="Z25" s="712">
        <f t="shared" si="6"/>
        <v>0</v>
      </c>
      <c r="AA25" s="712">
        <f t="shared" si="7"/>
        <v>0</v>
      </c>
      <c r="AB25" s="712">
        <f t="shared" si="8"/>
        <v>0</v>
      </c>
      <c r="AC25" s="901"/>
      <c r="AD25" s="901"/>
      <c r="AE25" s="901">
        <f t="shared" si="52"/>
        <v>0</v>
      </c>
      <c r="AF25" s="659"/>
      <c r="AG25" s="712">
        <f t="shared" si="9"/>
        <v>0</v>
      </c>
      <c r="AH25" s="659"/>
      <c r="AI25" s="712">
        <f t="shared" si="10"/>
        <v>0</v>
      </c>
      <c r="AJ25" s="712">
        <f t="shared" si="11"/>
        <v>0</v>
      </c>
      <c r="AK25" s="712">
        <f t="shared" si="12"/>
        <v>0</v>
      </c>
      <c r="AL25" s="901"/>
      <c r="AM25" s="901"/>
      <c r="AN25" s="901">
        <f t="shared" si="53"/>
        <v>0</v>
      </c>
      <c r="AO25" s="659"/>
      <c r="AP25" s="712">
        <f t="shared" si="13"/>
        <v>0</v>
      </c>
      <c r="AQ25" s="659"/>
      <c r="AR25" s="712">
        <f t="shared" si="14"/>
        <v>0</v>
      </c>
      <c r="AS25" s="712">
        <f t="shared" si="15"/>
        <v>0</v>
      </c>
      <c r="AT25" s="712">
        <f t="shared" si="16"/>
        <v>0</v>
      </c>
      <c r="AU25" s="901"/>
      <c r="AV25" s="901"/>
      <c r="AW25" s="901">
        <f t="shared" si="54"/>
        <v>0</v>
      </c>
      <c r="AX25" s="659"/>
      <c r="AY25" s="712">
        <f t="shared" si="17"/>
        <v>0</v>
      </c>
      <c r="AZ25" s="659"/>
      <c r="BA25" s="712">
        <f t="shared" si="18"/>
        <v>0</v>
      </c>
      <c r="BB25" s="712">
        <f t="shared" si="19"/>
        <v>0</v>
      </c>
      <c r="BC25" s="712">
        <f t="shared" si="20"/>
        <v>0</v>
      </c>
      <c r="BD25" s="901"/>
      <c r="BE25" s="901"/>
      <c r="BF25" s="901">
        <f t="shared" si="55"/>
        <v>0</v>
      </c>
      <c r="BG25" s="659"/>
      <c r="BH25" s="712">
        <f t="shared" si="21"/>
        <v>0</v>
      </c>
      <c r="BI25" s="659"/>
      <c r="BJ25" s="712">
        <f t="shared" si="22"/>
        <v>0</v>
      </c>
      <c r="BK25" s="712">
        <f t="shared" si="23"/>
        <v>0</v>
      </c>
      <c r="BL25" s="712">
        <f t="shared" si="24"/>
        <v>0</v>
      </c>
      <c r="BM25" s="901"/>
      <c r="BN25" s="901"/>
      <c r="BO25" s="901">
        <f t="shared" si="56"/>
        <v>0</v>
      </c>
      <c r="BP25" s="659"/>
      <c r="BQ25" s="712">
        <f t="shared" si="25"/>
        <v>0</v>
      </c>
      <c r="BR25" s="659"/>
      <c r="BS25" s="712">
        <f t="shared" si="26"/>
        <v>0</v>
      </c>
      <c r="BT25" s="712">
        <f t="shared" si="27"/>
        <v>0</v>
      </c>
      <c r="BU25" s="712">
        <f t="shared" si="28"/>
        <v>0</v>
      </c>
      <c r="BV25" s="901"/>
      <c r="BW25" s="901"/>
      <c r="BX25" s="901">
        <f t="shared" si="57"/>
        <v>0</v>
      </c>
      <c r="BY25" s="659"/>
      <c r="BZ25" s="712">
        <f t="shared" si="29"/>
        <v>0</v>
      </c>
      <c r="CA25" s="659"/>
      <c r="CB25" s="712">
        <f t="shared" si="30"/>
        <v>0</v>
      </c>
      <c r="CC25" s="712">
        <f t="shared" si="31"/>
        <v>0</v>
      </c>
      <c r="CD25" s="712">
        <f t="shared" si="32"/>
        <v>0</v>
      </c>
      <c r="CE25" s="901"/>
      <c r="CF25" s="901"/>
      <c r="CG25" s="901">
        <f t="shared" si="58"/>
        <v>0</v>
      </c>
      <c r="CH25" s="659"/>
      <c r="CI25" s="712">
        <f t="shared" si="33"/>
        <v>0</v>
      </c>
      <c r="CJ25" s="659"/>
      <c r="CK25" s="712">
        <f t="shared" si="34"/>
        <v>0</v>
      </c>
      <c r="CL25" s="712">
        <f t="shared" si="35"/>
        <v>0</v>
      </c>
      <c r="CM25" s="712">
        <f t="shared" si="36"/>
        <v>0</v>
      </c>
      <c r="CN25" s="901"/>
      <c r="CO25" s="901"/>
      <c r="CP25" s="901">
        <f t="shared" si="59"/>
        <v>0</v>
      </c>
      <c r="CQ25" s="659"/>
      <c r="CR25" s="712">
        <f t="shared" si="37"/>
        <v>0</v>
      </c>
      <c r="CS25" s="659"/>
      <c r="CT25" s="712">
        <f t="shared" si="38"/>
        <v>0</v>
      </c>
      <c r="CU25" s="712">
        <f t="shared" si="39"/>
        <v>0</v>
      </c>
      <c r="CV25" s="712">
        <f t="shared" si="40"/>
        <v>0</v>
      </c>
      <c r="CW25" s="901"/>
      <c r="CX25" s="901"/>
      <c r="CY25" s="901">
        <f t="shared" si="60"/>
        <v>0</v>
      </c>
      <c r="CZ25" s="659"/>
      <c r="DA25" s="712">
        <f t="shared" si="41"/>
        <v>0</v>
      </c>
      <c r="DB25" s="659"/>
      <c r="DC25" s="712">
        <f t="shared" si="42"/>
        <v>0</v>
      </c>
      <c r="DD25" s="712">
        <f t="shared" si="43"/>
        <v>0</v>
      </c>
      <c r="DE25" s="712">
        <f t="shared" si="44"/>
        <v>0</v>
      </c>
      <c r="DF25" s="901"/>
      <c r="DG25" s="901"/>
      <c r="DH25" s="901">
        <f t="shared" si="61"/>
        <v>0</v>
      </c>
      <c r="DI25" s="659"/>
      <c r="DJ25" s="712">
        <f t="shared" si="45"/>
        <v>0</v>
      </c>
      <c r="DK25" s="659"/>
      <c r="DL25" s="712">
        <f t="shared" si="46"/>
        <v>0</v>
      </c>
      <c r="DM25" s="712">
        <f t="shared" si="47"/>
        <v>0</v>
      </c>
      <c r="DN25" s="712">
        <f t="shared" si="48"/>
        <v>0</v>
      </c>
      <c r="DO25" s="739"/>
      <c r="DP25" s="712"/>
      <c r="DQ25" s="734">
        <f t="shared" si="49"/>
        <v>0</v>
      </c>
      <c r="DR25" s="734">
        <v>0</v>
      </c>
      <c r="DS25" s="735"/>
    </row>
    <row r="26" spans="1:123" s="665" customFormat="1" ht="14.15" hidden="1" customHeight="1">
      <c r="A26" s="665">
        <f t="shared" si="62"/>
        <v>13</v>
      </c>
      <c r="C26" s="728"/>
      <c r="D26" s="729"/>
      <c r="E26" s="729"/>
      <c r="F26" s="730"/>
      <c r="G26" s="729"/>
      <c r="H26" s="731"/>
      <c r="I26" s="732">
        <f t="shared" si="0"/>
        <v>0</v>
      </c>
      <c r="J26" s="656"/>
      <c r="K26" s="901"/>
      <c r="L26" s="901"/>
      <c r="M26" s="901">
        <f t="shared" si="50"/>
        <v>0</v>
      </c>
      <c r="N26" s="659"/>
      <c r="O26" s="712">
        <f t="shared" si="1"/>
        <v>0</v>
      </c>
      <c r="P26" s="656"/>
      <c r="Q26" s="659">
        <f t="shared" si="2"/>
        <v>0</v>
      </c>
      <c r="R26" s="659">
        <f t="shared" si="3"/>
        <v>0</v>
      </c>
      <c r="S26" s="712">
        <f t="shared" si="4"/>
        <v>0</v>
      </c>
      <c r="T26" s="901"/>
      <c r="U26" s="901"/>
      <c r="V26" s="901">
        <f t="shared" si="51"/>
        <v>0</v>
      </c>
      <c r="W26" s="659"/>
      <c r="X26" s="712">
        <f t="shared" si="5"/>
        <v>0</v>
      </c>
      <c r="Y26" s="659"/>
      <c r="Z26" s="712">
        <f t="shared" si="6"/>
        <v>0</v>
      </c>
      <c r="AA26" s="712">
        <f t="shared" si="7"/>
        <v>0</v>
      </c>
      <c r="AB26" s="712">
        <f t="shared" si="8"/>
        <v>0</v>
      </c>
      <c r="AC26" s="901"/>
      <c r="AD26" s="901"/>
      <c r="AE26" s="901">
        <f t="shared" si="52"/>
        <v>0</v>
      </c>
      <c r="AF26" s="659"/>
      <c r="AG26" s="712">
        <f t="shared" si="9"/>
        <v>0</v>
      </c>
      <c r="AH26" s="659"/>
      <c r="AI26" s="712">
        <f t="shared" si="10"/>
        <v>0</v>
      </c>
      <c r="AJ26" s="712">
        <f t="shared" si="11"/>
        <v>0</v>
      </c>
      <c r="AK26" s="712">
        <f t="shared" si="12"/>
        <v>0</v>
      </c>
      <c r="AL26" s="901"/>
      <c r="AM26" s="901"/>
      <c r="AN26" s="901">
        <f t="shared" si="53"/>
        <v>0</v>
      </c>
      <c r="AO26" s="659"/>
      <c r="AP26" s="712">
        <f t="shared" si="13"/>
        <v>0</v>
      </c>
      <c r="AQ26" s="659"/>
      <c r="AR26" s="712">
        <f t="shared" si="14"/>
        <v>0</v>
      </c>
      <c r="AS26" s="712">
        <f t="shared" si="15"/>
        <v>0</v>
      </c>
      <c r="AT26" s="712">
        <f t="shared" si="16"/>
        <v>0</v>
      </c>
      <c r="AU26" s="901"/>
      <c r="AV26" s="901"/>
      <c r="AW26" s="901">
        <f t="shared" si="54"/>
        <v>0</v>
      </c>
      <c r="AX26" s="659"/>
      <c r="AY26" s="712">
        <f t="shared" si="17"/>
        <v>0</v>
      </c>
      <c r="AZ26" s="659"/>
      <c r="BA26" s="712">
        <f t="shared" si="18"/>
        <v>0</v>
      </c>
      <c r="BB26" s="712">
        <f t="shared" si="19"/>
        <v>0</v>
      </c>
      <c r="BC26" s="712">
        <f t="shared" si="20"/>
        <v>0</v>
      </c>
      <c r="BD26" s="901"/>
      <c r="BE26" s="901"/>
      <c r="BF26" s="901">
        <f t="shared" si="55"/>
        <v>0</v>
      </c>
      <c r="BG26" s="659"/>
      <c r="BH26" s="712">
        <f t="shared" si="21"/>
        <v>0</v>
      </c>
      <c r="BI26" s="659"/>
      <c r="BJ26" s="712">
        <f t="shared" si="22"/>
        <v>0</v>
      </c>
      <c r="BK26" s="712">
        <f t="shared" si="23"/>
        <v>0</v>
      </c>
      <c r="BL26" s="712">
        <f t="shared" si="24"/>
        <v>0</v>
      </c>
      <c r="BM26" s="901"/>
      <c r="BN26" s="901"/>
      <c r="BO26" s="901">
        <f t="shared" si="56"/>
        <v>0</v>
      </c>
      <c r="BP26" s="659"/>
      <c r="BQ26" s="712">
        <f t="shared" si="25"/>
        <v>0</v>
      </c>
      <c r="BR26" s="659"/>
      <c r="BS26" s="712">
        <f t="shared" si="26"/>
        <v>0</v>
      </c>
      <c r="BT26" s="712">
        <f t="shared" si="27"/>
        <v>0</v>
      </c>
      <c r="BU26" s="712">
        <f t="shared" si="28"/>
        <v>0</v>
      </c>
      <c r="BV26" s="901"/>
      <c r="BW26" s="901"/>
      <c r="BX26" s="901">
        <f t="shared" si="57"/>
        <v>0</v>
      </c>
      <c r="BY26" s="659"/>
      <c r="BZ26" s="712">
        <f t="shared" si="29"/>
        <v>0</v>
      </c>
      <c r="CA26" s="659"/>
      <c r="CB26" s="712">
        <f t="shared" si="30"/>
        <v>0</v>
      </c>
      <c r="CC26" s="712">
        <f t="shared" si="31"/>
        <v>0</v>
      </c>
      <c r="CD26" s="712">
        <f t="shared" si="32"/>
        <v>0</v>
      </c>
      <c r="CE26" s="901"/>
      <c r="CF26" s="901"/>
      <c r="CG26" s="901">
        <f t="shared" si="58"/>
        <v>0</v>
      </c>
      <c r="CH26" s="659"/>
      <c r="CI26" s="712">
        <f t="shared" si="33"/>
        <v>0</v>
      </c>
      <c r="CJ26" s="659"/>
      <c r="CK26" s="712">
        <f t="shared" si="34"/>
        <v>0</v>
      </c>
      <c r="CL26" s="712">
        <f t="shared" si="35"/>
        <v>0</v>
      </c>
      <c r="CM26" s="712">
        <f t="shared" si="36"/>
        <v>0</v>
      </c>
      <c r="CN26" s="901"/>
      <c r="CO26" s="901"/>
      <c r="CP26" s="901">
        <f t="shared" si="59"/>
        <v>0</v>
      </c>
      <c r="CQ26" s="659"/>
      <c r="CR26" s="712">
        <f t="shared" si="37"/>
        <v>0</v>
      </c>
      <c r="CS26" s="659"/>
      <c r="CT26" s="712">
        <f t="shared" si="38"/>
        <v>0</v>
      </c>
      <c r="CU26" s="712">
        <f t="shared" si="39"/>
        <v>0</v>
      </c>
      <c r="CV26" s="712">
        <f t="shared" si="40"/>
        <v>0</v>
      </c>
      <c r="CW26" s="901"/>
      <c r="CX26" s="901"/>
      <c r="CY26" s="901">
        <f t="shared" si="60"/>
        <v>0</v>
      </c>
      <c r="CZ26" s="659"/>
      <c r="DA26" s="712">
        <f t="shared" si="41"/>
        <v>0</v>
      </c>
      <c r="DB26" s="659"/>
      <c r="DC26" s="712">
        <f t="shared" si="42"/>
        <v>0</v>
      </c>
      <c r="DD26" s="712">
        <f t="shared" si="43"/>
        <v>0</v>
      </c>
      <c r="DE26" s="712">
        <f t="shared" si="44"/>
        <v>0</v>
      </c>
      <c r="DF26" s="901"/>
      <c r="DG26" s="901"/>
      <c r="DH26" s="901">
        <f t="shared" si="61"/>
        <v>0</v>
      </c>
      <c r="DI26" s="659"/>
      <c r="DJ26" s="712">
        <f t="shared" si="45"/>
        <v>0</v>
      </c>
      <c r="DK26" s="659"/>
      <c r="DL26" s="712">
        <f t="shared" si="46"/>
        <v>0</v>
      </c>
      <c r="DM26" s="712">
        <f t="shared" si="47"/>
        <v>0</v>
      </c>
      <c r="DN26" s="712">
        <f t="shared" si="48"/>
        <v>0</v>
      </c>
      <c r="DO26" s="737"/>
      <c r="DP26" s="712"/>
      <c r="DQ26" s="734">
        <f t="shared" si="49"/>
        <v>0</v>
      </c>
      <c r="DR26" s="734">
        <v>0</v>
      </c>
      <c r="DS26" s="735"/>
    </row>
    <row r="27" spans="1:123" s="665" customFormat="1" ht="14.15" hidden="1" customHeight="1">
      <c r="A27" s="665">
        <f t="shared" si="62"/>
        <v>14</v>
      </c>
      <c r="C27" s="728"/>
      <c r="D27" s="729"/>
      <c r="E27" s="729"/>
      <c r="F27" s="730"/>
      <c r="G27" s="729"/>
      <c r="H27" s="731"/>
      <c r="I27" s="732">
        <f t="shared" si="0"/>
        <v>0</v>
      </c>
      <c r="J27" s="656"/>
      <c r="K27" s="901"/>
      <c r="L27" s="901"/>
      <c r="M27" s="901">
        <f t="shared" si="50"/>
        <v>0</v>
      </c>
      <c r="N27" s="659"/>
      <c r="O27" s="712">
        <f t="shared" si="1"/>
        <v>0</v>
      </c>
      <c r="P27" s="656"/>
      <c r="Q27" s="659">
        <f t="shared" si="2"/>
        <v>0</v>
      </c>
      <c r="R27" s="659">
        <f t="shared" si="3"/>
        <v>0</v>
      </c>
      <c r="S27" s="712">
        <f t="shared" si="4"/>
        <v>0</v>
      </c>
      <c r="T27" s="901"/>
      <c r="U27" s="901"/>
      <c r="V27" s="901">
        <f t="shared" si="51"/>
        <v>0</v>
      </c>
      <c r="W27" s="659"/>
      <c r="X27" s="712">
        <f t="shared" si="5"/>
        <v>0</v>
      </c>
      <c r="Y27" s="659"/>
      <c r="Z27" s="712">
        <f t="shared" si="6"/>
        <v>0</v>
      </c>
      <c r="AA27" s="712">
        <f t="shared" si="7"/>
        <v>0</v>
      </c>
      <c r="AB27" s="712">
        <f t="shared" si="8"/>
        <v>0</v>
      </c>
      <c r="AC27" s="901"/>
      <c r="AD27" s="901"/>
      <c r="AE27" s="901">
        <f t="shared" si="52"/>
        <v>0</v>
      </c>
      <c r="AF27" s="659"/>
      <c r="AG27" s="712">
        <f t="shared" si="9"/>
        <v>0</v>
      </c>
      <c r="AH27" s="659"/>
      <c r="AI27" s="712">
        <f t="shared" si="10"/>
        <v>0</v>
      </c>
      <c r="AJ27" s="712">
        <f t="shared" si="11"/>
        <v>0</v>
      </c>
      <c r="AK27" s="712">
        <f t="shared" si="12"/>
        <v>0</v>
      </c>
      <c r="AL27" s="901"/>
      <c r="AM27" s="901"/>
      <c r="AN27" s="901">
        <f t="shared" si="53"/>
        <v>0</v>
      </c>
      <c r="AO27" s="659"/>
      <c r="AP27" s="712">
        <f t="shared" si="13"/>
        <v>0</v>
      </c>
      <c r="AQ27" s="659"/>
      <c r="AR27" s="712">
        <f t="shared" si="14"/>
        <v>0</v>
      </c>
      <c r="AS27" s="712">
        <f t="shared" si="15"/>
        <v>0</v>
      </c>
      <c r="AT27" s="712">
        <f t="shared" si="16"/>
        <v>0</v>
      </c>
      <c r="AU27" s="901"/>
      <c r="AV27" s="901"/>
      <c r="AW27" s="901">
        <f t="shared" si="54"/>
        <v>0</v>
      </c>
      <c r="AX27" s="659"/>
      <c r="AY27" s="712">
        <f t="shared" si="17"/>
        <v>0</v>
      </c>
      <c r="AZ27" s="659"/>
      <c r="BA27" s="712">
        <f t="shared" si="18"/>
        <v>0</v>
      </c>
      <c r="BB27" s="712">
        <f t="shared" si="19"/>
        <v>0</v>
      </c>
      <c r="BC27" s="712">
        <f t="shared" si="20"/>
        <v>0</v>
      </c>
      <c r="BD27" s="901"/>
      <c r="BE27" s="901"/>
      <c r="BF27" s="901">
        <f t="shared" si="55"/>
        <v>0</v>
      </c>
      <c r="BG27" s="659"/>
      <c r="BH27" s="712">
        <f t="shared" si="21"/>
        <v>0</v>
      </c>
      <c r="BI27" s="659"/>
      <c r="BJ27" s="712">
        <f t="shared" si="22"/>
        <v>0</v>
      </c>
      <c r="BK27" s="712">
        <f t="shared" si="23"/>
        <v>0</v>
      </c>
      <c r="BL27" s="712">
        <f t="shared" si="24"/>
        <v>0</v>
      </c>
      <c r="BM27" s="901"/>
      <c r="BN27" s="901"/>
      <c r="BO27" s="901">
        <f t="shared" si="56"/>
        <v>0</v>
      </c>
      <c r="BP27" s="712"/>
      <c r="BQ27" s="712">
        <f t="shared" si="25"/>
        <v>0</v>
      </c>
      <c r="BR27" s="659"/>
      <c r="BS27" s="712">
        <f t="shared" si="26"/>
        <v>0</v>
      </c>
      <c r="BT27" s="712">
        <f t="shared" si="27"/>
        <v>0</v>
      </c>
      <c r="BU27" s="712">
        <f t="shared" si="28"/>
        <v>0</v>
      </c>
      <c r="BV27" s="901"/>
      <c r="BW27" s="901"/>
      <c r="BX27" s="901">
        <f t="shared" si="57"/>
        <v>0</v>
      </c>
      <c r="BY27" s="712"/>
      <c r="BZ27" s="712">
        <f t="shared" si="29"/>
        <v>0</v>
      </c>
      <c r="CA27" s="659"/>
      <c r="CB27" s="712">
        <f t="shared" si="30"/>
        <v>0</v>
      </c>
      <c r="CC27" s="712">
        <f t="shared" si="31"/>
        <v>0</v>
      </c>
      <c r="CD27" s="712">
        <f t="shared" si="32"/>
        <v>0</v>
      </c>
      <c r="CE27" s="901"/>
      <c r="CF27" s="901"/>
      <c r="CG27" s="901">
        <f t="shared" si="58"/>
        <v>0</v>
      </c>
      <c r="CH27" s="712"/>
      <c r="CI27" s="712">
        <f t="shared" si="33"/>
        <v>0</v>
      </c>
      <c r="CJ27" s="659"/>
      <c r="CK27" s="712">
        <f t="shared" si="34"/>
        <v>0</v>
      </c>
      <c r="CL27" s="712">
        <f t="shared" si="35"/>
        <v>0</v>
      </c>
      <c r="CM27" s="712">
        <f t="shared" si="36"/>
        <v>0</v>
      </c>
      <c r="CN27" s="901"/>
      <c r="CO27" s="901"/>
      <c r="CP27" s="901">
        <f t="shared" si="59"/>
        <v>0</v>
      </c>
      <c r="CQ27" s="712"/>
      <c r="CR27" s="712">
        <f t="shared" si="37"/>
        <v>0</v>
      </c>
      <c r="CS27" s="659"/>
      <c r="CT27" s="712">
        <f t="shared" si="38"/>
        <v>0</v>
      </c>
      <c r="CU27" s="712">
        <f t="shared" si="39"/>
        <v>0</v>
      </c>
      <c r="CV27" s="712">
        <f t="shared" si="40"/>
        <v>0</v>
      </c>
      <c r="CW27" s="901"/>
      <c r="CX27" s="901"/>
      <c r="CY27" s="901">
        <f t="shared" si="60"/>
        <v>0</v>
      </c>
      <c r="CZ27" s="712"/>
      <c r="DA27" s="712">
        <f t="shared" si="41"/>
        <v>0</v>
      </c>
      <c r="DB27" s="659"/>
      <c r="DC27" s="712">
        <f t="shared" si="42"/>
        <v>0</v>
      </c>
      <c r="DD27" s="712">
        <f t="shared" si="43"/>
        <v>0</v>
      </c>
      <c r="DE27" s="712">
        <f t="shared" si="44"/>
        <v>0</v>
      </c>
      <c r="DF27" s="901"/>
      <c r="DG27" s="901"/>
      <c r="DH27" s="901">
        <f t="shared" si="61"/>
        <v>0</v>
      </c>
      <c r="DI27" s="712"/>
      <c r="DJ27" s="712">
        <f t="shared" si="45"/>
        <v>0</v>
      </c>
      <c r="DK27" s="659"/>
      <c r="DL27" s="712">
        <f t="shared" si="46"/>
        <v>0</v>
      </c>
      <c r="DM27" s="712">
        <f t="shared" si="47"/>
        <v>0</v>
      </c>
      <c r="DN27" s="712">
        <f t="shared" si="48"/>
        <v>0</v>
      </c>
      <c r="DO27" s="739"/>
      <c r="DP27" s="712"/>
      <c r="DQ27" s="734">
        <f t="shared" si="49"/>
        <v>0</v>
      </c>
      <c r="DR27" s="734">
        <v>0</v>
      </c>
      <c r="DS27" s="735"/>
    </row>
    <row r="28" spans="1:123" s="665" customFormat="1" ht="14.15" hidden="1" customHeight="1">
      <c r="A28" s="665">
        <f t="shared" si="62"/>
        <v>15</v>
      </c>
      <c r="C28" s="728"/>
      <c r="D28" s="729"/>
      <c r="E28" s="729"/>
      <c r="F28" s="730"/>
      <c r="G28" s="729"/>
      <c r="H28" s="731"/>
      <c r="I28" s="732">
        <f t="shared" si="0"/>
        <v>0</v>
      </c>
      <c r="J28" s="656"/>
      <c r="K28" s="901"/>
      <c r="L28" s="901"/>
      <c r="M28" s="901">
        <f t="shared" si="50"/>
        <v>0</v>
      </c>
      <c r="N28" s="659"/>
      <c r="O28" s="712">
        <f t="shared" si="1"/>
        <v>0</v>
      </c>
      <c r="P28" s="656"/>
      <c r="Q28" s="659">
        <f t="shared" si="2"/>
        <v>0</v>
      </c>
      <c r="R28" s="659">
        <f t="shared" si="3"/>
        <v>0</v>
      </c>
      <c r="S28" s="712">
        <f t="shared" si="4"/>
        <v>0</v>
      </c>
      <c r="T28" s="901"/>
      <c r="U28" s="901"/>
      <c r="V28" s="901">
        <f t="shared" si="51"/>
        <v>0</v>
      </c>
      <c r="W28" s="659"/>
      <c r="X28" s="712">
        <f t="shared" si="5"/>
        <v>0</v>
      </c>
      <c r="Y28" s="659"/>
      <c r="Z28" s="712">
        <f t="shared" si="6"/>
        <v>0</v>
      </c>
      <c r="AA28" s="712">
        <f t="shared" si="7"/>
        <v>0</v>
      </c>
      <c r="AB28" s="712">
        <f t="shared" si="8"/>
        <v>0</v>
      </c>
      <c r="AC28" s="901"/>
      <c r="AD28" s="901"/>
      <c r="AE28" s="901">
        <f t="shared" si="52"/>
        <v>0</v>
      </c>
      <c r="AF28" s="659"/>
      <c r="AG28" s="712">
        <f t="shared" si="9"/>
        <v>0</v>
      </c>
      <c r="AH28" s="659"/>
      <c r="AI28" s="712">
        <f t="shared" si="10"/>
        <v>0</v>
      </c>
      <c r="AJ28" s="712">
        <f t="shared" si="11"/>
        <v>0</v>
      </c>
      <c r="AK28" s="712">
        <f t="shared" si="12"/>
        <v>0</v>
      </c>
      <c r="AL28" s="901"/>
      <c r="AM28" s="901"/>
      <c r="AN28" s="901">
        <f t="shared" si="53"/>
        <v>0</v>
      </c>
      <c r="AO28" s="659"/>
      <c r="AP28" s="712">
        <f t="shared" si="13"/>
        <v>0</v>
      </c>
      <c r="AQ28" s="659"/>
      <c r="AR28" s="712">
        <f t="shared" si="14"/>
        <v>0</v>
      </c>
      <c r="AS28" s="712">
        <f t="shared" si="15"/>
        <v>0</v>
      </c>
      <c r="AT28" s="712">
        <f t="shared" si="16"/>
        <v>0</v>
      </c>
      <c r="AU28" s="901"/>
      <c r="AV28" s="901"/>
      <c r="AW28" s="901">
        <f t="shared" si="54"/>
        <v>0</v>
      </c>
      <c r="AX28" s="659"/>
      <c r="AY28" s="712">
        <f t="shared" si="17"/>
        <v>0</v>
      </c>
      <c r="AZ28" s="659"/>
      <c r="BA28" s="712">
        <f t="shared" si="18"/>
        <v>0</v>
      </c>
      <c r="BB28" s="712">
        <f t="shared" si="19"/>
        <v>0</v>
      </c>
      <c r="BC28" s="712">
        <f t="shared" si="20"/>
        <v>0</v>
      </c>
      <c r="BD28" s="901"/>
      <c r="BE28" s="901"/>
      <c r="BF28" s="901">
        <f t="shared" si="55"/>
        <v>0</v>
      </c>
      <c r="BG28" s="659"/>
      <c r="BH28" s="712">
        <f t="shared" si="21"/>
        <v>0</v>
      </c>
      <c r="BI28" s="659"/>
      <c r="BJ28" s="712">
        <f t="shared" si="22"/>
        <v>0</v>
      </c>
      <c r="BK28" s="712">
        <f t="shared" si="23"/>
        <v>0</v>
      </c>
      <c r="BL28" s="712">
        <f t="shared" si="24"/>
        <v>0</v>
      </c>
      <c r="BM28" s="901"/>
      <c r="BN28" s="901"/>
      <c r="BO28" s="901">
        <f t="shared" si="56"/>
        <v>0</v>
      </c>
      <c r="BP28" s="659"/>
      <c r="BQ28" s="712">
        <f t="shared" si="25"/>
        <v>0</v>
      </c>
      <c r="BR28" s="659"/>
      <c r="BS28" s="712">
        <f t="shared" si="26"/>
        <v>0</v>
      </c>
      <c r="BT28" s="712">
        <f t="shared" si="27"/>
        <v>0</v>
      </c>
      <c r="BU28" s="712">
        <f t="shared" si="28"/>
        <v>0</v>
      </c>
      <c r="BV28" s="901"/>
      <c r="BW28" s="901"/>
      <c r="BX28" s="901">
        <f t="shared" si="57"/>
        <v>0</v>
      </c>
      <c r="BY28" s="659"/>
      <c r="BZ28" s="712">
        <f t="shared" si="29"/>
        <v>0</v>
      </c>
      <c r="CA28" s="659"/>
      <c r="CB28" s="712">
        <f t="shared" si="30"/>
        <v>0</v>
      </c>
      <c r="CC28" s="712">
        <f t="shared" si="31"/>
        <v>0</v>
      </c>
      <c r="CD28" s="712">
        <f t="shared" si="32"/>
        <v>0</v>
      </c>
      <c r="CE28" s="901"/>
      <c r="CF28" s="901"/>
      <c r="CG28" s="901">
        <f t="shared" si="58"/>
        <v>0</v>
      </c>
      <c r="CH28" s="659"/>
      <c r="CI28" s="712">
        <f t="shared" si="33"/>
        <v>0</v>
      </c>
      <c r="CJ28" s="659"/>
      <c r="CK28" s="712">
        <f t="shared" si="34"/>
        <v>0</v>
      </c>
      <c r="CL28" s="712">
        <f t="shared" si="35"/>
        <v>0</v>
      </c>
      <c r="CM28" s="712">
        <f t="shared" si="36"/>
        <v>0</v>
      </c>
      <c r="CN28" s="901"/>
      <c r="CO28" s="901"/>
      <c r="CP28" s="901">
        <f t="shared" si="59"/>
        <v>0</v>
      </c>
      <c r="CQ28" s="659"/>
      <c r="CR28" s="712">
        <f t="shared" si="37"/>
        <v>0</v>
      </c>
      <c r="CS28" s="659"/>
      <c r="CT28" s="712">
        <f t="shared" si="38"/>
        <v>0</v>
      </c>
      <c r="CU28" s="712">
        <f t="shared" si="39"/>
        <v>0</v>
      </c>
      <c r="CV28" s="712">
        <f t="shared" si="40"/>
        <v>0</v>
      </c>
      <c r="CW28" s="901"/>
      <c r="CX28" s="901"/>
      <c r="CY28" s="901">
        <f t="shared" si="60"/>
        <v>0</v>
      </c>
      <c r="CZ28" s="659"/>
      <c r="DA28" s="712">
        <f t="shared" si="41"/>
        <v>0</v>
      </c>
      <c r="DB28" s="659"/>
      <c r="DC28" s="712">
        <f t="shared" si="42"/>
        <v>0</v>
      </c>
      <c r="DD28" s="712">
        <f t="shared" si="43"/>
        <v>0</v>
      </c>
      <c r="DE28" s="712">
        <f t="shared" si="44"/>
        <v>0</v>
      </c>
      <c r="DF28" s="901"/>
      <c r="DG28" s="901"/>
      <c r="DH28" s="901">
        <f t="shared" si="61"/>
        <v>0</v>
      </c>
      <c r="DI28" s="659"/>
      <c r="DJ28" s="712">
        <f t="shared" si="45"/>
        <v>0</v>
      </c>
      <c r="DK28" s="659"/>
      <c r="DL28" s="712">
        <f t="shared" si="46"/>
        <v>0</v>
      </c>
      <c r="DM28" s="712">
        <f t="shared" si="47"/>
        <v>0</v>
      </c>
      <c r="DN28" s="712">
        <f t="shared" si="48"/>
        <v>0</v>
      </c>
      <c r="DO28" s="742"/>
      <c r="DP28" s="712"/>
      <c r="DQ28" s="734">
        <f t="shared" si="49"/>
        <v>0</v>
      </c>
      <c r="DR28" s="734"/>
      <c r="DS28" s="735"/>
    </row>
    <row r="29" spans="1:123" s="665" customFormat="1" ht="14.15" hidden="1" customHeight="1">
      <c r="A29" s="665">
        <f t="shared" si="62"/>
        <v>16</v>
      </c>
      <c r="C29" s="728"/>
      <c r="D29" s="729"/>
      <c r="E29" s="729"/>
      <c r="F29" s="730"/>
      <c r="G29" s="729"/>
      <c r="H29" s="731"/>
      <c r="I29" s="732">
        <f t="shared" si="0"/>
        <v>0</v>
      </c>
      <c r="J29" s="656"/>
      <c r="K29" s="901"/>
      <c r="L29" s="901"/>
      <c r="M29" s="901">
        <f t="shared" si="50"/>
        <v>0</v>
      </c>
      <c r="N29" s="659"/>
      <c r="O29" s="712">
        <f t="shared" si="1"/>
        <v>0</v>
      </c>
      <c r="P29" s="656"/>
      <c r="Q29" s="659">
        <f t="shared" si="2"/>
        <v>0</v>
      </c>
      <c r="R29" s="659">
        <f t="shared" si="3"/>
        <v>0</v>
      </c>
      <c r="S29" s="712"/>
      <c r="T29" s="901"/>
      <c r="U29" s="901"/>
      <c r="V29" s="901">
        <f t="shared" si="51"/>
        <v>0</v>
      </c>
      <c r="W29" s="659"/>
      <c r="X29" s="712">
        <f t="shared" si="5"/>
        <v>0</v>
      </c>
      <c r="Y29" s="659"/>
      <c r="Z29" s="712">
        <f t="shared" si="6"/>
        <v>0</v>
      </c>
      <c r="AA29" s="712">
        <f t="shared" si="7"/>
        <v>0</v>
      </c>
      <c r="AB29" s="712">
        <f t="shared" si="8"/>
        <v>0</v>
      </c>
      <c r="AC29" s="901"/>
      <c r="AD29" s="901"/>
      <c r="AE29" s="901">
        <f t="shared" si="52"/>
        <v>0</v>
      </c>
      <c r="AF29" s="659"/>
      <c r="AG29" s="712">
        <f t="shared" si="9"/>
        <v>0</v>
      </c>
      <c r="AH29" s="659"/>
      <c r="AI29" s="712">
        <f t="shared" si="10"/>
        <v>0</v>
      </c>
      <c r="AJ29" s="712">
        <f t="shared" si="11"/>
        <v>0</v>
      </c>
      <c r="AK29" s="712">
        <f t="shared" si="12"/>
        <v>0</v>
      </c>
      <c r="AL29" s="901"/>
      <c r="AM29" s="901"/>
      <c r="AN29" s="901">
        <f t="shared" si="53"/>
        <v>0</v>
      </c>
      <c r="AO29" s="659"/>
      <c r="AP29" s="712">
        <f t="shared" si="13"/>
        <v>0</v>
      </c>
      <c r="AQ29" s="659"/>
      <c r="AR29" s="712">
        <f t="shared" si="14"/>
        <v>0</v>
      </c>
      <c r="AS29" s="712">
        <f t="shared" si="15"/>
        <v>0</v>
      </c>
      <c r="AT29" s="712">
        <f t="shared" si="16"/>
        <v>0</v>
      </c>
      <c r="AU29" s="901"/>
      <c r="AV29" s="901"/>
      <c r="AW29" s="901">
        <f t="shared" si="54"/>
        <v>0</v>
      </c>
      <c r="AX29" s="659"/>
      <c r="AY29" s="712">
        <f t="shared" si="17"/>
        <v>0</v>
      </c>
      <c r="AZ29" s="659"/>
      <c r="BA29" s="712">
        <f t="shared" si="18"/>
        <v>0</v>
      </c>
      <c r="BB29" s="712">
        <f t="shared" si="19"/>
        <v>0</v>
      </c>
      <c r="BC29" s="712">
        <f t="shared" si="20"/>
        <v>0</v>
      </c>
      <c r="BD29" s="901"/>
      <c r="BE29" s="901"/>
      <c r="BF29" s="901">
        <f t="shared" si="55"/>
        <v>0</v>
      </c>
      <c r="BG29" s="659"/>
      <c r="BH29" s="712">
        <f t="shared" si="21"/>
        <v>0</v>
      </c>
      <c r="BI29" s="659"/>
      <c r="BJ29" s="712">
        <f t="shared" si="22"/>
        <v>0</v>
      </c>
      <c r="BK29" s="712">
        <f t="shared" si="23"/>
        <v>0</v>
      </c>
      <c r="BL29" s="712">
        <f t="shared" si="24"/>
        <v>0</v>
      </c>
      <c r="BM29" s="901"/>
      <c r="BN29" s="901"/>
      <c r="BO29" s="901">
        <f t="shared" si="56"/>
        <v>0</v>
      </c>
      <c r="BP29" s="711"/>
      <c r="BQ29" s="712">
        <f t="shared" si="25"/>
        <v>0</v>
      </c>
      <c r="BR29" s="659"/>
      <c r="BS29" s="712">
        <f t="shared" si="26"/>
        <v>0</v>
      </c>
      <c r="BT29" s="712">
        <f t="shared" si="27"/>
        <v>0</v>
      </c>
      <c r="BU29" s="712">
        <f t="shared" si="28"/>
        <v>0</v>
      </c>
      <c r="BV29" s="901"/>
      <c r="BW29" s="901"/>
      <c r="BX29" s="901">
        <f t="shared" si="57"/>
        <v>0</v>
      </c>
      <c r="BY29" s="711"/>
      <c r="BZ29" s="712">
        <f t="shared" si="29"/>
        <v>0</v>
      </c>
      <c r="CA29" s="659"/>
      <c r="CB29" s="712">
        <f t="shared" si="30"/>
        <v>0</v>
      </c>
      <c r="CC29" s="712">
        <f t="shared" si="31"/>
        <v>0</v>
      </c>
      <c r="CD29" s="712">
        <f t="shared" si="32"/>
        <v>0</v>
      </c>
      <c r="CE29" s="901"/>
      <c r="CF29" s="901"/>
      <c r="CG29" s="901">
        <f t="shared" si="58"/>
        <v>0</v>
      </c>
      <c r="CH29" s="711"/>
      <c r="CI29" s="712">
        <f t="shared" si="33"/>
        <v>0</v>
      </c>
      <c r="CJ29" s="659"/>
      <c r="CK29" s="712">
        <f t="shared" si="34"/>
        <v>0</v>
      </c>
      <c r="CL29" s="712">
        <f t="shared" si="35"/>
        <v>0</v>
      </c>
      <c r="CM29" s="712">
        <f t="shared" si="36"/>
        <v>0</v>
      </c>
      <c r="CN29" s="901"/>
      <c r="CO29" s="901"/>
      <c r="CP29" s="901">
        <f t="shared" si="59"/>
        <v>0</v>
      </c>
      <c r="CQ29" s="711"/>
      <c r="CR29" s="712">
        <f t="shared" si="37"/>
        <v>0</v>
      </c>
      <c r="CS29" s="659"/>
      <c r="CT29" s="712">
        <f t="shared" si="38"/>
        <v>0</v>
      </c>
      <c r="CU29" s="712">
        <f t="shared" si="39"/>
        <v>0</v>
      </c>
      <c r="CV29" s="712">
        <f t="shared" si="40"/>
        <v>0</v>
      </c>
      <c r="CW29" s="901"/>
      <c r="CX29" s="901"/>
      <c r="CY29" s="901">
        <f t="shared" si="60"/>
        <v>0</v>
      </c>
      <c r="CZ29" s="711"/>
      <c r="DA29" s="712">
        <f t="shared" si="41"/>
        <v>0</v>
      </c>
      <c r="DB29" s="659"/>
      <c r="DC29" s="712">
        <f t="shared" si="42"/>
        <v>0</v>
      </c>
      <c r="DD29" s="712">
        <f t="shared" si="43"/>
        <v>0</v>
      </c>
      <c r="DE29" s="712">
        <f t="shared" si="44"/>
        <v>0</v>
      </c>
      <c r="DF29" s="901"/>
      <c r="DG29" s="901"/>
      <c r="DH29" s="901">
        <f t="shared" si="61"/>
        <v>0</v>
      </c>
      <c r="DI29" s="711"/>
      <c r="DJ29" s="712">
        <f t="shared" si="45"/>
        <v>0</v>
      </c>
      <c r="DK29" s="659"/>
      <c r="DL29" s="712">
        <f t="shared" si="46"/>
        <v>0</v>
      </c>
      <c r="DM29" s="712">
        <f t="shared" si="47"/>
        <v>0</v>
      </c>
      <c r="DN29" s="712">
        <f t="shared" si="48"/>
        <v>0</v>
      </c>
      <c r="DO29" s="739"/>
      <c r="DP29" s="712"/>
      <c r="DQ29" s="734">
        <f t="shared" si="49"/>
        <v>0</v>
      </c>
      <c r="DR29" s="734">
        <v>0</v>
      </c>
      <c r="DS29" s="735"/>
    </row>
    <row r="30" spans="1:123" s="665" customFormat="1" ht="14.15" hidden="1" customHeight="1">
      <c r="A30" s="665">
        <f t="shared" si="62"/>
        <v>17</v>
      </c>
      <c r="C30" s="728"/>
      <c r="D30" s="729"/>
      <c r="E30" s="729"/>
      <c r="F30" s="730"/>
      <c r="G30" s="729"/>
      <c r="H30" s="731"/>
      <c r="I30" s="732">
        <f t="shared" si="0"/>
        <v>0</v>
      </c>
      <c r="J30" s="656"/>
      <c r="K30" s="901"/>
      <c r="L30" s="901"/>
      <c r="M30" s="901">
        <f t="shared" si="50"/>
        <v>0</v>
      </c>
      <c r="N30" s="659"/>
      <c r="O30" s="712">
        <f t="shared" si="1"/>
        <v>0</v>
      </c>
      <c r="P30" s="656"/>
      <c r="Q30" s="659">
        <f t="shared" si="2"/>
        <v>0</v>
      </c>
      <c r="R30" s="659">
        <f t="shared" si="3"/>
        <v>0</v>
      </c>
      <c r="S30" s="712">
        <f t="shared" ref="S30:S39" si="63">O30</f>
        <v>0</v>
      </c>
      <c r="T30" s="901"/>
      <c r="U30" s="901"/>
      <c r="V30" s="901">
        <f t="shared" si="51"/>
        <v>0</v>
      </c>
      <c r="W30" s="659"/>
      <c r="X30" s="712">
        <f t="shared" si="5"/>
        <v>0</v>
      </c>
      <c r="Y30" s="659"/>
      <c r="Z30" s="712">
        <f t="shared" si="6"/>
        <v>0</v>
      </c>
      <c r="AA30" s="712">
        <f t="shared" si="7"/>
        <v>0</v>
      </c>
      <c r="AB30" s="712">
        <f t="shared" si="8"/>
        <v>0</v>
      </c>
      <c r="AC30" s="901"/>
      <c r="AD30" s="901"/>
      <c r="AE30" s="901">
        <f t="shared" si="52"/>
        <v>0</v>
      </c>
      <c r="AF30" s="659"/>
      <c r="AG30" s="712">
        <f t="shared" si="9"/>
        <v>0</v>
      </c>
      <c r="AH30" s="659"/>
      <c r="AI30" s="712">
        <f t="shared" si="10"/>
        <v>0</v>
      </c>
      <c r="AJ30" s="712">
        <f t="shared" si="11"/>
        <v>0</v>
      </c>
      <c r="AK30" s="712">
        <f t="shared" si="12"/>
        <v>0</v>
      </c>
      <c r="AL30" s="901"/>
      <c r="AM30" s="901"/>
      <c r="AN30" s="901">
        <f t="shared" si="53"/>
        <v>0</v>
      </c>
      <c r="AO30" s="659"/>
      <c r="AP30" s="712">
        <f t="shared" si="13"/>
        <v>0</v>
      </c>
      <c r="AQ30" s="659"/>
      <c r="AR30" s="712">
        <f t="shared" si="14"/>
        <v>0</v>
      </c>
      <c r="AS30" s="712">
        <f t="shared" si="15"/>
        <v>0</v>
      </c>
      <c r="AT30" s="712">
        <f t="shared" si="16"/>
        <v>0</v>
      </c>
      <c r="AU30" s="901"/>
      <c r="AV30" s="901"/>
      <c r="AW30" s="901">
        <f t="shared" si="54"/>
        <v>0</v>
      </c>
      <c r="AX30" s="659"/>
      <c r="AY30" s="712">
        <f t="shared" si="17"/>
        <v>0</v>
      </c>
      <c r="AZ30" s="659"/>
      <c r="BA30" s="712">
        <f t="shared" si="18"/>
        <v>0</v>
      </c>
      <c r="BB30" s="712">
        <f t="shared" si="19"/>
        <v>0</v>
      </c>
      <c r="BC30" s="712">
        <f t="shared" si="20"/>
        <v>0</v>
      </c>
      <c r="BD30" s="901"/>
      <c r="BE30" s="901"/>
      <c r="BF30" s="901">
        <f t="shared" si="55"/>
        <v>0</v>
      </c>
      <c r="BG30" s="659"/>
      <c r="BH30" s="712">
        <f t="shared" si="21"/>
        <v>0</v>
      </c>
      <c r="BI30" s="659"/>
      <c r="BJ30" s="712">
        <f t="shared" si="22"/>
        <v>0</v>
      </c>
      <c r="BK30" s="712">
        <f t="shared" si="23"/>
        <v>0</v>
      </c>
      <c r="BL30" s="712">
        <f t="shared" si="24"/>
        <v>0</v>
      </c>
      <c r="BM30" s="901"/>
      <c r="BN30" s="901"/>
      <c r="BO30" s="901">
        <f t="shared" si="56"/>
        <v>0</v>
      </c>
      <c r="BP30" s="659"/>
      <c r="BQ30" s="712">
        <f t="shared" si="25"/>
        <v>0</v>
      </c>
      <c r="BR30" s="659"/>
      <c r="BS30" s="712">
        <f t="shared" si="26"/>
        <v>0</v>
      </c>
      <c r="BT30" s="712">
        <f t="shared" si="27"/>
        <v>0</v>
      </c>
      <c r="BU30" s="712">
        <f t="shared" si="28"/>
        <v>0</v>
      </c>
      <c r="BV30" s="901"/>
      <c r="BW30" s="901"/>
      <c r="BX30" s="901">
        <f t="shared" si="57"/>
        <v>0</v>
      </c>
      <c r="BY30" s="659"/>
      <c r="BZ30" s="712">
        <f t="shared" si="29"/>
        <v>0</v>
      </c>
      <c r="CA30" s="659"/>
      <c r="CB30" s="712">
        <f t="shared" si="30"/>
        <v>0</v>
      </c>
      <c r="CC30" s="712">
        <f t="shared" si="31"/>
        <v>0</v>
      </c>
      <c r="CD30" s="712">
        <f t="shared" si="32"/>
        <v>0</v>
      </c>
      <c r="CE30" s="901"/>
      <c r="CF30" s="901"/>
      <c r="CG30" s="901">
        <f t="shared" si="58"/>
        <v>0</v>
      </c>
      <c r="CH30" s="659"/>
      <c r="CI30" s="712">
        <f t="shared" si="33"/>
        <v>0</v>
      </c>
      <c r="CJ30" s="659"/>
      <c r="CK30" s="712">
        <f t="shared" si="34"/>
        <v>0</v>
      </c>
      <c r="CL30" s="712">
        <f t="shared" si="35"/>
        <v>0</v>
      </c>
      <c r="CM30" s="712">
        <f t="shared" si="36"/>
        <v>0</v>
      </c>
      <c r="CN30" s="901"/>
      <c r="CO30" s="901"/>
      <c r="CP30" s="901">
        <f t="shared" si="59"/>
        <v>0</v>
      </c>
      <c r="CQ30" s="659"/>
      <c r="CR30" s="712">
        <f t="shared" si="37"/>
        <v>0</v>
      </c>
      <c r="CS30" s="659"/>
      <c r="CT30" s="712">
        <f t="shared" si="38"/>
        <v>0</v>
      </c>
      <c r="CU30" s="712">
        <f t="shared" si="39"/>
        <v>0</v>
      </c>
      <c r="CV30" s="712">
        <f t="shared" si="40"/>
        <v>0</v>
      </c>
      <c r="CW30" s="901"/>
      <c r="CX30" s="901"/>
      <c r="CY30" s="901">
        <f t="shared" si="60"/>
        <v>0</v>
      </c>
      <c r="CZ30" s="659"/>
      <c r="DA30" s="712">
        <f t="shared" si="41"/>
        <v>0</v>
      </c>
      <c r="DB30" s="659"/>
      <c r="DC30" s="712">
        <f t="shared" si="42"/>
        <v>0</v>
      </c>
      <c r="DD30" s="712">
        <f t="shared" si="43"/>
        <v>0</v>
      </c>
      <c r="DE30" s="712">
        <f t="shared" si="44"/>
        <v>0</v>
      </c>
      <c r="DF30" s="901"/>
      <c r="DG30" s="901"/>
      <c r="DH30" s="901">
        <f t="shared" si="61"/>
        <v>0</v>
      </c>
      <c r="DI30" s="659"/>
      <c r="DJ30" s="712">
        <f t="shared" si="45"/>
        <v>0</v>
      </c>
      <c r="DK30" s="659"/>
      <c r="DL30" s="712">
        <f t="shared" si="46"/>
        <v>0</v>
      </c>
      <c r="DM30" s="712">
        <f t="shared" si="47"/>
        <v>0</v>
      </c>
      <c r="DN30" s="712">
        <f t="shared" si="48"/>
        <v>0</v>
      </c>
      <c r="DO30" s="739"/>
      <c r="DP30" s="745"/>
      <c r="DQ30" s="734">
        <f t="shared" si="49"/>
        <v>0</v>
      </c>
      <c r="DR30" s="734">
        <v>0</v>
      </c>
      <c r="DS30" s="735"/>
    </row>
    <row r="31" spans="1:123" s="665" customFormat="1" ht="14.15" hidden="1" customHeight="1">
      <c r="A31" s="665">
        <f t="shared" si="62"/>
        <v>18</v>
      </c>
      <c r="C31" s="728"/>
      <c r="D31" s="729"/>
      <c r="E31" s="729"/>
      <c r="F31" s="730"/>
      <c r="G31" s="729"/>
      <c r="H31" s="731"/>
      <c r="I31" s="732">
        <f t="shared" si="0"/>
        <v>0</v>
      </c>
      <c r="J31" s="656"/>
      <c r="K31" s="901"/>
      <c r="L31" s="901"/>
      <c r="M31" s="901">
        <f t="shared" si="50"/>
        <v>0</v>
      </c>
      <c r="N31" s="659"/>
      <c r="O31" s="712">
        <f t="shared" si="1"/>
        <v>0</v>
      </c>
      <c r="P31" s="656"/>
      <c r="Q31" s="659">
        <f t="shared" si="2"/>
        <v>0</v>
      </c>
      <c r="R31" s="659">
        <f t="shared" si="3"/>
        <v>0</v>
      </c>
      <c r="S31" s="712">
        <f t="shared" si="63"/>
        <v>0</v>
      </c>
      <c r="T31" s="901"/>
      <c r="U31" s="901"/>
      <c r="V31" s="901">
        <f t="shared" si="51"/>
        <v>0</v>
      </c>
      <c r="W31" s="659"/>
      <c r="X31" s="712">
        <f t="shared" si="5"/>
        <v>0</v>
      </c>
      <c r="Y31" s="659"/>
      <c r="Z31" s="712">
        <f t="shared" si="6"/>
        <v>0</v>
      </c>
      <c r="AA31" s="712">
        <f t="shared" si="7"/>
        <v>0</v>
      </c>
      <c r="AB31" s="712">
        <f t="shared" si="8"/>
        <v>0</v>
      </c>
      <c r="AC31" s="901"/>
      <c r="AD31" s="901"/>
      <c r="AE31" s="901">
        <f t="shared" si="52"/>
        <v>0</v>
      </c>
      <c r="AF31" s="659"/>
      <c r="AG31" s="712">
        <f t="shared" si="9"/>
        <v>0</v>
      </c>
      <c r="AH31" s="659"/>
      <c r="AI31" s="712">
        <f t="shared" si="10"/>
        <v>0</v>
      </c>
      <c r="AJ31" s="712">
        <f t="shared" si="11"/>
        <v>0</v>
      </c>
      <c r="AK31" s="712">
        <f t="shared" si="12"/>
        <v>0</v>
      </c>
      <c r="AL31" s="901"/>
      <c r="AM31" s="901"/>
      <c r="AN31" s="901">
        <f t="shared" si="53"/>
        <v>0</v>
      </c>
      <c r="AO31" s="659"/>
      <c r="AP31" s="712">
        <f t="shared" si="13"/>
        <v>0</v>
      </c>
      <c r="AQ31" s="659"/>
      <c r="AR31" s="712">
        <f t="shared" si="14"/>
        <v>0</v>
      </c>
      <c r="AS31" s="712">
        <f t="shared" si="15"/>
        <v>0</v>
      </c>
      <c r="AT31" s="712">
        <f t="shared" si="16"/>
        <v>0</v>
      </c>
      <c r="AU31" s="901"/>
      <c r="AV31" s="901"/>
      <c r="AW31" s="901">
        <f t="shared" si="54"/>
        <v>0</v>
      </c>
      <c r="AX31" s="659"/>
      <c r="AY31" s="712">
        <f t="shared" si="17"/>
        <v>0</v>
      </c>
      <c r="AZ31" s="659"/>
      <c r="BA31" s="712">
        <f t="shared" si="18"/>
        <v>0</v>
      </c>
      <c r="BB31" s="712">
        <f t="shared" si="19"/>
        <v>0</v>
      </c>
      <c r="BC31" s="712">
        <f t="shared" si="20"/>
        <v>0</v>
      </c>
      <c r="BD31" s="901"/>
      <c r="BE31" s="901"/>
      <c r="BF31" s="901">
        <f t="shared" si="55"/>
        <v>0</v>
      </c>
      <c r="BG31" s="659"/>
      <c r="BH31" s="712">
        <f t="shared" si="21"/>
        <v>0</v>
      </c>
      <c r="BI31" s="659"/>
      <c r="BJ31" s="712">
        <f t="shared" si="22"/>
        <v>0</v>
      </c>
      <c r="BK31" s="712">
        <f t="shared" si="23"/>
        <v>0</v>
      </c>
      <c r="BL31" s="712">
        <f t="shared" si="24"/>
        <v>0</v>
      </c>
      <c r="BM31" s="901"/>
      <c r="BN31" s="901"/>
      <c r="BO31" s="901">
        <f t="shared" si="56"/>
        <v>0</v>
      </c>
      <c r="BP31" s="659"/>
      <c r="BQ31" s="712">
        <f t="shared" si="25"/>
        <v>0</v>
      </c>
      <c r="BR31" s="659"/>
      <c r="BS31" s="712">
        <f t="shared" si="26"/>
        <v>0</v>
      </c>
      <c r="BT31" s="712">
        <f t="shared" si="27"/>
        <v>0</v>
      </c>
      <c r="BU31" s="712">
        <f t="shared" si="28"/>
        <v>0</v>
      </c>
      <c r="BV31" s="901"/>
      <c r="BW31" s="901"/>
      <c r="BX31" s="901">
        <f t="shared" si="57"/>
        <v>0</v>
      </c>
      <c r="BY31" s="659"/>
      <c r="BZ31" s="712">
        <f t="shared" si="29"/>
        <v>0</v>
      </c>
      <c r="CA31" s="659"/>
      <c r="CB31" s="712">
        <f t="shared" si="30"/>
        <v>0</v>
      </c>
      <c r="CC31" s="712">
        <f t="shared" si="31"/>
        <v>0</v>
      </c>
      <c r="CD31" s="712">
        <f t="shared" si="32"/>
        <v>0</v>
      </c>
      <c r="CE31" s="901"/>
      <c r="CF31" s="901"/>
      <c r="CG31" s="901">
        <f t="shared" si="58"/>
        <v>0</v>
      </c>
      <c r="CH31" s="659"/>
      <c r="CI31" s="712">
        <f t="shared" si="33"/>
        <v>0</v>
      </c>
      <c r="CJ31" s="659"/>
      <c r="CK31" s="712">
        <f t="shared" si="34"/>
        <v>0</v>
      </c>
      <c r="CL31" s="712">
        <f t="shared" si="35"/>
        <v>0</v>
      </c>
      <c r="CM31" s="712">
        <f t="shared" si="36"/>
        <v>0</v>
      </c>
      <c r="CN31" s="901"/>
      <c r="CO31" s="901"/>
      <c r="CP31" s="901">
        <f t="shared" si="59"/>
        <v>0</v>
      </c>
      <c r="CQ31" s="659"/>
      <c r="CR31" s="712">
        <f t="shared" si="37"/>
        <v>0</v>
      </c>
      <c r="CS31" s="659"/>
      <c r="CT31" s="712">
        <f t="shared" si="38"/>
        <v>0</v>
      </c>
      <c r="CU31" s="712">
        <f t="shared" si="39"/>
        <v>0</v>
      </c>
      <c r="CV31" s="712">
        <f t="shared" si="40"/>
        <v>0</v>
      </c>
      <c r="CW31" s="901"/>
      <c r="CX31" s="901"/>
      <c r="CY31" s="901">
        <f t="shared" si="60"/>
        <v>0</v>
      </c>
      <c r="CZ31" s="659"/>
      <c r="DA31" s="712">
        <f t="shared" si="41"/>
        <v>0</v>
      </c>
      <c r="DB31" s="659"/>
      <c r="DC31" s="712">
        <f t="shared" si="42"/>
        <v>0</v>
      </c>
      <c r="DD31" s="712">
        <f t="shared" si="43"/>
        <v>0</v>
      </c>
      <c r="DE31" s="712">
        <f t="shared" si="44"/>
        <v>0</v>
      </c>
      <c r="DF31" s="901"/>
      <c r="DG31" s="901"/>
      <c r="DH31" s="901">
        <f t="shared" si="61"/>
        <v>0</v>
      </c>
      <c r="DI31" s="659"/>
      <c r="DJ31" s="712">
        <f t="shared" si="45"/>
        <v>0</v>
      </c>
      <c r="DK31" s="659"/>
      <c r="DL31" s="712">
        <f t="shared" si="46"/>
        <v>0</v>
      </c>
      <c r="DM31" s="712">
        <f t="shared" si="47"/>
        <v>0</v>
      </c>
      <c r="DN31" s="712">
        <f t="shared" si="48"/>
        <v>0</v>
      </c>
      <c r="DO31" s="737"/>
      <c r="DP31" s="712"/>
      <c r="DQ31" s="734">
        <f t="shared" si="49"/>
        <v>0</v>
      </c>
      <c r="DR31" s="734">
        <v>0</v>
      </c>
      <c r="DS31" s="735"/>
    </row>
    <row r="32" spans="1:123" s="665" customFormat="1" ht="14.15" hidden="1" customHeight="1">
      <c r="A32" s="665">
        <f t="shared" si="62"/>
        <v>19</v>
      </c>
      <c r="C32" s="728"/>
      <c r="D32" s="729"/>
      <c r="E32" s="729"/>
      <c r="F32" s="730"/>
      <c r="G32" s="729"/>
      <c r="H32" s="731"/>
      <c r="I32" s="732">
        <f t="shared" si="0"/>
        <v>0</v>
      </c>
      <c r="J32" s="656"/>
      <c r="K32" s="901"/>
      <c r="L32" s="901"/>
      <c r="M32" s="901">
        <f t="shared" si="50"/>
        <v>0</v>
      </c>
      <c r="N32" s="659"/>
      <c r="O32" s="712">
        <f t="shared" si="1"/>
        <v>0</v>
      </c>
      <c r="P32" s="656"/>
      <c r="Q32" s="659">
        <f t="shared" si="2"/>
        <v>0</v>
      </c>
      <c r="R32" s="659">
        <f t="shared" si="3"/>
        <v>0</v>
      </c>
      <c r="S32" s="712">
        <f t="shared" si="63"/>
        <v>0</v>
      </c>
      <c r="T32" s="901"/>
      <c r="U32" s="901"/>
      <c r="V32" s="901">
        <f t="shared" si="51"/>
        <v>0</v>
      </c>
      <c r="W32" s="659"/>
      <c r="X32" s="712">
        <f t="shared" si="5"/>
        <v>0</v>
      </c>
      <c r="Y32" s="659"/>
      <c r="Z32" s="712">
        <f t="shared" si="6"/>
        <v>0</v>
      </c>
      <c r="AA32" s="712">
        <f t="shared" si="7"/>
        <v>0</v>
      </c>
      <c r="AB32" s="712">
        <f t="shared" si="8"/>
        <v>0</v>
      </c>
      <c r="AC32" s="901"/>
      <c r="AD32" s="901"/>
      <c r="AE32" s="901">
        <f t="shared" si="52"/>
        <v>0</v>
      </c>
      <c r="AF32" s="659"/>
      <c r="AG32" s="712">
        <f t="shared" si="9"/>
        <v>0</v>
      </c>
      <c r="AH32" s="659"/>
      <c r="AI32" s="712">
        <f t="shared" si="10"/>
        <v>0</v>
      </c>
      <c r="AJ32" s="712">
        <f t="shared" si="11"/>
        <v>0</v>
      </c>
      <c r="AK32" s="712">
        <f t="shared" si="12"/>
        <v>0</v>
      </c>
      <c r="AL32" s="901"/>
      <c r="AM32" s="901"/>
      <c r="AN32" s="901">
        <f t="shared" si="53"/>
        <v>0</v>
      </c>
      <c r="AO32" s="659"/>
      <c r="AP32" s="712">
        <f t="shared" si="13"/>
        <v>0</v>
      </c>
      <c r="AQ32" s="659"/>
      <c r="AR32" s="712">
        <f t="shared" si="14"/>
        <v>0</v>
      </c>
      <c r="AS32" s="712">
        <f t="shared" si="15"/>
        <v>0</v>
      </c>
      <c r="AT32" s="712">
        <f t="shared" si="16"/>
        <v>0</v>
      </c>
      <c r="AU32" s="901"/>
      <c r="AV32" s="901"/>
      <c r="AW32" s="901">
        <f t="shared" si="54"/>
        <v>0</v>
      </c>
      <c r="AX32" s="659"/>
      <c r="AY32" s="712">
        <f t="shared" si="17"/>
        <v>0</v>
      </c>
      <c r="AZ32" s="659"/>
      <c r="BA32" s="712">
        <f t="shared" si="18"/>
        <v>0</v>
      </c>
      <c r="BB32" s="712">
        <f t="shared" si="19"/>
        <v>0</v>
      </c>
      <c r="BC32" s="712">
        <f t="shared" si="20"/>
        <v>0</v>
      </c>
      <c r="BD32" s="901"/>
      <c r="BE32" s="901"/>
      <c r="BF32" s="901">
        <f t="shared" si="55"/>
        <v>0</v>
      </c>
      <c r="BG32" s="659"/>
      <c r="BH32" s="712">
        <f t="shared" si="21"/>
        <v>0</v>
      </c>
      <c r="BI32" s="659"/>
      <c r="BJ32" s="712">
        <f t="shared" si="22"/>
        <v>0</v>
      </c>
      <c r="BK32" s="712">
        <f t="shared" si="23"/>
        <v>0</v>
      </c>
      <c r="BL32" s="712">
        <f t="shared" si="24"/>
        <v>0</v>
      </c>
      <c r="BM32" s="901"/>
      <c r="BN32" s="901"/>
      <c r="BO32" s="901">
        <f t="shared" si="56"/>
        <v>0</v>
      </c>
      <c r="BP32" s="659"/>
      <c r="BQ32" s="712">
        <f t="shared" si="25"/>
        <v>0</v>
      </c>
      <c r="BR32" s="659"/>
      <c r="BS32" s="712">
        <f t="shared" si="26"/>
        <v>0</v>
      </c>
      <c r="BT32" s="712">
        <f t="shared" si="27"/>
        <v>0</v>
      </c>
      <c r="BU32" s="712">
        <f t="shared" si="28"/>
        <v>0</v>
      </c>
      <c r="BV32" s="901"/>
      <c r="BW32" s="901"/>
      <c r="BX32" s="901">
        <f t="shared" si="57"/>
        <v>0</v>
      </c>
      <c r="BY32" s="659"/>
      <c r="BZ32" s="712">
        <f t="shared" si="29"/>
        <v>0</v>
      </c>
      <c r="CA32" s="659"/>
      <c r="CB32" s="712">
        <f t="shared" si="30"/>
        <v>0</v>
      </c>
      <c r="CC32" s="712">
        <f t="shared" si="31"/>
        <v>0</v>
      </c>
      <c r="CD32" s="712">
        <f t="shared" si="32"/>
        <v>0</v>
      </c>
      <c r="CE32" s="901"/>
      <c r="CF32" s="901"/>
      <c r="CG32" s="901">
        <f t="shared" si="58"/>
        <v>0</v>
      </c>
      <c r="CH32" s="659"/>
      <c r="CI32" s="712">
        <f t="shared" si="33"/>
        <v>0</v>
      </c>
      <c r="CJ32" s="659"/>
      <c r="CK32" s="712">
        <f t="shared" si="34"/>
        <v>0</v>
      </c>
      <c r="CL32" s="712">
        <f t="shared" si="35"/>
        <v>0</v>
      </c>
      <c r="CM32" s="712">
        <f t="shared" si="36"/>
        <v>0</v>
      </c>
      <c r="CN32" s="901"/>
      <c r="CO32" s="901"/>
      <c r="CP32" s="901">
        <f t="shared" si="59"/>
        <v>0</v>
      </c>
      <c r="CQ32" s="659"/>
      <c r="CR32" s="712">
        <f t="shared" si="37"/>
        <v>0</v>
      </c>
      <c r="CS32" s="659"/>
      <c r="CT32" s="712">
        <f t="shared" si="38"/>
        <v>0</v>
      </c>
      <c r="CU32" s="712">
        <f t="shared" si="39"/>
        <v>0</v>
      </c>
      <c r="CV32" s="712">
        <f t="shared" si="40"/>
        <v>0</v>
      </c>
      <c r="CW32" s="901"/>
      <c r="CX32" s="901"/>
      <c r="CY32" s="901">
        <f t="shared" si="60"/>
        <v>0</v>
      </c>
      <c r="CZ32" s="659"/>
      <c r="DA32" s="712">
        <f t="shared" si="41"/>
        <v>0</v>
      </c>
      <c r="DB32" s="659"/>
      <c r="DC32" s="712">
        <f t="shared" si="42"/>
        <v>0</v>
      </c>
      <c r="DD32" s="712">
        <f t="shared" si="43"/>
        <v>0</v>
      </c>
      <c r="DE32" s="712">
        <f t="shared" si="44"/>
        <v>0</v>
      </c>
      <c r="DF32" s="901"/>
      <c r="DG32" s="901"/>
      <c r="DH32" s="901">
        <f t="shared" si="61"/>
        <v>0</v>
      </c>
      <c r="DI32" s="659"/>
      <c r="DJ32" s="712">
        <f t="shared" si="45"/>
        <v>0</v>
      </c>
      <c r="DK32" s="659"/>
      <c r="DL32" s="712">
        <f t="shared" si="46"/>
        <v>0</v>
      </c>
      <c r="DM32" s="712">
        <f t="shared" si="47"/>
        <v>0</v>
      </c>
      <c r="DN32" s="712">
        <f t="shared" si="48"/>
        <v>0</v>
      </c>
      <c r="DO32" s="737"/>
      <c r="DP32" s="712"/>
      <c r="DQ32" s="734">
        <f t="shared" si="49"/>
        <v>0</v>
      </c>
      <c r="DR32" s="734">
        <v>0</v>
      </c>
      <c r="DS32" s="735"/>
    </row>
    <row r="33" spans="1:123" s="665" customFormat="1" ht="14.15" hidden="1" customHeight="1">
      <c r="A33" s="665">
        <f t="shared" si="62"/>
        <v>20</v>
      </c>
      <c r="C33" s="728"/>
      <c r="D33" s="729"/>
      <c r="E33" s="729"/>
      <c r="F33" s="730"/>
      <c r="G33" s="729"/>
      <c r="H33" s="740"/>
      <c r="I33" s="732">
        <f t="shared" si="0"/>
        <v>0</v>
      </c>
      <c r="J33" s="656"/>
      <c r="K33" s="901"/>
      <c r="L33" s="901"/>
      <c r="M33" s="901">
        <f t="shared" si="50"/>
        <v>0</v>
      </c>
      <c r="N33" s="659"/>
      <c r="O33" s="712">
        <f t="shared" si="1"/>
        <v>0</v>
      </c>
      <c r="P33" s="656"/>
      <c r="Q33" s="659">
        <f t="shared" si="2"/>
        <v>0</v>
      </c>
      <c r="R33" s="659">
        <f t="shared" si="3"/>
        <v>0</v>
      </c>
      <c r="S33" s="712">
        <f t="shared" si="63"/>
        <v>0</v>
      </c>
      <c r="T33" s="901"/>
      <c r="U33" s="901"/>
      <c r="V33" s="901">
        <f t="shared" si="51"/>
        <v>0</v>
      </c>
      <c r="W33" s="659"/>
      <c r="X33" s="712">
        <f t="shared" si="5"/>
        <v>0</v>
      </c>
      <c r="Y33" s="659"/>
      <c r="Z33" s="712">
        <f t="shared" si="6"/>
        <v>0</v>
      </c>
      <c r="AA33" s="712">
        <f t="shared" si="7"/>
        <v>0</v>
      </c>
      <c r="AB33" s="712">
        <f t="shared" si="8"/>
        <v>0</v>
      </c>
      <c r="AC33" s="901"/>
      <c r="AD33" s="901"/>
      <c r="AE33" s="901">
        <f t="shared" si="52"/>
        <v>0</v>
      </c>
      <c r="AF33" s="659"/>
      <c r="AG33" s="712">
        <f t="shared" si="9"/>
        <v>0</v>
      </c>
      <c r="AH33" s="659"/>
      <c r="AI33" s="712">
        <f t="shared" si="10"/>
        <v>0</v>
      </c>
      <c r="AJ33" s="712">
        <f t="shared" si="11"/>
        <v>0</v>
      </c>
      <c r="AK33" s="712">
        <f t="shared" si="12"/>
        <v>0</v>
      </c>
      <c r="AL33" s="901"/>
      <c r="AM33" s="901"/>
      <c r="AN33" s="901">
        <f t="shared" si="53"/>
        <v>0</v>
      </c>
      <c r="AO33" s="659"/>
      <c r="AP33" s="712">
        <f t="shared" si="13"/>
        <v>0</v>
      </c>
      <c r="AQ33" s="659"/>
      <c r="AR33" s="712">
        <f t="shared" si="14"/>
        <v>0</v>
      </c>
      <c r="AS33" s="712">
        <f t="shared" si="15"/>
        <v>0</v>
      </c>
      <c r="AT33" s="712">
        <f t="shared" si="16"/>
        <v>0</v>
      </c>
      <c r="AU33" s="901"/>
      <c r="AV33" s="901"/>
      <c r="AW33" s="901">
        <f t="shared" si="54"/>
        <v>0</v>
      </c>
      <c r="AX33" s="659"/>
      <c r="AY33" s="712">
        <f t="shared" si="17"/>
        <v>0</v>
      </c>
      <c r="AZ33" s="659"/>
      <c r="BA33" s="712">
        <f t="shared" si="18"/>
        <v>0</v>
      </c>
      <c r="BB33" s="712">
        <f t="shared" si="19"/>
        <v>0</v>
      </c>
      <c r="BC33" s="712">
        <f t="shared" si="20"/>
        <v>0</v>
      </c>
      <c r="BD33" s="901"/>
      <c r="BE33" s="901"/>
      <c r="BF33" s="901">
        <f t="shared" si="55"/>
        <v>0</v>
      </c>
      <c r="BG33" s="659"/>
      <c r="BH33" s="712">
        <f t="shared" si="21"/>
        <v>0</v>
      </c>
      <c r="BI33" s="659"/>
      <c r="BJ33" s="712">
        <f t="shared" si="22"/>
        <v>0</v>
      </c>
      <c r="BK33" s="712">
        <f t="shared" si="23"/>
        <v>0</v>
      </c>
      <c r="BL33" s="712">
        <f t="shared" si="24"/>
        <v>0</v>
      </c>
      <c r="BM33" s="901"/>
      <c r="BN33" s="901"/>
      <c r="BO33" s="901">
        <f t="shared" si="56"/>
        <v>0</v>
      </c>
      <c r="BP33" s="659"/>
      <c r="BQ33" s="712">
        <f t="shared" si="25"/>
        <v>0</v>
      </c>
      <c r="BR33" s="659"/>
      <c r="BS33" s="712">
        <f t="shared" si="26"/>
        <v>0</v>
      </c>
      <c r="BT33" s="712">
        <f t="shared" si="27"/>
        <v>0</v>
      </c>
      <c r="BU33" s="712">
        <f t="shared" si="28"/>
        <v>0</v>
      </c>
      <c r="BV33" s="901"/>
      <c r="BW33" s="901"/>
      <c r="BX33" s="901">
        <f t="shared" si="57"/>
        <v>0</v>
      </c>
      <c r="BY33" s="659"/>
      <c r="BZ33" s="712">
        <f t="shared" si="29"/>
        <v>0</v>
      </c>
      <c r="CA33" s="659"/>
      <c r="CB33" s="712">
        <f t="shared" si="30"/>
        <v>0</v>
      </c>
      <c r="CC33" s="712">
        <f t="shared" si="31"/>
        <v>0</v>
      </c>
      <c r="CD33" s="712">
        <f t="shared" si="32"/>
        <v>0</v>
      </c>
      <c r="CE33" s="901"/>
      <c r="CF33" s="901"/>
      <c r="CG33" s="901">
        <f t="shared" si="58"/>
        <v>0</v>
      </c>
      <c r="CH33" s="659"/>
      <c r="CI33" s="712">
        <f t="shared" si="33"/>
        <v>0</v>
      </c>
      <c r="CJ33" s="659"/>
      <c r="CK33" s="712">
        <f t="shared" si="34"/>
        <v>0</v>
      </c>
      <c r="CL33" s="712">
        <f t="shared" si="35"/>
        <v>0</v>
      </c>
      <c r="CM33" s="712">
        <f t="shared" si="36"/>
        <v>0</v>
      </c>
      <c r="CN33" s="901"/>
      <c r="CO33" s="901"/>
      <c r="CP33" s="901">
        <f t="shared" si="59"/>
        <v>0</v>
      </c>
      <c r="CQ33" s="659"/>
      <c r="CR33" s="712">
        <f t="shared" si="37"/>
        <v>0</v>
      </c>
      <c r="CS33" s="659"/>
      <c r="CT33" s="712">
        <f t="shared" si="38"/>
        <v>0</v>
      </c>
      <c r="CU33" s="712">
        <f t="shared" si="39"/>
        <v>0</v>
      </c>
      <c r="CV33" s="712">
        <f t="shared" si="40"/>
        <v>0</v>
      </c>
      <c r="CW33" s="901"/>
      <c r="CX33" s="901"/>
      <c r="CY33" s="901">
        <f t="shared" si="60"/>
        <v>0</v>
      </c>
      <c r="CZ33" s="659"/>
      <c r="DA33" s="712">
        <f t="shared" si="41"/>
        <v>0</v>
      </c>
      <c r="DB33" s="659"/>
      <c r="DC33" s="712">
        <f t="shared" si="42"/>
        <v>0</v>
      </c>
      <c r="DD33" s="712">
        <f t="shared" si="43"/>
        <v>0</v>
      </c>
      <c r="DE33" s="712">
        <f t="shared" si="44"/>
        <v>0</v>
      </c>
      <c r="DF33" s="901"/>
      <c r="DG33" s="901"/>
      <c r="DH33" s="901">
        <f t="shared" si="61"/>
        <v>0</v>
      </c>
      <c r="DI33" s="659"/>
      <c r="DJ33" s="712">
        <f t="shared" si="45"/>
        <v>0</v>
      </c>
      <c r="DK33" s="659"/>
      <c r="DL33" s="712">
        <f t="shared" si="46"/>
        <v>0</v>
      </c>
      <c r="DM33" s="712">
        <f t="shared" si="47"/>
        <v>0</v>
      </c>
      <c r="DN33" s="712">
        <f t="shared" si="48"/>
        <v>0</v>
      </c>
      <c r="DO33" s="737"/>
      <c r="DP33" s="712"/>
      <c r="DQ33" s="734">
        <f t="shared" si="49"/>
        <v>0</v>
      </c>
      <c r="DR33" s="734">
        <v>0</v>
      </c>
      <c r="DS33" s="735"/>
    </row>
    <row r="34" spans="1:123" s="665" customFormat="1" ht="14.15" hidden="1" customHeight="1">
      <c r="A34" s="665">
        <f t="shared" si="62"/>
        <v>21</v>
      </c>
      <c r="C34" s="728"/>
      <c r="D34" s="729"/>
      <c r="E34" s="729"/>
      <c r="F34" s="730"/>
      <c r="G34" s="729"/>
      <c r="H34" s="731"/>
      <c r="I34" s="732">
        <f t="shared" si="0"/>
        <v>0</v>
      </c>
      <c r="J34" s="656"/>
      <c r="K34" s="901"/>
      <c r="L34" s="901"/>
      <c r="M34" s="901">
        <f t="shared" si="50"/>
        <v>0</v>
      </c>
      <c r="N34" s="659"/>
      <c r="O34" s="712">
        <f t="shared" si="1"/>
        <v>0</v>
      </c>
      <c r="P34" s="656"/>
      <c r="Q34" s="659">
        <f t="shared" si="2"/>
        <v>0</v>
      </c>
      <c r="R34" s="659">
        <f t="shared" si="3"/>
        <v>0</v>
      </c>
      <c r="S34" s="712">
        <f t="shared" si="63"/>
        <v>0</v>
      </c>
      <c r="T34" s="901"/>
      <c r="U34" s="901"/>
      <c r="V34" s="901">
        <f t="shared" si="51"/>
        <v>0</v>
      </c>
      <c r="W34" s="659"/>
      <c r="X34" s="712">
        <f t="shared" si="5"/>
        <v>0</v>
      </c>
      <c r="Y34" s="659"/>
      <c r="Z34" s="712">
        <f t="shared" si="6"/>
        <v>0</v>
      </c>
      <c r="AA34" s="712">
        <f t="shared" si="7"/>
        <v>0</v>
      </c>
      <c r="AB34" s="712">
        <f t="shared" si="8"/>
        <v>0</v>
      </c>
      <c r="AC34" s="901"/>
      <c r="AD34" s="901"/>
      <c r="AE34" s="901">
        <f t="shared" si="52"/>
        <v>0</v>
      </c>
      <c r="AF34" s="659"/>
      <c r="AG34" s="712">
        <f t="shared" si="9"/>
        <v>0</v>
      </c>
      <c r="AH34" s="659"/>
      <c r="AI34" s="712">
        <f t="shared" si="10"/>
        <v>0</v>
      </c>
      <c r="AJ34" s="712">
        <f t="shared" si="11"/>
        <v>0</v>
      </c>
      <c r="AK34" s="712">
        <f t="shared" si="12"/>
        <v>0</v>
      </c>
      <c r="AL34" s="901"/>
      <c r="AM34" s="901"/>
      <c r="AN34" s="901">
        <f t="shared" si="53"/>
        <v>0</v>
      </c>
      <c r="AO34" s="659"/>
      <c r="AP34" s="712">
        <f t="shared" si="13"/>
        <v>0</v>
      </c>
      <c r="AQ34" s="659"/>
      <c r="AR34" s="712">
        <f t="shared" si="14"/>
        <v>0</v>
      </c>
      <c r="AS34" s="712">
        <f t="shared" si="15"/>
        <v>0</v>
      </c>
      <c r="AT34" s="712">
        <f t="shared" si="16"/>
        <v>0</v>
      </c>
      <c r="AU34" s="901"/>
      <c r="AV34" s="901"/>
      <c r="AW34" s="901">
        <f t="shared" si="54"/>
        <v>0</v>
      </c>
      <c r="AX34" s="659"/>
      <c r="AY34" s="712">
        <f t="shared" si="17"/>
        <v>0</v>
      </c>
      <c r="AZ34" s="659"/>
      <c r="BA34" s="712">
        <f t="shared" si="18"/>
        <v>0</v>
      </c>
      <c r="BB34" s="712">
        <f t="shared" si="19"/>
        <v>0</v>
      </c>
      <c r="BC34" s="712">
        <f t="shared" si="20"/>
        <v>0</v>
      </c>
      <c r="BD34" s="901"/>
      <c r="BE34" s="901"/>
      <c r="BF34" s="901">
        <f t="shared" si="55"/>
        <v>0</v>
      </c>
      <c r="BG34" s="659"/>
      <c r="BH34" s="712">
        <f t="shared" si="21"/>
        <v>0</v>
      </c>
      <c r="BI34" s="659"/>
      <c r="BJ34" s="712">
        <f t="shared" si="22"/>
        <v>0</v>
      </c>
      <c r="BK34" s="712">
        <f t="shared" si="23"/>
        <v>0</v>
      </c>
      <c r="BL34" s="712">
        <f t="shared" si="24"/>
        <v>0</v>
      </c>
      <c r="BM34" s="901"/>
      <c r="BN34" s="901"/>
      <c r="BO34" s="901">
        <f t="shared" si="56"/>
        <v>0</v>
      </c>
      <c r="BP34" s="659"/>
      <c r="BQ34" s="712">
        <f t="shared" si="25"/>
        <v>0</v>
      </c>
      <c r="BR34" s="659"/>
      <c r="BS34" s="712">
        <f t="shared" si="26"/>
        <v>0</v>
      </c>
      <c r="BT34" s="712">
        <f t="shared" si="27"/>
        <v>0</v>
      </c>
      <c r="BU34" s="712">
        <f t="shared" si="28"/>
        <v>0</v>
      </c>
      <c r="BV34" s="901"/>
      <c r="BW34" s="901"/>
      <c r="BX34" s="901">
        <f t="shared" si="57"/>
        <v>0</v>
      </c>
      <c r="BY34" s="659"/>
      <c r="BZ34" s="712">
        <f t="shared" si="29"/>
        <v>0</v>
      </c>
      <c r="CA34" s="659"/>
      <c r="CB34" s="712">
        <f t="shared" si="30"/>
        <v>0</v>
      </c>
      <c r="CC34" s="712">
        <f t="shared" si="31"/>
        <v>0</v>
      </c>
      <c r="CD34" s="712">
        <f t="shared" si="32"/>
        <v>0</v>
      </c>
      <c r="CE34" s="901"/>
      <c r="CF34" s="901"/>
      <c r="CG34" s="901">
        <f t="shared" si="58"/>
        <v>0</v>
      </c>
      <c r="CH34" s="659"/>
      <c r="CI34" s="712">
        <f t="shared" si="33"/>
        <v>0</v>
      </c>
      <c r="CJ34" s="659"/>
      <c r="CK34" s="712">
        <f t="shared" si="34"/>
        <v>0</v>
      </c>
      <c r="CL34" s="712">
        <f t="shared" si="35"/>
        <v>0</v>
      </c>
      <c r="CM34" s="712">
        <f t="shared" si="36"/>
        <v>0</v>
      </c>
      <c r="CN34" s="901"/>
      <c r="CO34" s="901"/>
      <c r="CP34" s="901">
        <f t="shared" si="59"/>
        <v>0</v>
      </c>
      <c r="CQ34" s="659"/>
      <c r="CR34" s="712">
        <f t="shared" si="37"/>
        <v>0</v>
      </c>
      <c r="CS34" s="659"/>
      <c r="CT34" s="712">
        <f t="shared" si="38"/>
        <v>0</v>
      </c>
      <c r="CU34" s="712">
        <f t="shared" si="39"/>
        <v>0</v>
      </c>
      <c r="CV34" s="712">
        <f t="shared" si="40"/>
        <v>0</v>
      </c>
      <c r="CW34" s="901"/>
      <c r="CX34" s="901"/>
      <c r="CY34" s="901">
        <f t="shared" si="60"/>
        <v>0</v>
      </c>
      <c r="CZ34" s="659"/>
      <c r="DA34" s="712">
        <f t="shared" si="41"/>
        <v>0</v>
      </c>
      <c r="DB34" s="659"/>
      <c r="DC34" s="712">
        <f t="shared" si="42"/>
        <v>0</v>
      </c>
      <c r="DD34" s="712">
        <f t="shared" si="43"/>
        <v>0</v>
      </c>
      <c r="DE34" s="712">
        <f t="shared" si="44"/>
        <v>0</v>
      </c>
      <c r="DF34" s="901"/>
      <c r="DG34" s="901"/>
      <c r="DH34" s="901">
        <f t="shared" si="61"/>
        <v>0</v>
      </c>
      <c r="DI34" s="659"/>
      <c r="DJ34" s="712">
        <f t="shared" si="45"/>
        <v>0</v>
      </c>
      <c r="DK34" s="659"/>
      <c r="DL34" s="712">
        <f t="shared" si="46"/>
        <v>0</v>
      </c>
      <c r="DM34" s="712">
        <f t="shared" si="47"/>
        <v>0</v>
      </c>
      <c r="DN34" s="712">
        <f t="shared" si="48"/>
        <v>0</v>
      </c>
      <c r="DO34" s="737"/>
      <c r="DP34" s="712"/>
      <c r="DQ34" s="734">
        <f t="shared" si="49"/>
        <v>0</v>
      </c>
      <c r="DR34" s="734">
        <v>0</v>
      </c>
      <c r="DS34" s="735"/>
    </row>
    <row r="35" spans="1:123" s="665" customFormat="1" ht="14.15" hidden="1" customHeight="1">
      <c r="A35" s="665">
        <f t="shared" si="62"/>
        <v>22</v>
      </c>
      <c r="C35" s="728"/>
      <c r="D35" s="729"/>
      <c r="E35" s="729"/>
      <c r="F35" s="730"/>
      <c r="G35" s="729"/>
      <c r="H35" s="731"/>
      <c r="I35" s="732">
        <f t="shared" si="0"/>
        <v>0</v>
      </c>
      <c r="J35" s="656"/>
      <c r="K35" s="901"/>
      <c r="L35" s="901"/>
      <c r="M35" s="901">
        <f t="shared" si="50"/>
        <v>0</v>
      </c>
      <c r="N35" s="659"/>
      <c r="O35" s="712">
        <f t="shared" si="1"/>
        <v>0</v>
      </c>
      <c r="P35" s="656"/>
      <c r="Q35" s="659">
        <f t="shared" si="2"/>
        <v>0</v>
      </c>
      <c r="R35" s="659">
        <f t="shared" si="3"/>
        <v>0</v>
      </c>
      <c r="S35" s="712">
        <f t="shared" si="63"/>
        <v>0</v>
      </c>
      <c r="T35" s="901"/>
      <c r="U35" s="901"/>
      <c r="V35" s="901">
        <f t="shared" si="51"/>
        <v>0</v>
      </c>
      <c r="W35" s="659"/>
      <c r="X35" s="712">
        <f t="shared" si="5"/>
        <v>0</v>
      </c>
      <c r="Y35" s="659"/>
      <c r="Z35" s="712">
        <f t="shared" si="6"/>
        <v>0</v>
      </c>
      <c r="AA35" s="712">
        <f t="shared" si="7"/>
        <v>0</v>
      </c>
      <c r="AB35" s="712">
        <f t="shared" si="8"/>
        <v>0</v>
      </c>
      <c r="AC35" s="901"/>
      <c r="AD35" s="901"/>
      <c r="AE35" s="901">
        <f t="shared" si="52"/>
        <v>0</v>
      </c>
      <c r="AF35" s="659"/>
      <c r="AG35" s="712">
        <f t="shared" si="9"/>
        <v>0</v>
      </c>
      <c r="AH35" s="659"/>
      <c r="AI35" s="712">
        <f t="shared" si="10"/>
        <v>0</v>
      </c>
      <c r="AJ35" s="712">
        <f t="shared" si="11"/>
        <v>0</v>
      </c>
      <c r="AK35" s="712">
        <f t="shared" si="12"/>
        <v>0</v>
      </c>
      <c r="AL35" s="901"/>
      <c r="AM35" s="901"/>
      <c r="AN35" s="901">
        <f t="shared" si="53"/>
        <v>0</v>
      </c>
      <c r="AO35" s="659"/>
      <c r="AP35" s="712">
        <f t="shared" si="13"/>
        <v>0</v>
      </c>
      <c r="AQ35" s="659"/>
      <c r="AR35" s="712">
        <f t="shared" si="14"/>
        <v>0</v>
      </c>
      <c r="AS35" s="712">
        <f t="shared" si="15"/>
        <v>0</v>
      </c>
      <c r="AT35" s="712">
        <f t="shared" si="16"/>
        <v>0</v>
      </c>
      <c r="AU35" s="901"/>
      <c r="AV35" s="901"/>
      <c r="AW35" s="901">
        <f t="shared" si="54"/>
        <v>0</v>
      </c>
      <c r="AX35" s="659"/>
      <c r="AY35" s="712">
        <f t="shared" si="17"/>
        <v>0</v>
      </c>
      <c r="AZ35" s="659"/>
      <c r="BA35" s="712">
        <f t="shared" si="18"/>
        <v>0</v>
      </c>
      <c r="BB35" s="712">
        <f t="shared" si="19"/>
        <v>0</v>
      </c>
      <c r="BC35" s="712">
        <f t="shared" si="20"/>
        <v>0</v>
      </c>
      <c r="BD35" s="901"/>
      <c r="BE35" s="901"/>
      <c r="BF35" s="901">
        <f t="shared" si="55"/>
        <v>0</v>
      </c>
      <c r="BG35" s="659"/>
      <c r="BH35" s="712">
        <f t="shared" si="21"/>
        <v>0</v>
      </c>
      <c r="BI35" s="659"/>
      <c r="BJ35" s="712">
        <f t="shared" si="22"/>
        <v>0</v>
      </c>
      <c r="BK35" s="712">
        <f t="shared" si="23"/>
        <v>0</v>
      </c>
      <c r="BL35" s="712">
        <f t="shared" si="24"/>
        <v>0</v>
      </c>
      <c r="BM35" s="901"/>
      <c r="BN35" s="901"/>
      <c r="BO35" s="901">
        <f t="shared" si="56"/>
        <v>0</v>
      </c>
      <c r="BP35" s="659"/>
      <c r="BQ35" s="712">
        <f t="shared" si="25"/>
        <v>0</v>
      </c>
      <c r="BR35" s="659"/>
      <c r="BS35" s="712">
        <f t="shared" si="26"/>
        <v>0</v>
      </c>
      <c r="BT35" s="712">
        <f t="shared" si="27"/>
        <v>0</v>
      </c>
      <c r="BU35" s="712">
        <f t="shared" si="28"/>
        <v>0</v>
      </c>
      <c r="BV35" s="901"/>
      <c r="BW35" s="901"/>
      <c r="BX35" s="901">
        <f t="shared" si="57"/>
        <v>0</v>
      </c>
      <c r="BY35" s="659"/>
      <c r="BZ35" s="712">
        <f t="shared" si="29"/>
        <v>0</v>
      </c>
      <c r="CA35" s="659"/>
      <c r="CB35" s="712">
        <f t="shared" si="30"/>
        <v>0</v>
      </c>
      <c r="CC35" s="712">
        <f t="shared" si="31"/>
        <v>0</v>
      </c>
      <c r="CD35" s="712">
        <f t="shared" si="32"/>
        <v>0</v>
      </c>
      <c r="CE35" s="901"/>
      <c r="CF35" s="901"/>
      <c r="CG35" s="901">
        <f t="shared" si="58"/>
        <v>0</v>
      </c>
      <c r="CH35" s="659"/>
      <c r="CI35" s="712">
        <f t="shared" si="33"/>
        <v>0</v>
      </c>
      <c r="CJ35" s="659"/>
      <c r="CK35" s="712">
        <f t="shared" si="34"/>
        <v>0</v>
      </c>
      <c r="CL35" s="712">
        <f t="shared" si="35"/>
        <v>0</v>
      </c>
      <c r="CM35" s="712">
        <f t="shared" si="36"/>
        <v>0</v>
      </c>
      <c r="CN35" s="901"/>
      <c r="CO35" s="901"/>
      <c r="CP35" s="901">
        <f t="shared" si="59"/>
        <v>0</v>
      </c>
      <c r="CQ35" s="659"/>
      <c r="CR35" s="712">
        <f t="shared" si="37"/>
        <v>0</v>
      </c>
      <c r="CS35" s="659"/>
      <c r="CT35" s="712">
        <f t="shared" si="38"/>
        <v>0</v>
      </c>
      <c r="CU35" s="712">
        <f t="shared" si="39"/>
        <v>0</v>
      </c>
      <c r="CV35" s="712">
        <f t="shared" si="40"/>
        <v>0</v>
      </c>
      <c r="CW35" s="901"/>
      <c r="CX35" s="901"/>
      <c r="CY35" s="901">
        <f t="shared" si="60"/>
        <v>0</v>
      </c>
      <c r="CZ35" s="659"/>
      <c r="DA35" s="712">
        <f t="shared" si="41"/>
        <v>0</v>
      </c>
      <c r="DB35" s="659"/>
      <c r="DC35" s="712">
        <f t="shared" si="42"/>
        <v>0</v>
      </c>
      <c r="DD35" s="712">
        <f t="shared" si="43"/>
        <v>0</v>
      </c>
      <c r="DE35" s="712">
        <f t="shared" si="44"/>
        <v>0</v>
      </c>
      <c r="DF35" s="901"/>
      <c r="DG35" s="901"/>
      <c r="DH35" s="901">
        <f t="shared" si="61"/>
        <v>0</v>
      </c>
      <c r="DI35" s="659"/>
      <c r="DJ35" s="712">
        <f t="shared" si="45"/>
        <v>0</v>
      </c>
      <c r="DK35" s="659"/>
      <c r="DL35" s="712">
        <f t="shared" si="46"/>
        <v>0</v>
      </c>
      <c r="DM35" s="712">
        <f t="shared" si="47"/>
        <v>0</v>
      </c>
      <c r="DN35" s="712">
        <f t="shared" si="48"/>
        <v>0</v>
      </c>
      <c r="DO35" s="737"/>
      <c r="DP35" s="712"/>
      <c r="DQ35" s="734">
        <f t="shared" si="49"/>
        <v>0</v>
      </c>
      <c r="DR35" s="734">
        <v>0</v>
      </c>
      <c r="DS35" s="735"/>
    </row>
    <row r="36" spans="1:123" s="665" customFormat="1" ht="14.15" hidden="1" customHeight="1">
      <c r="A36" s="665">
        <f t="shared" si="62"/>
        <v>23</v>
      </c>
      <c r="C36" s="728"/>
      <c r="D36" s="729"/>
      <c r="E36" s="729"/>
      <c r="F36" s="730"/>
      <c r="G36" s="729"/>
      <c r="H36" s="731"/>
      <c r="I36" s="732">
        <f t="shared" si="0"/>
        <v>0</v>
      </c>
      <c r="J36" s="656"/>
      <c r="K36" s="901"/>
      <c r="L36" s="901"/>
      <c r="M36" s="901">
        <f t="shared" si="50"/>
        <v>0</v>
      </c>
      <c r="N36" s="659"/>
      <c r="O36" s="712">
        <f t="shared" si="1"/>
        <v>0</v>
      </c>
      <c r="P36" s="656"/>
      <c r="Q36" s="659">
        <f t="shared" si="2"/>
        <v>0</v>
      </c>
      <c r="R36" s="659">
        <f t="shared" si="3"/>
        <v>0</v>
      </c>
      <c r="S36" s="712">
        <f t="shared" si="63"/>
        <v>0</v>
      </c>
      <c r="T36" s="901"/>
      <c r="U36" s="901"/>
      <c r="V36" s="901">
        <f t="shared" si="51"/>
        <v>0</v>
      </c>
      <c r="W36" s="659"/>
      <c r="X36" s="712">
        <f t="shared" si="5"/>
        <v>0</v>
      </c>
      <c r="Y36" s="659"/>
      <c r="Z36" s="712">
        <f t="shared" si="6"/>
        <v>0</v>
      </c>
      <c r="AA36" s="712">
        <f t="shared" si="7"/>
        <v>0</v>
      </c>
      <c r="AB36" s="712">
        <f t="shared" si="8"/>
        <v>0</v>
      </c>
      <c r="AC36" s="901"/>
      <c r="AD36" s="901"/>
      <c r="AE36" s="901">
        <f t="shared" si="52"/>
        <v>0</v>
      </c>
      <c r="AF36" s="659"/>
      <c r="AG36" s="712">
        <f t="shared" si="9"/>
        <v>0</v>
      </c>
      <c r="AH36" s="659"/>
      <c r="AI36" s="712">
        <f t="shared" si="10"/>
        <v>0</v>
      </c>
      <c r="AJ36" s="712">
        <f t="shared" si="11"/>
        <v>0</v>
      </c>
      <c r="AK36" s="712">
        <f t="shared" si="12"/>
        <v>0</v>
      </c>
      <c r="AL36" s="901"/>
      <c r="AM36" s="901"/>
      <c r="AN36" s="901">
        <f t="shared" si="53"/>
        <v>0</v>
      </c>
      <c r="AO36" s="659"/>
      <c r="AP36" s="712">
        <f t="shared" si="13"/>
        <v>0</v>
      </c>
      <c r="AQ36" s="659"/>
      <c r="AR36" s="712">
        <f t="shared" si="14"/>
        <v>0</v>
      </c>
      <c r="AS36" s="712">
        <f t="shared" si="15"/>
        <v>0</v>
      </c>
      <c r="AT36" s="712">
        <f t="shared" si="16"/>
        <v>0</v>
      </c>
      <c r="AU36" s="901"/>
      <c r="AV36" s="901"/>
      <c r="AW36" s="901">
        <f t="shared" si="54"/>
        <v>0</v>
      </c>
      <c r="AX36" s="659"/>
      <c r="AY36" s="712">
        <f t="shared" si="17"/>
        <v>0</v>
      </c>
      <c r="AZ36" s="659"/>
      <c r="BA36" s="712">
        <f t="shared" si="18"/>
        <v>0</v>
      </c>
      <c r="BB36" s="712">
        <f t="shared" si="19"/>
        <v>0</v>
      </c>
      <c r="BC36" s="712">
        <f t="shared" si="20"/>
        <v>0</v>
      </c>
      <c r="BD36" s="901"/>
      <c r="BE36" s="901"/>
      <c r="BF36" s="901">
        <f t="shared" si="55"/>
        <v>0</v>
      </c>
      <c r="BG36" s="659"/>
      <c r="BH36" s="712">
        <f t="shared" si="21"/>
        <v>0</v>
      </c>
      <c r="BI36" s="659"/>
      <c r="BJ36" s="712">
        <f t="shared" si="22"/>
        <v>0</v>
      </c>
      <c r="BK36" s="712">
        <f t="shared" si="23"/>
        <v>0</v>
      </c>
      <c r="BL36" s="712">
        <f t="shared" si="24"/>
        <v>0</v>
      </c>
      <c r="BM36" s="901"/>
      <c r="BN36" s="901"/>
      <c r="BO36" s="901">
        <f t="shared" si="56"/>
        <v>0</v>
      </c>
      <c r="BP36" s="659"/>
      <c r="BQ36" s="712">
        <f t="shared" si="25"/>
        <v>0</v>
      </c>
      <c r="BR36" s="659"/>
      <c r="BS36" s="712">
        <f t="shared" si="26"/>
        <v>0</v>
      </c>
      <c r="BT36" s="712">
        <f t="shared" si="27"/>
        <v>0</v>
      </c>
      <c r="BU36" s="712">
        <f t="shared" si="28"/>
        <v>0</v>
      </c>
      <c r="BV36" s="901"/>
      <c r="BW36" s="901"/>
      <c r="BX36" s="901">
        <f t="shared" si="57"/>
        <v>0</v>
      </c>
      <c r="BY36" s="659"/>
      <c r="BZ36" s="712">
        <f t="shared" si="29"/>
        <v>0</v>
      </c>
      <c r="CA36" s="659"/>
      <c r="CB36" s="712">
        <f t="shared" si="30"/>
        <v>0</v>
      </c>
      <c r="CC36" s="712">
        <f t="shared" si="31"/>
        <v>0</v>
      </c>
      <c r="CD36" s="712">
        <f t="shared" si="32"/>
        <v>0</v>
      </c>
      <c r="CE36" s="901"/>
      <c r="CF36" s="901"/>
      <c r="CG36" s="901">
        <f t="shared" si="58"/>
        <v>0</v>
      </c>
      <c r="CH36" s="659"/>
      <c r="CI36" s="712">
        <f t="shared" si="33"/>
        <v>0</v>
      </c>
      <c r="CJ36" s="659"/>
      <c r="CK36" s="712">
        <f t="shared" si="34"/>
        <v>0</v>
      </c>
      <c r="CL36" s="712">
        <f t="shared" si="35"/>
        <v>0</v>
      </c>
      <c r="CM36" s="712">
        <f t="shared" si="36"/>
        <v>0</v>
      </c>
      <c r="CN36" s="901"/>
      <c r="CO36" s="901"/>
      <c r="CP36" s="901">
        <f t="shared" si="59"/>
        <v>0</v>
      </c>
      <c r="CQ36" s="659"/>
      <c r="CR36" s="712">
        <f t="shared" si="37"/>
        <v>0</v>
      </c>
      <c r="CS36" s="659"/>
      <c r="CT36" s="712">
        <f t="shared" si="38"/>
        <v>0</v>
      </c>
      <c r="CU36" s="712">
        <f t="shared" si="39"/>
        <v>0</v>
      </c>
      <c r="CV36" s="712">
        <f t="shared" si="40"/>
        <v>0</v>
      </c>
      <c r="CW36" s="901"/>
      <c r="CX36" s="901"/>
      <c r="CY36" s="901">
        <f t="shared" si="60"/>
        <v>0</v>
      </c>
      <c r="CZ36" s="659"/>
      <c r="DA36" s="712">
        <f t="shared" si="41"/>
        <v>0</v>
      </c>
      <c r="DB36" s="659"/>
      <c r="DC36" s="712">
        <f t="shared" si="42"/>
        <v>0</v>
      </c>
      <c r="DD36" s="712">
        <f t="shared" si="43"/>
        <v>0</v>
      </c>
      <c r="DE36" s="712">
        <f t="shared" si="44"/>
        <v>0</v>
      </c>
      <c r="DF36" s="901"/>
      <c r="DG36" s="901"/>
      <c r="DH36" s="901">
        <f t="shared" si="61"/>
        <v>0</v>
      </c>
      <c r="DI36" s="659"/>
      <c r="DJ36" s="712">
        <f t="shared" si="45"/>
        <v>0</v>
      </c>
      <c r="DK36" s="659"/>
      <c r="DL36" s="712">
        <f t="shared" si="46"/>
        <v>0</v>
      </c>
      <c r="DM36" s="712">
        <f t="shared" si="47"/>
        <v>0</v>
      </c>
      <c r="DN36" s="712">
        <f t="shared" si="48"/>
        <v>0</v>
      </c>
      <c r="DO36" s="739"/>
      <c r="DP36" s="712"/>
      <c r="DQ36" s="734">
        <f t="shared" si="49"/>
        <v>0</v>
      </c>
      <c r="DR36" s="734">
        <v>0</v>
      </c>
      <c r="DS36" s="735"/>
    </row>
    <row r="37" spans="1:123" s="665" customFormat="1" ht="14.15" hidden="1" customHeight="1">
      <c r="A37" s="665">
        <f t="shared" si="62"/>
        <v>24</v>
      </c>
      <c r="C37" s="728"/>
      <c r="D37" s="729"/>
      <c r="E37" s="729"/>
      <c r="F37" s="730"/>
      <c r="G37" s="729"/>
      <c r="H37" s="731"/>
      <c r="I37" s="732">
        <f t="shared" si="0"/>
        <v>0</v>
      </c>
      <c r="J37" s="656"/>
      <c r="K37" s="901"/>
      <c r="L37" s="901"/>
      <c r="M37" s="901">
        <f t="shared" si="50"/>
        <v>0</v>
      </c>
      <c r="N37" s="659"/>
      <c r="O37" s="712">
        <f t="shared" si="1"/>
        <v>0</v>
      </c>
      <c r="P37" s="656"/>
      <c r="Q37" s="659">
        <f t="shared" si="2"/>
        <v>0</v>
      </c>
      <c r="R37" s="659">
        <f t="shared" si="3"/>
        <v>0</v>
      </c>
      <c r="S37" s="712">
        <f t="shared" si="63"/>
        <v>0</v>
      </c>
      <c r="T37" s="901"/>
      <c r="U37" s="901"/>
      <c r="V37" s="901">
        <f t="shared" si="51"/>
        <v>0</v>
      </c>
      <c r="W37" s="659"/>
      <c r="X37" s="712">
        <f t="shared" si="5"/>
        <v>0</v>
      </c>
      <c r="Y37" s="659"/>
      <c r="Z37" s="712">
        <f t="shared" si="6"/>
        <v>0</v>
      </c>
      <c r="AA37" s="712">
        <f t="shared" si="7"/>
        <v>0</v>
      </c>
      <c r="AB37" s="712">
        <f t="shared" si="8"/>
        <v>0</v>
      </c>
      <c r="AC37" s="901"/>
      <c r="AD37" s="901"/>
      <c r="AE37" s="901">
        <f t="shared" si="52"/>
        <v>0</v>
      </c>
      <c r="AF37" s="659"/>
      <c r="AG37" s="712">
        <f t="shared" si="9"/>
        <v>0</v>
      </c>
      <c r="AH37" s="659"/>
      <c r="AI37" s="712">
        <f t="shared" si="10"/>
        <v>0</v>
      </c>
      <c r="AJ37" s="712">
        <f t="shared" si="11"/>
        <v>0</v>
      </c>
      <c r="AK37" s="712">
        <f t="shared" si="12"/>
        <v>0</v>
      </c>
      <c r="AL37" s="901"/>
      <c r="AM37" s="901"/>
      <c r="AN37" s="901">
        <f t="shared" si="53"/>
        <v>0</v>
      </c>
      <c r="AO37" s="659"/>
      <c r="AP37" s="712">
        <f t="shared" si="13"/>
        <v>0</v>
      </c>
      <c r="AQ37" s="659"/>
      <c r="AR37" s="712">
        <f t="shared" si="14"/>
        <v>0</v>
      </c>
      <c r="AS37" s="712">
        <f t="shared" si="15"/>
        <v>0</v>
      </c>
      <c r="AT37" s="712">
        <f t="shared" si="16"/>
        <v>0</v>
      </c>
      <c r="AU37" s="901"/>
      <c r="AV37" s="901"/>
      <c r="AW37" s="901">
        <f t="shared" si="54"/>
        <v>0</v>
      </c>
      <c r="AX37" s="659"/>
      <c r="AY37" s="712">
        <f t="shared" si="17"/>
        <v>0</v>
      </c>
      <c r="AZ37" s="659"/>
      <c r="BA37" s="712">
        <f t="shared" si="18"/>
        <v>0</v>
      </c>
      <c r="BB37" s="712">
        <f t="shared" si="19"/>
        <v>0</v>
      </c>
      <c r="BC37" s="712">
        <f t="shared" si="20"/>
        <v>0</v>
      </c>
      <c r="BD37" s="901"/>
      <c r="BE37" s="901"/>
      <c r="BF37" s="901">
        <f t="shared" si="55"/>
        <v>0</v>
      </c>
      <c r="BG37" s="659"/>
      <c r="BH37" s="712">
        <f t="shared" si="21"/>
        <v>0</v>
      </c>
      <c r="BI37" s="659"/>
      <c r="BJ37" s="712">
        <f t="shared" si="22"/>
        <v>0</v>
      </c>
      <c r="BK37" s="712">
        <f t="shared" si="23"/>
        <v>0</v>
      </c>
      <c r="BL37" s="712">
        <f t="shared" si="24"/>
        <v>0</v>
      </c>
      <c r="BM37" s="901"/>
      <c r="BN37" s="901"/>
      <c r="BO37" s="901">
        <f t="shared" si="56"/>
        <v>0</v>
      </c>
      <c r="BP37" s="659"/>
      <c r="BQ37" s="712">
        <f t="shared" si="25"/>
        <v>0</v>
      </c>
      <c r="BR37" s="659"/>
      <c r="BS37" s="712">
        <f t="shared" si="26"/>
        <v>0</v>
      </c>
      <c r="BT37" s="712">
        <f t="shared" si="27"/>
        <v>0</v>
      </c>
      <c r="BU37" s="712">
        <f t="shared" si="28"/>
        <v>0</v>
      </c>
      <c r="BV37" s="901"/>
      <c r="BW37" s="901"/>
      <c r="BX37" s="901">
        <f t="shared" si="57"/>
        <v>0</v>
      </c>
      <c r="BY37" s="659"/>
      <c r="BZ37" s="712">
        <f t="shared" si="29"/>
        <v>0</v>
      </c>
      <c r="CA37" s="659"/>
      <c r="CB37" s="712">
        <f t="shared" si="30"/>
        <v>0</v>
      </c>
      <c r="CC37" s="712">
        <f t="shared" si="31"/>
        <v>0</v>
      </c>
      <c r="CD37" s="712">
        <f t="shared" si="32"/>
        <v>0</v>
      </c>
      <c r="CE37" s="901"/>
      <c r="CF37" s="901"/>
      <c r="CG37" s="901">
        <f t="shared" si="58"/>
        <v>0</v>
      </c>
      <c r="CH37" s="659"/>
      <c r="CI37" s="712">
        <f t="shared" si="33"/>
        <v>0</v>
      </c>
      <c r="CJ37" s="659"/>
      <c r="CK37" s="712">
        <f t="shared" si="34"/>
        <v>0</v>
      </c>
      <c r="CL37" s="712">
        <f t="shared" si="35"/>
        <v>0</v>
      </c>
      <c r="CM37" s="712">
        <f t="shared" si="36"/>
        <v>0</v>
      </c>
      <c r="CN37" s="901"/>
      <c r="CO37" s="901"/>
      <c r="CP37" s="901">
        <f t="shared" si="59"/>
        <v>0</v>
      </c>
      <c r="CQ37" s="659"/>
      <c r="CR37" s="712">
        <f t="shared" si="37"/>
        <v>0</v>
      </c>
      <c r="CS37" s="659"/>
      <c r="CT37" s="712">
        <f t="shared" si="38"/>
        <v>0</v>
      </c>
      <c r="CU37" s="712">
        <f t="shared" si="39"/>
        <v>0</v>
      </c>
      <c r="CV37" s="712">
        <f t="shared" si="40"/>
        <v>0</v>
      </c>
      <c r="CW37" s="901"/>
      <c r="CX37" s="901"/>
      <c r="CY37" s="901">
        <f t="shared" si="60"/>
        <v>0</v>
      </c>
      <c r="CZ37" s="659"/>
      <c r="DA37" s="712">
        <f t="shared" si="41"/>
        <v>0</v>
      </c>
      <c r="DB37" s="659"/>
      <c r="DC37" s="712">
        <f t="shared" si="42"/>
        <v>0</v>
      </c>
      <c r="DD37" s="712">
        <f t="shared" si="43"/>
        <v>0</v>
      </c>
      <c r="DE37" s="712">
        <f t="shared" si="44"/>
        <v>0</v>
      </c>
      <c r="DF37" s="901"/>
      <c r="DG37" s="901"/>
      <c r="DH37" s="901">
        <f t="shared" si="61"/>
        <v>0</v>
      </c>
      <c r="DI37" s="659"/>
      <c r="DJ37" s="712">
        <f t="shared" si="45"/>
        <v>0</v>
      </c>
      <c r="DK37" s="659"/>
      <c r="DL37" s="712">
        <f t="shared" si="46"/>
        <v>0</v>
      </c>
      <c r="DM37" s="712">
        <f t="shared" si="47"/>
        <v>0</v>
      </c>
      <c r="DN37" s="712">
        <f t="shared" si="48"/>
        <v>0</v>
      </c>
      <c r="DO37" s="742"/>
      <c r="DP37" s="712"/>
      <c r="DQ37" s="734">
        <f t="shared" si="49"/>
        <v>0</v>
      </c>
      <c r="DR37" s="734">
        <v>0</v>
      </c>
      <c r="DS37" s="735"/>
    </row>
    <row r="38" spans="1:123" s="665" customFormat="1" ht="14.15" hidden="1" customHeight="1">
      <c r="A38" s="665">
        <f t="shared" si="62"/>
        <v>25</v>
      </c>
      <c r="C38" s="728"/>
      <c r="D38" s="729"/>
      <c r="E38" s="729"/>
      <c r="F38" s="730"/>
      <c r="G38" s="729"/>
      <c r="H38" s="731"/>
      <c r="I38" s="732">
        <f t="shared" si="0"/>
        <v>0</v>
      </c>
      <c r="J38" s="656"/>
      <c r="K38" s="901"/>
      <c r="L38" s="901"/>
      <c r="M38" s="901">
        <f t="shared" si="50"/>
        <v>0</v>
      </c>
      <c r="N38" s="659"/>
      <c r="O38" s="712">
        <f t="shared" si="1"/>
        <v>0</v>
      </c>
      <c r="P38" s="656"/>
      <c r="Q38" s="659">
        <f t="shared" si="2"/>
        <v>0</v>
      </c>
      <c r="R38" s="659">
        <f t="shared" si="3"/>
        <v>0</v>
      </c>
      <c r="S38" s="712">
        <f t="shared" si="63"/>
        <v>0</v>
      </c>
      <c r="T38" s="901"/>
      <c r="U38" s="901"/>
      <c r="V38" s="901">
        <f t="shared" si="51"/>
        <v>0</v>
      </c>
      <c r="W38" s="659"/>
      <c r="X38" s="712">
        <f t="shared" si="5"/>
        <v>0</v>
      </c>
      <c r="Y38" s="659"/>
      <c r="Z38" s="712">
        <f t="shared" si="6"/>
        <v>0</v>
      </c>
      <c r="AA38" s="712">
        <f t="shared" si="7"/>
        <v>0</v>
      </c>
      <c r="AB38" s="712">
        <f t="shared" si="8"/>
        <v>0</v>
      </c>
      <c r="AC38" s="901"/>
      <c r="AD38" s="901"/>
      <c r="AE38" s="901">
        <f t="shared" si="52"/>
        <v>0</v>
      </c>
      <c r="AF38" s="659"/>
      <c r="AG38" s="712">
        <f t="shared" si="9"/>
        <v>0</v>
      </c>
      <c r="AH38" s="659"/>
      <c r="AI38" s="712">
        <f t="shared" si="10"/>
        <v>0</v>
      </c>
      <c r="AJ38" s="712">
        <f t="shared" si="11"/>
        <v>0</v>
      </c>
      <c r="AK38" s="712">
        <f t="shared" si="12"/>
        <v>0</v>
      </c>
      <c r="AL38" s="901"/>
      <c r="AM38" s="901"/>
      <c r="AN38" s="901">
        <f t="shared" si="53"/>
        <v>0</v>
      </c>
      <c r="AO38" s="659"/>
      <c r="AP38" s="712">
        <f t="shared" si="13"/>
        <v>0</v>
      </c>
      <c r="AQ38" s="659"/>
      <c r="AR38" s="712">
        <f t="shared" si="14"/>
        <v>0</v>
      </c>
      <c r="AS38" s="712">
        <f t="shared" si="15"/>
        <v>0</v>
      </c>
      <c r="AT38" s="712">
        <f t="shared" si="16"/>
        <v>0</v>
      </c>
      <c r="AU38" s="901"/>
      <c r="AV38" s="901"/>
      <c r="AW38" s="901">
        <f t="shared" si="54"/>
        <v>0</v>
      </c>
      <c r="AX38" s="659"/>
      <c r="AY38" s="712">
        <f t="shared" si="17"/>
        <v>0</v>
      </c>
      <c r="AZ38" s="659"/>
      <c r="BA38" s="712">
        <f t="shared" si="18"/>
        <v>0</v>
      </c>
      <c r="BB38" s="712">
        <f t="shared" si="19"/>
        <v>0</v>
      </c>
      <c r="BC38" s="712">
        <f t="shared" si="20"/>
        <v>0</v>
      </c>
      <c r="BD38" s="901"/>
      <c r="BE38" s="901"/>
      <c r="BF38" s="901">
        <f t="shared" si="55"/>
        <v>0</v>
      </c>
      <c r="BG38" s="659"/>
      <c r="BH38" s="712">
        <f t="shared" si="21"/>
        <v>0</v>
      </c>
      <c r="BI38" s="659"/>
      <c r="BJ38" s="712">
        <f t="shared" si="22"/>
        <v>0</v>
      </c>
      <c r="BK38" s="712">
        <f t="shared" si="23"/>
        <v>0</v>
      </c>
      <c r="BL38" s="712">
        <f t="shared" si="24"/>
        <v>0</v>
      </c>
      <c r="BM38" s="901"/>
      <c r="BN38" s="901"/>
      <c r="BO38" s="901">
        <f t="shared" si="56"/>
        <v>0</v>
      </c>
      <c r="BP38" s="659"/>
      <c r="BQ38" s="712">
        <f t="shared" si="25"/>
        <v>0</v>
      </c>
      <c r="BR38" s="659"/>
      <c r="BS38" s="712">
        <f t="shared" si="26"/>
        <v>0</v>
      </c>
      <c r="BT38" s="712">
        <f t="shared" si="27"/>
        <v>0</v>
      </c>
      <c r="BU38" s="712">
        <f t="shared" si="28"/>
        <v>0</v>
      </c>
      <c r="BV38" s="901"/>
      <c r="BW38" s="901"/>
      <c r="BX38" s="901">
        <f t="shared" si="57"/>
        <v>0</v>
      </c>
      <c r="BY38" s="659"/>
      <c r="BZ38" s="712">
        <f t="shared" si="29"/>
        <v>0</v>
      </c>
      <c r="CA38" s="659"/>
      <c r="CB38" s="712">
        <f t="shared" si="30"/>
        <v>0</v>
      </c>
      <c r="CC38" s="712">
        <f t="shared" si="31"/>
        <v>0</v>
      </c>
      <c r="CD38" s="712">
        <f t="shared" si="32"/>
        <v>0</v>
      </c>
      <c r="CE38" s="901"/>
      <c r="CF38" s="901"/>
      <c r="CG38" s="901">
        <f t="shared" si="58"/>
        <v>0</v>
      </c>
      <c r="CH38" s="659"/>
      <c r="CI38" s="712">
        <f t="shared" si="33"/>
        <v>0</v>
      </c>
      <c r="CJ38" s="659"/>
      <c r="CK38" s="712">
        <f t="shared" si="34"/>
        <v>0</v>
      </c>
      <c r="CL38" s="712">
        <f t="shared" si="35"/>
        <v>0</v>
      </c>
      <c r="CM38" s="712">
        <f t="shared" si="36"/>
        <v>0</v>
      </c>
      <c r="CN38" s="901"/>
      <c r="CO38" s="901"/>
      <c r="CP38" s="901">
        <f t="shared" si="59"/>
        <v>0</v>
      </c>
      <c r="CQ38" s="659"/>
      <c r="CR38" s="712">
        <f t="shared" si="37"/>
        <v>0</v>
      </c>
      <c r="CS38" s="659"/>
      <c r="CT38" s="712">
        <f t="shared" si="38"/>
        <v>0</v>
      </c>
      <c r="CU38" s="712">
        <f t="shared" si="39"/>
        <v>0</v>
      </c>
      <c r="CV38" s="712">
        <f t="shared" si="40"/>
        <v>0</v>
      </c>
      <c r="CW38" s="901"/>
      <c r="CX38" s="901"/>
      <c r="CY38" s="901">
        <f t="shared" si="60"/>
        <v>0</v>
      </c>
      <c r="CZ38" s="659"/>
      <c r="DA38" s="712">
        <f t="shared" si="41"/>
        <v>0</v>
      </c>
      <c r="DB38" s="659"/>
      <c r="DC38" s="712">
        <f t="shared" si="42"/>
        <v>0</v>
      </c>
      <c r="DD38" s="712">
        <f t="shared" si="43"/>
        <v>0</v>
      </c>
      <c r="DE38" s="712">
        <f t="shared" si="44"/>
        <v>0</v>
      </c>
      <c r="DF38" s="901"/>
      <c r="DG38" s="901"/>
      <c r="DH38" s="901">
        <f t="shared" si="61"/>
        <v>0</v>
      </c>
      <c r="DI38" s="659"/>
      <c r="DJ38" s="712">
        <f t="shared" si="45"/>
        <v>0</v>
      </c>
      <c r="DK38" s="659"/>
      <c r="DL38" s="712">
        <f t="shared" si="46"/>
        <v>0</v>
      </c>
      <c r="DM38" s="712">
        <f t="shared" si="47"/>
        <v>0</v>
      </c>
      <c r="DN38" s="712">
        <f t="shared" si="48"/>
        <v>0</v>
      </c>
      <c r="DO38" s="746"/>
      <c r="DP38" s="712"/>
      <c r="DQ38" s="734">
        <f t="shared" si="49"/>
        <v>0</v>
      </c>
      <c r="DR38" s="734">
        <v>0</v>
      </c>
      <c r="DS38" s="735"/>
    </row>
    <row r="39" spans="1:123" s="665" customFormat="1" ht="14.15" hidden="1" customHeight="1">
      <c r="A39" s="665">
        <f t="shared" si="62"/>
        <v>26</v>
      </c>
      <c r="C39" s="728"/>
      <c r="D39" s="729"/>
      <c r="E39" s="729"/>
      <c r="F39" s="730"/>
      <c r="G39" s="729"/>
      <c r="H39" s="731"/>
      <c r="I39" s="732">
        <f t="shared" si="0"/>
        <v>0</v>
      </c>
      <c r="J39" s="656"/>
      <c r="K39" s="901"/>
      <c r="L39" s="901"/>
      <c r="M39" s="901">
        <f t="shared" si="50"/>
        <v>0</v>
      </c>
      <c r="N39" s="712">
        <v>0</v>
      </c>
      <c r="O39" s="712">
        <f t="shared" si="1"/>
        <v>0</v>
      </c>
      <c r="P39" s="656"/>
      <c r="Q39" s="659">
        <f t="shared" si="2"/>
        <v>0</v>
      </c>
      <c r="R39" s="712">
        <f t="shared" si="3"/>
        <v>0</v>
      </c>
      <c r="S39" s="712">
        <f t="shared" si="63"/>
        <v>0</v>
      </c>
      <c r="T39" s="901"/>
      <c r="U39" s="901"/>
      <c r="V39" s="901">
        <f t="shared" si="51"/>
        <v>0</v>
      </c>
      <c r="W39" s="659"/>
      <c r="X39" s="712">
        <f t="shared" si="5"/>
        <v>0</v>
      </c>
      <c r="Y39" s="659"/>
      <c r="Z39" s="712">
        <f t="shared" si="6"/>
        <v>0</v>
      </c>
      <c r="AA39" s="712">
        <f t="shared" si="7"/>
        <v>0</v>
      </c>
      <c r="AB39" s="712">
        <f t="shared" si="8"/>
        <v>0</v>
      </c>
      <c r="AC39" s="901"/>
      <c r="AD39" s="901"/>
      <c r="AE39" s="901">
        <f t="shared" si="52"/>
        <v>0</v>
      </c>
      <c r="AF39" s="712"/>
      <c r="AG39" s="712">
        <f t="shared" si="9"/>
        <v>0</v>
      </c>
      <c r="AH39" s="659"/>
      <c r="AI39" s="712">
        <f t="shared" si="10"/>
        <v>0</v>
      </c>
      <c r="AJ39" s="712">
        <f t="shared" si="11"/>
        <v>0</v>
      </c>
      <c r="AK39" s="712">
        <f t="shared" si="12"/>
        <v>0</v>
      </c>
      <c r="AL39" s="901"/>
      <c r="AM39" s="901"/>
      <c r="AN39" s="901">
        <f t="shared" si="53"/>
        <v>0</v>
      </c>
      <c r="AO39" s="659"/>
      <c r="AP39" s="712">
        <f t="shared" si="13"/>
        <v>0</v>
      </c>
      <c r="AQ39" s="659"/>
      <c r="AR39" s="712">
        <f t="shared" si="14"/>
        <v>0</v>
      </c>
      <c r="AS39" s="712">
        <f t="shared" si="15"/>
        <v>0</v>
      </c>
      <c r="AT39" s="712">
        <f t="shared" si="16"/>
        <v>0</v>
      </c>
      <c r="AU39" s="901"/>
      <c r="AV39" s="901"/>
      <c r="AW39" s="901">
        <f t="shared" si="54"/>
        <v>0</v>
      </c>
      <c r="AX39" s="659"/>
      <c r="AY39" s="712">
        <f t="shared" si="17"/>
        <v>0</v>
      </c>
      <c r="AZ39" s="659"/>
      <c r="BA39" s="712">
        <f t="shared" si="18"/>
        <v>0</v>
      </c>
      <c r="BB39" s="712">
        <f t="shared" si="19"/>
        <v>0</v>
      </c>
      <c r="BC39" s="712">
        <f t="shared" si="20"/>
        <v>0</v>
      </c>
      <c r="BD39" s="901"/>
      <c r="BE39" s="901"/>
      <c r="BF39" s="901">
        <f t="shared" si="55"/>
        <v>0</v>
      </c>
      <c r="BG39" s="659"/>
      <c r="BH39" s="712">
        <f t="shared" si="21"/>
        <v>0</v>
      </c>
      <c r="BI39" s="659"/>
      <c r="BJ39" s="712">
        <f t="shared" si="22"/>
        <v>0</v>
      </c>
      <c r="BK39" s="712">
        <f t="shared" si="23"/>
        <v>0</v>
      </c>
      <c r="BL39" s="712">
        <f t="shared" si="24"/>
        <v>0</v>
      </c>
      <c r="BM39" s="901"/>
      <c r="BN39" s="901"/>
      <c r="BO39" s="901">
        <f t="shared" si="56"/>
        <v>0</v>
      </c>
      <c r="BP39" s="659"/>
      <c r="BQ39" s="712">
        <f t="shared" si="25"/>
        <v>0</v>
      </c>
      <c r="BR39" s="659"/>
      <c r="BS39" s="712">
        <f t="shared" si="26"/>
        <v>0</v>
      </c>
      <c r="BT39" s="712">
        <f t="shared" si="27"/>
        <v>0</v>
      </c>
      <c r="BU39" s="712">
        <f t="shared" si="28"/>
        <v>0</v>
      </c>
      <c r="BV39" s="901"/>
      <c r="BW39" s="901"/>
      <c r="BX39" s="901">
        <f t="shared" si="57"/>
        <v>0</v>
      </c>
      <c r="BY39" s="659"/>
      <c r="BZ39" s="712">
        <f t="shared" si="29"/>
        <v>0</v>
      </c>
      <c r="CA39" s="659"/>
      <c r="CB39" s="712">
        <f t="shared" si="30"/>
        <v>0</v>
      </c>
      <c r="CC39" s="712">
        <f t="shared" si="31"/>
        <v>0</v>
      </c>
      <c r="CD39" s="712">
        <f t="shared" si="32"/>
        <v>0</v>
      </c>
      <c r="CE39" s="901"/>
      <c r="CF39" s="901"/>
      <c r="CG39" s="901">
        <f t="shared" si="58"/>
        <v>0</v>
      </c>
      <c r="CH39" s="659"/>
      <c r="CI39" s="712">
        <f t="shared" si="33"/>
        <v>0</v>
      </c>
      <c r="CJ39" s="659"/>
      <c r="CK39" s="712">
        <f t="shared" si="34"/>
        <v>0</v>
      </c>
      <c r="CL39" s="712">
        <f t="shared" si="35"/>
        <v>0</v>
      </c>
      <c r="CM39" s="712">
        <f t="shared" si="36"/>
        <v>0</v>
      </c>
      <c r="CN39" s="901"/>
      <c r="CO39" s="901"/>
      <c r="CP39" s="901">
        <f t="shared" si="59"/>
        <v>0</v>
      </c>
      <c r="CQ39" s="659"/>
      <c r="CR39" s="712">
        <f t="shared" si="37"/>
        <v>0</v>
      </c>
      <c r="CS39" s="659"/>
      <c r="CT39" s="712">
        <f t="shared" si="38"/>
        <v>0</v>
      </c>
      <c r="CU39" s="712">
        <f t="shared" si="39"/>
        <v>0</v>
      </c>
      <c r="CV39" s="712">
        <f t="shared" si="40"/>
        <v>0</v>
      </c>
      <c r="CW39" s="901"/>
      <c r="CX39" s="901"/>
      <c r="CY39" s="901">
        <f t="shared" si="60"/>
        <v>0</v>
      </c>
      <c r="CZ39" s="659"/>
      <c r="DA39" s="712">
        <f t="shared" si="41"/>
        <v>0</v>
      </c>
      <c r="DB39" s="659"/>
      <c r="DC39" s="712">
        <f t="shared" si="42"/>
        <v>0</v>
      </c>
      <c r="DD39" s="712">
        <f t="shared" si="43"/>
        <v>0</v>
      </c>
      <c r="DE39" s="712">
        <f t="shared" si="44"/>
        <v>0</v>
      </c>
      <c r="DF39" s="901"/>
      <c r="DG39" s="901"/>
      <c r="DH39" s="901">
        <f t="shared" si="61"/>
        <v>0</v>
      </c>
      <c r="DI39" s="659"/>
      <c r="DJ39" s="712">
        <f t="shared" si="45"/>
        <v>0</v>
      </c>
      <c r="DK39" s="659"/>
      <c r="DL39" s="712">
        <f t="shared" si="46"/>
        <v>0</v>
      </c>
      <c r="DM39" s="712">
        <f t="shared" si="47"/>
        <v>0</v>
      </c>
      <c r="DN39" s="712">
        <f t="shared" si="48"/>
        <v>0</v>
      </c>
      <c r="DO39" s="739"/>
      <c r="DP39" s="712"/>
      <c r="DQ39" s="734">
        <f t="shared" si="49"/>
        <v>0</v>
      </c>
      <c r="DR39" s="734">
        <v>0</v>
      </c>
      <c r="DS39" s="735"/>
    </row>
    <row r="40" spans="1:123" s="665" customFormat="1" ht="14.15" customHeight="1">
      <c r="C40" s="747"/>
      <c r="D40" s="748"/>
      <c r="E40" s="748"/>
      <c r="F40" s="749"/>
      <c r="G40" s="748"/>
      <c r="H40" s="750"/>
      <c r="I40" s="750"/>
      <c r="J40" s="656"/>
      <c r="K40" s="901"/>
      <c r="L40" s="901"/>
      <c r="M40" s="901"/>
      <c r="N40" s="751"/>
      <c r="O40" s="752"/>
      <c r="P40" s="656"/>
      <c r="Q40" s="751"/>
      <c r="R40" s="752"/>
      <c r="S40" s="752"/>
      <c r="T40" s="901"/>
      <c r="U40" s="901"/>
      <c r="V40" s="901"/>
      <c r="W40" s="751"/>
      <c r="X40" s="753"/>
      <c r="Y40" s="751"/>
      <c r="Z40" s="753"/>
      <c r="AA40" s="753"/>
      <c r="AB40" s="753"/>
      <c r="AC40" s="901"/>
      <c r="AD40" s="901"/>
      <c r="AE40" s="901"/>
      <c r="AF40" s="751"/>
      <c r="AG40" s="753"/>
      <c r="AH40" s="751"/>
      <c r="AI40" s="753"/>
      <c r="AJ40" s="753"/>
      <c r="AK40" s="753"/>
      <c r="AL40" s="901"/>
      <c r="AM40" s="901"/>
      <c r="AN40" s="901"/>
      <c r="AO40" s="751"/>
      <c r="AP40" s="753"/>
      <c r="AQ40" s="751"/>
      <c r="AR40" s="753"/>
      <c r="AS40" s="753"/>
      <c r="AT40" s="753"/>
      <c r="AU40" s="901"/>
      <c r="AV40" s="901"/>
      <c r="AW40" s="901"/>
      <c r="AX40" s="751"/>
      <c r="AY40" s="753"/>
      <c r="AZ40" s="751"/>
      <c r="BA40" s="753"/>
      <c r="BB40" s="753"/>
      <c r="BC40" s="753"/>
      <c r="BD40" s="901"/>
      <c r="BE40" s="901"/>
      <c r="BF40" s="901"/>
      <c r="BG40" s="751"/>
      <c r="BH40" s="712"/>
      <c r="BI40" s="751"/>
      <c r="BJ40" s="712"/>
      <c r="BK40" s="712"/>
      <c r="BL40" s="753"/>
      <c r="BM40" s="901"/>
      <c r="BN40" s="901"/>
      <c r="BO40" s="901"/>
      <c r="BP40" s="751"/>
      <c r="BQ40" s="712"/>
      <c r="BR40" s="751"/>
      <c r="BS40" s="712"/>
      <c r="BT40" s="712"/>
      <c r="BU40" s="753"/>
      <c r="BV40" s="901"/>
      <c r="BW40" s="901"/>
      <c r="BX40" s="901"/>
      <c r="BY40" s="751"/>
      <c r="BZ40" s="712"/>
      <c r="CA40" s="751"/>
      <c r="CB40" s="712"/>
      <c r="CC40" s="712"/>
      <c r="CD40" s="753"/>
      <c r="CE40" s="901"/>
      <c r="CF40" s="901"/>
      <c r="CG40" s="901"/>
      <c r="CH40" s="751"/>
      <c r="CI40" s="712"/>
      <c r="CJ40" s="751"/>
      <c r="CK40" s="712"/>
      <c r="CL40" s="712"/>
      <c r="CM40" s="753"/>
      <c r="CN40" s="901"/>
      <c r="CO40" s="901"/>
      <c r="CP40" s="901"/>
      <c r="CQ40" s="751"/>
      <c r="CR40" s="712"/>
      <c r="CS40" s="751"/>
      <c r="CT40" s="712"/>
      <c r="CU40" s="712"/>
      <c r="CV40" s="753"/>
      <c r="CW40" s="901"/>
      <c r="CX40" s="901"/>
      <c r="CY40" s="901"/>
      <c r="CZ40" s="751"/>
      <c r="DA40" s="712"/>
      <c r="DB40" s="751"/>
      <c r="DC40" s="712"/>
      <c r="DD40" s="712"/>
      <c r="DE40" s="753"/>
      <c r="DF40" s="901"/>
      <c r="DG40" s="901"/>
      <c r="DH40" s="901"/>
      <c r="DI40" s="751"/>
      <c r="DJ40" s="712"/>
      <c r="DK40" s="751"/>
      <c r="DL40" s="712"/>
      <c r="DM40" s="712"/>
      <c r="DN40" s="753"/>
      <c r="DO40" s="746"/>
      <c r="DP40" s="712"/>
    </row>
    <row r="41" spans="1:123" s="665" customFormat="1" ht="14.15" customHeight="1">
      <c r="C41" s="747"/>
      <c r="D41" s="748"/>
      <c r="E41" s="748"/>
      <c r="F41" s="749"/>
      <c r="G41" s="747"/>
      <c r="H41" s="750"/>
      <c r="I41" s="750"/>
      <c r="J41" s="656"/>
      <c r="K41" s="901"/>
      <c r="L41" s="901"/>
      <c r="M41" s="901"/>
      <c r="N41" s="751"/>
      <c r="O41" s="752"/>
      <c r="P41" s="656"/>
      <c r="Q41" s="751"/>
      <c r="R41" s="752"/>
      <c r="S41" s="752"/>
      <c r="T41" s="901"/>
      <c r="U41" s="901"/>
      <c r="V41" s="901"/>
      <c r="W41" s="751"/>
      <c r="X41" s="753"/>
      <c r="Y41" s="751"/>
      <c r="Z41" s="753"/>
      <c r="AA41" s="753"/>
      <c r="AB41" s="753"/>
      <c r="AC41" s="901"/>
      <c r="AD41" s="901"/>
      <c r="AE41" s="901"/>
      <c r="AF41" s="751"/>
      <c r="AG41" s="753"/>
      <c r="AH41" s="751"/>
      <c r="AI41" s="753"/>
      <c r="AJ41" s="753"/>
      <c r="AK41" s="753"/>
      <c r="AL41" s="901"/>
      <c r="AM41" s="901"/>
      <c r="AN41" s="901"/>
      <c r="AO41" s="751"/>
      <c r="AP41" s="753"/>
      <c r="AQ41" s="751"/>
      <c r="AR41" s="753"/>
      <c r="AS41" s="753"/>
      <c r="AT41" s="753"/>
      <c r="AU41" s="901"/>
      <c r="AV41" s="901"/>
      <c r="AW41" s="901"/>
      <c r="AX41" s="751"/>
      <c r="AY41" s="753"/>
      <c r="AZ41" s="751"/>
      <c r="BA41" s="753"/>
      <c r="BB41" s="753"/>
      <c r="BC41" s="753"/>
      <c r="BD41" s="901"/>
      <c r="BE41" s="901"/>
      <c r="BF41" s="901"/>
      <c r="BG41" s="751"/>
      <c r="BH41" s="712"/>
      <c r="BI41" s="751"/>
      <c r="BJ41" s="712"/>
      <c r="BK41" s="712"/>
      <c r="BL41" s="753"/>
      <c r="BM41" s="901"/>
      <c r="BN41" s="901"/>
      <c r="BO41" s="901"/>
      <c r="BP41" s="751"/>
      <c r="BQ41" s="712"/>
      <c r="BR41" s="751"/>
      <c r="BS41" s="712"/>
      <c r="BT41" s="712"/>
      <c r="BU41" s="753"/>
      <c r="BV41" s="901"/>
      <c r="BW41" s="901"/>
      <c r="BX41" s="901"/>
      <c r="BY41" s="751"/>
      <c r="BZ41" s="712"/>
      <c r="CA41" s="751"/>
      <c r="CB41" s="712"/>
      <c r="CC41" s="712"/>
      <c r="CD41" s="753"/>
      <c r="CE41" s="901"/>
      <c r="CF41" s="901"/>
      <c r="CG41" s="901"/>
      <c r="CH41" s="751"/>
      <c r="CI41" s="712"/>
      <c r="CJ41" s="751"/>
      <c r="CK41" s="712"/>
      <c r="CL41" s="712"/>
      <c r="CM41" s="753"/>
      <c r="CN41" s="901"/>
      <c r="CO41" s="901"/>
      <c r="CP41" s="901"/>
      <c r="CQ41" s="751"/>
      <c r="CR41" s="712"/>
      <c r="CS41" s="751"/>
      <c r="CT41" s="712"/>
      <c r="CU41" s="712"/>
      <c r="CV41" s="753"/>
      <c r="CW41" s="901"/>
      <c r="CX41" s="901"/>
      <c r="CY41" s="901"/>
      <c r="CZ41" s="751"/>
      <c r="DA41" s="712"/>
      <c r="DB41" s="751"/>
      <c r="DC41" s="712"/>
      <c r="DD41" s="712"/>
      <c r="DE41" s="753"/>
      <c r="DF41" s="901"/>
      <c r="DG41" s="901"/>
      <c r="DH41" s="901"/>
      <c r="DI41" s="751"/>
      <c r="DJ41" s="712"/>
      <c r="DK41" s="751"/>
      <c r="DL41" s="712"/>
      <c r="DM41" s="712"/>
      <c r="DN41" s="753"/>
      <c r="DO41" s="746"/>
      <c r="DP41" s="712"/>
    </row>
    <row r="42" spans="1:123" s="665" customFormat="1" ht="14.15" customHeight="1">
      <c r="C42" s="754" t="s">
        <v>103</v>
      </c>
      <c r="D42" s="755"/>
      <c r="E42" s="755"/>
      <c r="F42" s="749"/>
      <c r="G42" s="747"/>
      <c r="H42" s="756">
        <f>SUM(H14:H41)</f>
        <v>13256</v>
      </c>
      <c r="I42" s="756">
        <f>SUM(I14:I41)</f>
        <v>49286.700099999995</v>
      </c>
      <c r="J42" s="656"/>
      <c r="K42" s="756">
        <f>SUM(K14:K41)</f>
        <v>47945.29</v>
      </c>
      <c r="L42" s="756">
        <f>SUM(L14:L41)</f>
        <v>4950.0001000000002</v>
      </c>
      <c r="M42" s="756">
        <f>SUM(M14:M41)</f>
        <v>52895.290099999998</v>
      </c>
      <c r="N42" s="756">
        <f>SUM(N14:N41)</f>
        <v>52895.290099999998</v>
      </c>
      <c r="O42" s="756">
        <f>SUM(O14:O41)</f>
        <v>0</v>
      </c>
      <c r="P42" s="656"/>
      <c r="Q42" s="756">
        <f t="shared" ref="Q42:X42" si="64">SUM(Q14:Q41)</f>
        <v>52895.290099999998</v>
      </c>
      <c r="R42" s="756">
        <f t="shared" si="64"/>
        <v>52895.290099999998</v>
      </c>
      <c r="S42" s="756">
        <f t="shared" si="64"/>
        <v>0</v>
      </c>
      <c r="T42" s="756">
        <f t="shared" si="64"/>
        <v>53201.05</v>
      </c>
      <c r="U42" s="756">
        <f t="shared" si="64"/>
        <v>1E-4</v>
      </c>
      <c r="V42" s="756">
        <f>SUM(V14:V41)</f>
        <v>53201.0501</v>
      </c>
      <c r="W42" s="756">
        <f t="shared" si="64"/>
        <v>53201.0501</v>
      </c>
      <c r="X42" s="756">
        <f t="shared" si="64"/>
        <v>0</v>
      </c>
      <c r="Y42" s="756"/>
      <c r="Z42" s="756">
        <f t="shared" ref="Z42:AG42" si="65">SUM(Z14:Z41)</f>
        <v>106096.34020000001</v>
      </c>
      <c r="AA42" s="756">
        <f t="shared" si="65"/>
        <v>106096.34020000001</v>
      </c>
      <c r="AB42" s="756">
        <f t="shared" si="65"/>
        <v>0</v>
      </c>
      <c r="AC42" s="756">
        <f t="shared" si="65"/>
        <v>53419.8</v>
      </c>
      <c r="AD42" s="756">
        <f t="shared" si="65"/>
        <v>1E-4</v>
      </c>
      <c r="AE42" s="756">
        <f>SUM(AE14:AE41)</f>
        <v>53419.8001</v>
      </c>
      <c r="AF42" s="756">
        <f t="shared" si="65"/>
        <v>53419.8001</v>
      </c>
      <c r="AG42" s="756">
        <f t="shared" si="65"/>
        <v>0</v>
      </c>
      <c r="AH42" s="756"/>
      <c r="AI42" s="756">
        <f t="shared" ref="AI42:AP42" si="66">SUM(AI14:AI41)</f>
        <v>159516.14030000003</v>
      </c>
      <c r="AJ42" s="756">
        <f t="shared" si="66"/>
        <v>159516.14030000003</v>
      </c>
      <c r="AK42" s="756">
        <f t="shared" si="66"/>
        <v>0</v>
      </c>
      <c r="AL42" s="756">
        <f t="shared" si="66"/>
        <v>53419.8</v>
      </c>
      <c r="AM42" s="756">
        <f t="shared" si="66"/>
        <v>1E-4</v>
      </c>
      <c r="AN42" s="756">
        <f>SUM(AN14:AN41)</f>
        <v>53419.8001</v>
      </c>
      <c r="AO42" s="756">
        <f t="shared" si="66"/>
        <v>53419.8001</v>
      </c>
      <c r="AP42" s="756">
        <f t="shared" si="66"/>
        <v>0</v>
      </c>
      <c r="AQ42" s="756"/>
      <c r="AR42" s="756">
        <f t="shared" ref="AR42:AY42" si="67">SUM(AR14:AR41)</f>
        <v>212935.94039999999</v>
      </c>
      <c r="AS42" s="756">
        <f t="shared" si="67"/>
        <v>212935.94039999999</v>
      </c>
      <c r="AT42" s="756">
        <f t="shared" si="67"/>
        <v>0</v>
      </c>
      <c r="AU42" s="756">
        <f t="shared" si="67"/>
        <v>53419.8</v>
      </c>
      <c r="AV42" s="756">
        <f t="shared" si="67"/>
        <v>-17165.509899999997</v>
      </c>
      <c r="AW42" s="756">
        <f>SUM(AW14:AW41)</f>
        <v>36254.290099999998</v>
      </c>
      <c r="AX42" s="756">
        <f t="shared" si="67"/>
        <v>36254.3001</v>
      </c>
      <c r="AY42" s="756">
        <f t="shared" si="67"/>
        <v>-9.9999999983992893E-3</v>
      </c>
      <c r="AZ42" s="756"/>
      <c r="BA42" s="756">
        <f t="shared" ref="BA42:BH42" si="68">SUM(BA14:BA41)</f>
        <v>249190.23049999998</v>
      </c>
      <c r="BB42" s="756">
        <f t="shared" si="68"/>
        <v>249190.24049999999</v>
      </c>
      <c r="BC42" s="756">
        <f t="shared" si="68"/>
        <v>-9.9999999983992893E-3</v>
      </c>
      <c r="BD42" s="756">
        <f t="shared" si="68"/>
        <v>24056.86</v>
      </c>
      <c r="BE42" s="756">
        <f t="shared" si="68"/>
        <v>44911.000099999997</v>
      </c>
      <c r="BF42" s="756">
        <f>SUM(BF14:BF41)</f>
        <v>68967.860100000005</v>
      </c>
      <c r="BG42" s="756">
        <f t="shared" si="68"/>
        <v>68967.6201</v>
      </c>
      <c r="BH42" s="756">
        <f t="shared" si="68"/>
        <v>0.24000000000160071</v>
      </c>
      <c r="BI42" s="756"/>
      <c r="BJ42" s="756">
        <f t="shared" ref="BJ42:BQ42" si="69">SUM(BJ14:BJ41)</f>
        <v>318158.0906</v>
      </c>
      <c r="BK42" s="756">
        <f t="shared" si="69"/>
        <v>318157.86060000001</v>
      </c>
      <c r="BL42" s="756">
        <f t="shared" si="69"/>
        <v>0.23000000001047738</v>
      </c>
      <c r="BM42" s="756">
        <f t="shared" si="69"/>
        <v>54472.1</v>
      </c>
      <c r="BN42" s="756">
        <f t="shared" si="69"/>
        <v>2990.5701000000004</v>
      </c>
      <c r="BO42" s="756">
        <f>SUM(BO14:BO41)</f>
        <v>57462.670099999996</v>
      </c>
      <c r="BP42" s="756">
        <f t="shared" si="69"/>
        <v>54472</v>
      </c>
      <c r="BQ42" s="756">
        <f t="shared" si="69"/>
        <v>2990.6701000000003</v>
      </c>
      <c r="BR42" s="756"/>
      <c r="BS42" s="756">
        <f t="shared" ref="BS42:BZ42" si="70">SUM(BS14:BS41)</f>
        <v>375620.76069999998</v>
      </c>
      <c r="BT42" s="756">
        <f t="shared" si="70"/>
        <v>372629.86060000001</v>
      </c>
      <c r="BU42" s="756">
        <f t="shared" si="70"/>
        <v>2990.9001000000089</v>
      </c>
      <c r="BV42" s="756">
        <f t="shared" si="70"/>
        <v>58787.839999999997</v>
      </c>
      <c r="BW42" s="756">
        <f t="shared" si="70"/>
        <v>-4096.9998999999998</v>
      </c>
      <c r="BX42" s="756">
        <f>SUM(BX14:BX41)</f>
        <v>54690.840099999994</v>
      </c>
      <c r="BY42" s="756">
        <f t="shared" si="70"/>
        <v>54472</v>
      </c>
      <c r="BZ42" s="756">
        <f t="shared" si="70"/>
        <v>218.84010000000015</v>
      </c>
      <c r="CA42" s="756"/>
      <c r="CB42" s="756">
        <f t="shared" ref="CB42:CI42" si="71">SUM(CB14:CB41)</f>
        <v>430311.60079999996</v>
      </c>
      <c r="CC42" s="756">
        <f t="shared" si="71"/>
        <v>427101.86060000001</v>
      </c>
      <c r="CD42" s="756">
        <f t="shared" si="71"/>
        <v>3209.7402000000052</v>
      </c>
      <c r="CE42" s="756">
        <f t="shared" si="71"/>
        <v>54472.1</v>
      </c>
      <c r="CF42" s="756">
        <f t="shared" si="71"/>
        <v>219.0001</v>
      </c>
      <c r="CG42" s="756">
        <f>SUM(CG14:CG41)</f>
        <v>54691.100099999996</v>
      </c>
      <c r="CH42" s="756">
        <f t="shared" si="71"/>
        <v>54472</v>
      </c>
      <c r="CI42" s="756">
        <f t="shared" si="71"/>
        <v>219.10010000000037</v>
      </c>
      <c r="CJ42" s="756"/>
      <c r="CK42" s="756">
        <f t="shared" ref="CK42:CR42" si="72">SUM(CK14:CK41)</f>
        <v>485002.70089999994</v>
      </c>
      <c r="CL42" s="756">
        <f t="shared" si="72"/>
        <v>481573.86060000001</v>
      </c>
      <c r="CM42" s="756">
        <f t="shared" si="72"/>
        <v>3428.8403000000039</v>
      </c>
      <c r="CN42" s="756">
        <f t="shared" si="72"/>
        <v>48631.899999999994</v>
      </c>
      <c r="CO42" s="756">
        <f t="shared" si="72"/>
        <v>3139.1001000000001</v>
      </c>
      <c r="CP42" s="756">
        <f>SUM(CP14:CP41)</f>
        <v>51771.000099999997</v>
      </c>
      <c r="CQ42" s="756">
        <f t="shared" si="72"/>
        <v>54472</v>
      </c>
      <c r="CR42" s="756">
        <f t="shared" si="72"/>
        <v>-2700.9998999999998</v>
      </c>
      <c r="CS42" s="756"/>
      <c r="CT42" s="756">
        <f t="shared" ref="CT42:DA42" si="73">SUM(CT14:CT41)</f>
        <v>536773.701</v>
      </c>
      <c r="CU42" s="756">
        <f t="shared" si="73"/>
        <v>536045.86060000001</v>
      </c>
      <c r="CV42" s="756">
        <f t="shared" si="73"/>
        <v>727.8404000000038</v>
      </c>
      <c r="CW42" s="756">
        <f t="shared" si="73"/>
        <v>53104.5</v>
      </c>
      <c r="CX42" s="756">
        <f t="shared" si="73"/>
        <v>902.55010000000016</v>
      </c>
      <c r="CY42" s="756">
        <f>SUM(CY14:CY41)</f>
        <v>54007.0501</v>
      </c>
      <c r="CZ42" s="756">
        <f t="shared" si="73"/>
        <v>58972</v>
      </c>
      <c r="DA42" s="756">
        <f t="shared" si="73"/>
        <v>-4964.9498999999987</v>
      </c>
      <c r="DB42" s="756"/>
      <c r="DC42" s="756">
        <f t="shared" ref="DC42:DJ42" si="74">SUM(DC14:DC41)</f>
        <v>590780.75109999999</v>
      </c>
      <c r="DD42" s="756">
        <f t="shared" si="74"/>
        <v>595017.86060000001</v>
      </c>
      <c r="DE42" s="756">
        <f t="shared" si="74"/>
        <v>-4237.1095000000005</v>
      </c>
      <c r="DF42" s="756">
        <f t="shared" si="74"/>
        <v>45416.3</v>
      </c>
      <c r="DG42" s="756">
        <f t="shared" si="74"/>
        <v>3870.4001000000003</v>
      </c>
      <c r="DH42" s="756">
        <f>SUM(DH14:DH41)</f>
        <v>49286.700099999995</v>
      </c>
      <c r="DI42" s="756">
        <f t="shared" si="74"/>
        <v>59577</v>
      </c>
      <c r="DJ42" s="756">
        <f t="shared" si="74"/>
        <v>-10290.299899999998</v>
      </c>
      <c r="DK42" s="756"/>
      <c r="DL42" s="756">
        <f>SUM(DL14:DL41)</f>
        <v>640067.45120000013</v>
      </c>
      <c r="DM42" s="756">
        <f>SUM(DM14:DM41)</f>
        <v>654594.86060000001</v>
      </c>
      <c r="DN42" s="756">
        <f>SUM(DN14:DN41)</f>
        <v>-14527.409400000004</v>
      </c>
      <c r="DO42" s="746"/>
      <c r="DP42" s="712"/>
      <c r="DQ42" s="756">
        <f>SUM(DQ14:DQ41)</f>
        <v>654594.86060000001</v>
      </c>
      <c r="DR42" s="756">
        <f>SUM(DR14:DR41)</f>
        <v>-14528</v>
      </c>
    </row>
    <row r="43" spans="1:123" s="665" customFormat="1" ht="14.15" customHeight="1">
      <c r="C43" s="747"/>
      <c r="D43" s="748"/>
      <c r="E43" s="748"/>
      <c r="F43" s="749"/>
      <c r="G43" s="747"/>
      <c r="H43" s="750"/>
      <c r="I43" s="750"/>
      <c r="J43" s="656"/>
      <c r="K43" s="901"/>
      <c r="L43" s="901"/>
      <c r="M43" s="901"/>
      <c r="N43" s="751"/>
      <c r="O43" s="752"/>
      <c r="P43" s="656"/>
      <c r="Q43" s="751"/>
      <c r="R43" s="752"/>
      <c r="S43" s="752"/>
      <c r="T43" s="901"/>
      <c r="U43" s="901"/>
      <c r="V43" s="901"/>
      <c r="W43" s="751"/>
      <c r="X43" s="753"/>
      <c r="Y43" s="751"/>
      <c r="Z43" s="753"/>
      <c r="AA43" s="753"/>
      <c r="AB43" s="753"/>
      <c r="AC43" s="901"/>
      <c r="AD43" s="901"/>
      <c r="AE43" s="901"/>
      <c r="AF43" s="751"/>
      <c r="AG43" s="753"/>
      <c r="AH43" s="751"/>
      <c r="AI43" s="753"/>
      <c r="AJ43" s="753"/>
      <c r="AK43" s="753"/>
      <c r="AL43" s="901"/>
      <c r="AM43" s="901"/>
      <c r="AN43" s="901"/>
      <c r="AO43" s="751"/>
      <c r="AP43" s="753"/>
      <c r="AQ43" s="751"/>
      <c r="AR43" s="753"/>
      <c r="AS43" s="753"/>
      <c r="AT43" s="753"/>
      <c r="AU43" s="901"/>
      <c r="AV43" s="901"/>
      <c r="AW43" s="901"/>
      <c r="AX43" s="751"/>
      <c r="AY43" s="753"/>
      <c r="AZ43" s="751"/>
      <c r="BA43" s="753"/>
      <c r="BB43" s="753"/>
      <c r="BC43" s="753"/>
      <c r="BD43" s="901"/>
      <c r="BE43" s="901"/>
      <c r="BF43" s="901"/>
      <c r="BG43" s="751"/>
      <c r="BH43" s="712"/>
      <c r="BI43" s="751"/>
      <c r="BJ43" s="712"/>
      <c r="BK43" s="712"/>
      <c r="BL43" s="753"/>
      <c r="BM43" s="901"/>
      <c r="BN43" s="901"/>
      <c r="BO43" s="901"/>
      <c r="BP43" s="751"/>
      <c r="BQ43" s="712"/>
      <c r="BR43" s="751"/>
      <c r="BS43" s="712"/>
      <c r="BT43" s="712"/>
      <c r="BU43" s="753"/>
      <c r="BV43" s="901"/>
      <c r="BW43" s="901"/>
      <c r="BX43" s="901"/>
      <c r="BY43" s="751"/>
      <c r="BZ43" s="712"/>
      <c r="CA43" s="751"/>
      <c r="CB43" s="712"/>
      <c r="CC43" s="712"/>
      <c r="CD43" s="753"/>
      <c r="CE43" s="901"/>
      <c r="CF43" s="901"/>
      <c r="CG43" s="901"/>
      <c r="CH43" s="751"/>
      <c r="CI43" s="712"/>
      <c r="CJ43" s="751"/>
      <c r="CK43" s="712"/>
      <c r="CL43" s="712"/>
      <c r="CM43" s="753"/>
      <c r="CN43" s="901"/>
      <c r="CO43" s="901"/>
      <c r="CP43" s="901"/>
      <c r="CQ43" s="751"/>
      <c r="CR43" s="712"/>
      <c r="CS43" s="751"/>
      <c r="CT43" s="712"/>
      <c r="CU43" s="712"/>
      <c r="CV43" s="753"/>
      <c r="CW43" s="901"/>
      <c r="CX43" s="901"/>
      <c r="CY43" s="901"/>
      <c r="CZ43" s="751"/>
      <c r="DA43" s="712"/>
      <c r="DB43" s="751"/>
      <c r="DC43" s="712"/>
      <c r="DD43" s="712"/>
      <c r="DE43" s="753"/>
      <c r="DF43" s="901"/>
      <c r="DG43" s="901"/>
      <c r="DH43" s="901"/>
      <c r="DI43" s="751"/>
      <c r="DJ43" s="712"/>
      <c r="DK43" s="751"/>
      <c r="DL43" s="712"/>
      <c r="DM43" s="712"/>
      <c r="DN43" s="753"/>
      <c r="DO43" s="746"/>
      <c r="DP43" s="712"/>
    </row>
    <row r="44" spans="1:123" s="665" customFormat="1" ht="14.15" customHeight="1">
      <c r="C44" s="757" t="s">
        <v>104</v>
      </c>
      <c r="D44" s="748"/>
      <c r="E44" s="748"/>
      <c r="F44" s="749"/>
      <c r="G44" s="747"/>
      <c r="H44" s="750"/>
      <c r="I44" s="750"/>
      <c r="J44" s="656"/>
      <c r="K44" s="901"/>
      <c r="L44" s="901"/>
      <c r="M44" s="901"/>
      <c r="N44" s="751"/>
      <c r="O44" s="752"/>
      <c r="P44" s="656"/>
      <c r="Q44" s="751"/>
      <c r="R44" s="752"/>
      <c r="S44" s="752"/>
      <c r="T44" s="901"/>
      <c r="U44" s="901"/>
      <c r="V44" s="901"/>
      <c r="W44" s="751"/>
      <c r="X44" s="753"/>
      <c r="Y44" s="751"/>
      <c r="Z44" s="753"/>
      <c r="AA44" s="753"/>
      <c r="AB44" s="753"/>
      <c r="AC44" s="901"/>
      <c r="AD44" s="901"/>
      <c r="AE44" s="901"/>
      <c r="AF44" s="751"/>
      <c r="AG44" s="753"/>
      <c r="AH44" s="751"/>
      <c r="AI44" s="753"/>
      <c r="AJ44" s="753"/>
      <c r="AK44" s="753"/>
      <c r="AL44" s="901"/>
      <c r="AM44" s="901"/>
      <c r="AN44" s="901"/>
      <c r="AO44" s="751"/>
      <c r="AP44" s="753"/>
      <c r="AQ44" s="751"/>
      <c r="AR44" s="753"/>
      <c r="AS44" s="753"/>
      <c r="AT44" s="753"/>
      <c r="AU44" s="901"/>
      <c r="AV44" s="901"/>
      <c r="AW44" s="901"/>
      <c r="AX44" s="751"/>
      <c r="AY44" s="753"/>
      <c r="AZ44" s="751"/>
      <c r="BA44" s="753"/>
      <c r="BB44" s="753"/>
      <c r="BC44" s="753"/>
      <c r="BD44" s="901"/>
      <c r="BE44" s="901"/>
      <c r="BF44" s="901"/>
      <c r="BG44" s="751"/>
      <c r="BH44" s="712"/>
      <c r="BI44" s="751"/>
      <c r="BJ44" s="712"/>
      <c r="BK44" s="712"/>
      <c r="BL44" s="753"/>
      <c r="BM44" s="901"/>
      <c r="BN44" s="901"/>
      <c r="BO44" s="901"/>
      <c r="BP44" s="751"/>
      <c r="BQ44" s="712"/>
      <c r="BR44" s="751"/>
      <c r="BS44" s="712"/>
      <c r="BT44" s="712"/>
      <c r="BU44" s="753"/>
      <c r="BV44" s="901"/>
      <c r="BW44" s="901"/>
      <c r="BX44" s="901"/>
      <c r="BY44" s="751"/>
      <c r="BZ44" s="712"/>
      <c r="CA44" s="751"/>
      <c r="CB44" s="712"/>
      <c r="CC44" s="712"/>
      <c r="CD44" s="753"/>
      <c r="CE44" s="901"/>
      <c r="CF44" s="901"/>
      <c r="CG44" s="901"/>
      <c r="CH44" s="751"/>
      <c r="CI44" s="712"/>
      <c r="CJ44" s="751"/>
      <c r="CK44" s="712"/>
      <c r="CL44" s="712"/>
      <c r="CM44" s="753"/>
      <c r="CN44" s="901"/>
      <c r="CO44" s="901"/>
      <c r="CP44" s="901"/>
      <c r="CQ44" s="751"/>
      <c r="CR44" s="712"/>
      <c r="CS44" s="751"/>
      <c r="CT44" s="712"/>
      <c r="CU44" s="712"/>
      <c r="CV44" s="753"/>
      <c r="CW44" s="901"/>
      <c r="CX44" s="901"/>
      <c r="CY44" s="901"/>
      <c r="CZ44" s="751"/>
      <c r="DA44" s="712"/>
      <c r="DB44" s="751"/>
      <c r="DC44" s="712"/>
      <c r="DD44" s="712"/>
      <c r="DE44" s="753"/>
      <c r="DF44" s="901"/>
      <c r="DG44" s="901"/>
      <c r="DH44" s="901"/>
      <c r="DI44" s="751"/>
      <c r="DJ44" s="712"/>
      <c r="DK44" s="751"/>
      <c r="DL44" s="712"/>
      <c r="DM44" s="712"/>
      <c r="DN44" s="753"/>
      <c r="DO44" s="746"/>
      <c r="DP44" s="712"/>
    </row>
    <row r="45" spans="1:123" s="665" customFormat="1" ht="14.15" customHeight="1">
      <c r="B45" s="220" t="s">
        <v>105</v>
      </c>
      <c r="C45" s="728" t="s">
        <v>106</v>
      </c>
      <c r="D45" s="866">
        <v>36161</v>
      </c>
      <c r="E45" s="866">
        <v>41882</v>
      </c>
      <c r="F45" s="730" t="s">
        <v>71</v>
      </c>
      <c r="G45" s="729" t="s">
        <v>107</v>
      </c>
      <c r="H45" s="731">
        <v>8000</v>
      </c>
      <c r="I45" s="732">
        <f t="shared" ref="I45:I51" si="75">HLOOKUP(I$10,M$10:DI$53,ROW()-9,FALSE)</f>
        <v>10000</v>
      </c>
      <c r="J45" s="656"/>
      <c r="K45" s="901">
        <f>IF(ISERROR(VLOOKUP($B45,'MRI Data'!$A:$P,M$10+3,FALSE)),0,VLOOKUP($B45,'MRI Data'!$A:$P,M$10+3,FALSE))</f>
        <v>10000</v>
      </c>
      <c r="L45" s="901"/>
      <c r="M45" s="901">
        <f>SUM(K45:L45)</f>
        <v>10000</v>
      </c>
      <c r="N45" s="659">
        <v>10000</v>
      </c>
      <c r="O45" s="712">
        <f t="shared" ref="O45:O51" si="76">+M45-N45</f>
        <v>0</v>
      </c>
      <c r="P45" s="656"/>
      <c r="Q45" s="659">
        <f t="shared" ref="Q45:R51" si="77">+M45</f>
        <v>10000</v>
      </c>
      <c r="R45" s="659">
        <f t="shared" si="77"/>
        <v>10000</v>
      </c>
      <c r="S45" s="712">
        <f t="shared" ref="S45:S52" si="78">O45</f>
        <v>0</v>
      </c>
      <c r="T45" s="901">
        <f>IF(ISERROR(VLOOKUP($B45,'MRI Data'!$A:$P,V$10+3,FALSE)),0,VLOOKUP($B45,'MRI Data'!$A:$P,V$10+3,FALSE))</f>
        <v>10000</v>
      </c>
      <c r="U45" s="901"/>
      <c r="V45" s="901">
        <f>SUM(T45:U45)</f>
        <v>10000</v>
      </c>
      <c r="W45" s="659">
        <v>10000</v>
      </c>
      <c r="X45" s="712">
        <f t="shared" ref="X45:X51" si="79">+V45-W45</f>
        <v>0</v>
      </c>
      <c r="Y45" s="659"/>
      <c r="Z45" s="712">
        <f t="shared" ref="Z45:AA51" si="80">+Q45+V45</f>
        <v>20000</v>
      </c>
      <c r="AA45" s="712">
        <f t="shared" si="80"/>
        <v>20000</v>
      </c>
      <c r="AB45" s="712">
        <f t="shared" ref="AB45:AB52" si="81">+Z45-AA45</f>
        <v>0</v>
      </c>
      <c r="AC45" s="901">
        <f>IF(ISERROR(VLOOKUP($B45,'MRI Data'!$A:$P,AE$10+3,FALSE)),0,VLOOKUP($B45,'MRI Data'!$A:$P,AE$10+3,FALSE))</f>
        <v>10000</v>
      </c>
      <c r="AD45" s="901"/>
      <c r="AE45" s="901">
        <f>SUM(AC45:AD45)</f>
        <v>10000</v>
      </c>
      <c r="AF45" s="659">
        <v>10000</v>
      </c>
      <c r="AG45" s="712">
        <f t="shared" ref="AG45:AG51" si="82">+AE45-AF45</f>
        <v>0</v>
      </c>
      <c r="AH45" s="659"/>
      <c r="AI45" s="712">
        <f t="shared" ref="AI45:AJ52" si="83">+Z45+AE45</f>
        <v>30000</v>
      </c>
      <c r="AJ45" s="712">
        <f t="shared" si="83"/>
        <v>30000</v>
      </c>
      <c r="AK45" s="712">
        <f t="shared" ref="AK45:AK52" si="84">+AI45-AJ45</f>
        <v>0</v>
      </c>
      <c r="AL45" s="901">
        <f>IF(ISERROR(VLOOKUP($B45,'MRI Data'!$A:$P,AN$10+3,FALSE)),0,VLOOKUP($B45,'MRI Data'!$A:$P,AN$10+3,FALSE))</f>
        <v>10000</v>
      </c>
      <c r="AM45" s="901"/>
      <c r="AN45" s="901">
        <f>SUM(AL45:AM45)</f>
        <v>10000</v>
      </c>
      <c r="AO45" s="659">
        <v>10000</v>
      </c>
      <c r="AP45" s="712">
        <f t="shared" ref="AP45:AP52" si="85">+AN45-AO45</f>
        <v>0</v>
      </c>
      <c r="AQ45" s="659"/>
      <c r="AR45" s="712">
        <f t="shared" ref="AR45:AS52" si="86">+AI45+AN45</f>
        <v>40000</v>
      </c>
      <c r="AS45" s="712">
        <f t="shared" si="86"/>
        <v>40000</v>
      </c>
      <c r="AT45" s="712">
        <f t="shared" ref="AT45:AT52" si="87">+AR45-AS45</f>
        <v>0</v>
      </c>
      <c r="AU45" s="901">
        <f>IF(ISERROR(VLOOKUP($B45,'MRI Data'!$A:$P,AW$10+3,FALSE)),0,VLOOKUP($B45,'MRI Data'!$A:$P,AW$10+3,FALSE))</f>
        <v>10000</v>
      </c>
      <c r="AV45" s="901"/>
      <c r="AW45" s="901">
        <f>SUM(AU45:AV45)</f>
        <v>10000</v>
      </c>
      <c r="AX45" s="659">
        <v>10000</v>
      </c>
      <c r="AY45" s="712">
        <f t="shared" ref="AY45:AY52" si="88">+AW45-AX45</f>
        <v>0</v>
      </c>
      <c r="AZ45" s="659"/>
      <c r="BA45" s="712">
        <f t="shared" ref="BA45:BB52" si="89">+AR45+AW45</f>
        <v>50000</v>
      </c>
      <c r="BB45" s="712">
        <f t="shared" si="89"/>
        <v>50000</v>
      </c>
      <c r="BC45" s="712">
        <f t="shared" ref="BC45:BC52" si="90">+BA45-BB45</f>
        <v>0</v>
      </c>
      <c r="BD45" s="901">
        <f>IF(ISERROR(VLOOKUP($B45,'MRI Data'!$A:$P,BF$10+3,FALSE)),0,VLOOKUP($B45,'MRI Data'!$A:$P,BF$10+3,FALSE))</f>
        <v>10000</v>
      </c>
      <c r="BE45" s="901"/>
      <c r="BF45" s="901">
        <f>SUM(BD45:BE45)</f>
        <v>10000</v>
      </c>
      <c r="BG45" s="659">
        <v>10000</v>
      </c>
      <c r="BH45" s="712">
        <f t="shared" ref="BH45:BH52" si="91">+BF45-BG45</f>
        <v>0</v>
      </c>
      <c r="BI45" s="659"/>
      <c r="BJ45" s="712">
        <f t="shared" ref="BJ45:BK52" si="92">+BA45+BF45</f>
        <v>60000</v>
      </c>
      <c r="BK45" s="712">
        <f t="shared" si="92"/>
        <v>60000</v>
      </c>
      <c r="BL45" s="712">
        <f t="shared" ref="BL45:BL52" si="93">+BJ45-BK45</f>
        <v>0</v>
      </c>
      <c r="BM45" s="901">
        <f>IF(ISERROR(VLOOKUP($B45,'MRI Data'!$A:$P,BO$10+3,FALSE)),0,VLOOKUP($B45,'MRI Data'!$A:$P,BO$10+3,FALSE))</f>
        <v>10000</v>
      </c>
      <c r="BN45" s="901"/>
      <c r="BO45" s="901">
        <f>SUM(BM45:BN45)</f>
        <v>10000</v>
      </c>
      <c r="BP45" s="659">
        <v>10000</v>
      </c>
      <c r="BQ45" s="712">
        <f t="shared" ref="BQ45:BQ52" si="94">+BO45-BP45</f>
        <v>0</v>
      </c>
      <c r="BR45" s="659"/>
      <c r="BS45" s="712">
        <f t="shared" ref="BS45:BT52" si="95">+BJ45+BO45</f>
        <v>70000</v>
      </c>
      <c r="BT45" s="712">
        <f t="shared" si="95"/>
        <v>70000</v>
      </c>
      <c r="BU45" s="712">
        <f t="shared" ref="BU45:BU52" si="96">+BS45-BT45</f>
        <v>0</v>
      </c>
      <c r="BV45" s="901">
        <f>IF(ISERROR(VLOOKUP($B45,'MRI Data'!$A:$P,BX$10+3,FALSE)),0,VLOOKUP($B45,'MRI Data'!$A:$P,BX$10+3,FALSE))</f>
        <v>10000</v>
      </c>
      <c r="BW45" s="901"/>
      <c r="BX45" s="901">
        <f>SUM(BV45:BW45)</f>
        <v>10000</v>
      </c>
      <c r="BY45" s="659">
        <v>10000</v>
      </c>
      <c r="BZ45" s="712">
        <f t="shared" ref="BZ45:BZ52" si="97">+BX45-BY45</f>
        <v>0</v>
      </c>
      <c r="CA45" s="659"/>
      <c r="CB45" s="712">
        <f t="shared" ref="CB45:CC52" si="98">+BS45+BX45</f>
        <v>80000</v>
      </c>
      <c r="CC45" s="712">
        <f t="shared" si="98"/>
        <v>80000</v>
      </c>
      <c r="CD45" s="712">
        <f t="shared" ref="CD45:CD52" si="99">+CB45-CC45</f>
        <v>0</v>
      </c>
      <c r="CE45" s="901">
        <f>IF(ISERROR(VLOOKUP($B45,'MRI Data'!$A:$P,CG$10+3,FALSE)),0,VLOOKUP($B45,'MRI Data'!$A:$P,CG$10+3,FALSE))</f>
        <v>10000</v>
      </c>
      <c r="CF45" s="901"/>
      <c r="CG45" s="901">
        <f>SUM(CE45:CF45)</f>
        <v>10000</v>
      </c>
      <c r="CH45" s="659">
        <v>10000</v>
      </c>
      <c r="CI45" s="712">
        <f t="shared" ref="CI45:CI52" si="100">+CG45-CH45</f>
        <v>0</v>
      </c>
      <c r="CJ45" s="659"/>
      <c r="CK45" s="712">
        <f t="shared" ref="CK45:CL52" si="101">+CB45+CG45</f>
        <v>90000</v>
      </c>
      <c r="CL45" s="712">
        <f t="shared" si="101"/>
        <v>90000</v>
      </c>
      <c r="CM45" s="712">
        <f t="shared" ref="CM45:CM52" si="102">+CK45-CL45</f>
        <v>0</v>
      </c>
      <c r="CN45" s="901">
        <f>IF(ISERROR(VLOOKUP($B45,'MRI Data'!$A:$P,CP$10+3,FALSE)),0,VLOOKUP($B45,'MRI Data'!$A:$P,CP$10+3,FALSE))</f>
        <v>10000</v>
      </c>
      <c r="CO45" s="901"/>
      <c r="CP45" s="901">
        <f>SUM(CN45:CO45)</f>
        <v>10000</v>
      </c>
      <c r="CQ45" s="659">
        <v>10000</v>
      </c>
      <c r="CR45" s="712">
        <f t="shared" ref="CR45:CR52" si="103">+CP45-CQ45</f>
        <v>0</v>
      </c>
      <c r="CS45" s="659"/>
      <c r="CT45" s="712">
        <f t="shared" ref="CT45:CU52" si="104">+CK45+CP45</f>
        <v>100000</v>
      </c>
      <c r="CU45" s="712">
        <f t="shared" si="104"/>
        <v>100000</v>
      </c>
      <c r="CV45" s="712">
        <f t="shared" ref="CV45:CV52" si="105">+CT45-CU45</f>
        <v>0</v>
      </c>
      <c r="CW45" s="901">
        <f>IF(ISERROR(VLOOKUP($B45,'MRI Data'!$A:$P,CY$10+3,FALSE)),0,VLOOKUP($B45,'MRI Data'!$A:$P,CY$10+3,FALSE))</f>
        <v>10000</v>
      </c>
      <c r="CX45" s="901"/>
      <c r="CY45" s="901">
        <f>SUM(CW45:CX45)</f>
        <v>10000</v>
      </c>
      <c r="CZ45" s="659">
        <v>10000</v>
      </c>
      <c r="DA45" s="712">
        <f t="shared" ref="DA45:DA52" si="106">+CY45-CZ45</f>
        <v>0</v>
      </c>
      <c r="DB45" s="659"/>
      <c r="DC45" s="712">
        <f t="shared" ref="DC45:DD52" si="107">+CT45+CY45</f>
        <v>110000</v>
      </c>
      <c r="DD45" s="712">
        <f t="shared" si="107"/>
        <v>110000</v>
      </c>
      <c r="DE45" s="712">
        <f t="shared" ref="DE45:DE52" si="108">+DC45-DD45</f>
        <v>0</v>
      </c>
      <c r="DF45" s="901">
        <f>IF(ISERROR(VLOOKUP($B45,'MRI Data'!$A:$P,DH$10+3,FALSE)),0,VLOOKUP($B45,'MRI Data'!$A:$P,DH$10+3,FALSE))</f>
        <v>10000</v>
      </c>
      <c r="DG45" s="901"/>
      <c r="DH45" s="901">
        <f>SUM(DF45:DG45)</f>
        <v>10000</v>
      </c>
      <c r="DI45" s="659">
        <v>10000</v>
      </c>
      <c r="DJ45" s="712">
        <f t="shared" ref="DJ45:DJ52" si="109">+DH45-DI45</f>
        <v>0</v>
      </c>
      <c r="DK45" s="659"/>
      <c r="DL45" s="712">
        <f t="shared" ref="DL45:DM52" si="110">+DC45+DH45</f>
        <v>120000</v>
      </c>
      <c r="DM45" s="712">
        <f t="shared" si="110"/>
        <v>120000</v>
      </c>
      <c r="DN45" s="712">
        <f t="shared" ref="DN45:DN52" si="111">+DL45-DM45</f>
        <v>0</v>
      </c>
      <c r="DO45" s="737"/>
      <c r="DP45" s="712"/>
      <c r="DQ45" s="734">
        <f t="shared" ref="DQ45:DQ52" si="112">+DM45</f>
        <v>120000</v>
      </c>
      <c r="DR45" s="734">
        <v>0</v>
      </c>
      <c r="DS45" s="735"/>
    </row>
    <row r="46" spans="1:123" s="665" customFormat="1" ht="14.15" customHeight="1">
      <c r="B46" s="220" t="s">
        <v>108</v>
      </c>
      <c r="C46" s="728" t="s">
        <v>109</v>
      </c>
      <c r="D46" s="866">
        <v>31564</v>
      </c>
      <c r="E46" s="866">
        <v>42521</v>
      </c>
      <c r="F46" s="730" t="s">
        <v>71</v>
      </c>
      <c r="G46" s="729" t="s">
        <v>110</v>
      </c>
      <c r="H46" s="731">
        <v>28734</v>
      </c>
      <c r="I46" s="732">
        <f t="shared" si="75"/>
        <v>57468</v>
      </c>
      <c r="J46" s="656"/>
      <c r="K46" s="901">
        <f>IF(ISERROR(VLOOKUP($B46,'MRI Data'!$A:$P,M$10+3,FALSE)),0,VLOOKUP($B46,'MRI Data'!$A:$P,M$10+3,FALSE))</f>
        <v>57468</v>
      </c>
      <c r="L46" s="901"/>
      <c r="M46" s="901">
        <f>SUM(K46:L46)</f>
        <v>57468</v>
      </c>
      <c r="N46" s="659">
        <v>57468</v>
      </c>
      <c r="O46" s="712">
        <f t="shared" si="76"/>
        <v>0</v>
      </c>
      <c r="P46" s="656"/>
      <c r="Q46" s="659">
        <f t="shared" si="77"/>
        <v>57468</v>
      </c>
      <c r="R46" s="659">
        <f t="shared" si="77"/>
        <v>57468</v>
      </c>
      <c r="S46" s="712">
        <f t="shared" si="78"/>
        <v>0</v>
      </c>
      <c r="T46" s="901">
        <f>IF(ISERROR(VLOOKUP($B46,'MRI Data'!$A:$P,V$10+3,FALSE)),0,VLOOKUP($B46,'MRI Data'!$A:$P,V$10+3,FALSE))</f>
        <v>57468</v>
      </c>
      <c r="U46" s="901"/>
      <c r="V46" s="901">
        <f>SUM(T46:U46)</f>
        <v>57468</v>
      </c>
      <c r="W46" s="659">
        <v>57468</v>
      </c>
      <c r="X46" s="712">
        <f t="shared" si="79"/>
        <v>0</v>
      </c>
      <c r="Y46" s="659"/>
      <c r="Z46" s="712">
        <f t="shared" si="80"/>
        <v>114936</v>
      </c>
      <c r="AA46" s="712">
        <f t="shared" si="80"/>
        <v>114936</v>
      </c>
      <c r="AB46" s="712">
        <f t="shared" si="81"/>
        <v>0</v>
      </c>
      <c r="AC46" s="901">
        <f>IF(ISERROR(VLOOKUP($B46,'MRI Data'!$A:$P,AE$10+3,FALSE)),0,VLOOKUP($B46,'MRI Data'!$A:$P,AE$10+3,FALSE))</f>
        <v>57468</v>
      </c>
      <c r="AD46" s="901"/>
      <c r="AE46" s="901">
        <f>SUM(AC46:AD46)</f>
        <v>57468</v>
      </c>
      <c r="AF46" s="659">
        <v>57468</v>
      </c>
      <c r="AG46" s="712">
        <f t="shared" si="82"/>
        <v>0</v>
      </c>
      <c r="AH46" s="659"/>
      <c r="AI46" s="712">
        <f t="shared" si="83"/>
        <v>172404</v>
      </c>
      <c r="AJ46" s="712">
        <f t="shared" si="83"/>
        <v>172404</v>
      </c>
      <c r="AK46" s="712">
        <f t="shared" si="84"/>
        <v>0</v>
      </c>
      <c r="AL46" s="901">
        <f>IF(ISERROR(VLOOKUP($B46,'MRI Data'!$A:$P,AN$10+3,FALSE)),0,VLOOKUP($B46,'MRI Data'!$A:$P,AN$10+3,FALSE))</f>
        <v>57468</v>
      </c>
      <c r="AM46" s="901"/>
      <c r="AN46" s="901">
        <f>SUM(AL46:AM46)</f>
        <v>57468</v>
      </c>
      <c r="AO46" s="659">
        <v>57468</v>
      </c>
      <c r="AP46" s="712">
        <f t="shared" si="85"/>
        <v>0</v>
      </c>
      <c r="AQ46" s="659"/>
      <c r="AR46" s="712">
        <f t="shared" si="86"/>
        <v>229872</v>
      </c>
      <c r="AS46" s="712">
        <f t="shared" si="86"/>
        <v>229872</v>
      </c>
      <c r="AT46" s="712">
        <f t="shared" si="87"/>
        <v>0</v>
      </c>
      <c r="AU46" s="901">
        <f>IF(ISERROR(VLOOKUP($B46,'MRI Data'!$A:$P,AW$10+3,FALSE)),0,VLOOKUP($B46,'MRI Data'!$A:$P,AW$10+3,FALSE))</f>
        <v>57468</v>
      </c>
      <c r="AV46" s="901"/>
      <c r="AW46" s="901">
        <f>SUM(AU46:AV46)</f>
        <v>57468</v>
      </c>
      <c r="AX46" s="659">
        <v>57468</v>
      </c>
      <c r="AY46" s="712">
        <f t="shared" si="88"/>
        <v>0</v>
      </c>
      <c r="AZ46" s="659"/>
      <c r="BA46" s="712">
        <f t="shared" si="89"/>
        <v>287340</v>
      </c>
      <c r="BB46" s="712">
        <f t="shared" si="89"/>
        <v>287340</v>
      </c>
      <c r="BC46" s="712">
        <f t="shared" si="90"/>
        <v>0</v>
      </c>
      <c r="BD46" s="901">
        <f>IF(ISERROR(VLOOKUP($B46,'MRI Data'!$A:$P,BF$10+3,FALSE)),0,VLOOKUP($B46,'MRI Data'!$A:$P,BF$10+3,FALSE))</f>
        <v>57468</v>
      </c>
      <c r="BE46" s="901"/>
      <c r="BF46" s="901">
        <f>SUM(BD46:BE46)</f>
        <v>57468</v>
      </c>
      <c r="BG46" s="659">
        <v>57468</v>
      </c>
      <c r="BH46" s="712">
        <f t="shared" si="91"/>
        <v>0</v>
      </c>
      <c r="BI46" s="659"/>
      <c r="BJ46" s="712">
        <f t="shared" si="92"/>
        <v>344808</v>
      </c>
      <c r="BK46" s="712">
        <f t="shared" si="92"/>
        <v>344808</v>
      </c>
      <c r="BL46" s="712">
        <f t="shared" si="93"/>
        <v>0</v>
      </c>
      <c r="BM46" s="901">
        <f>IF(ISERROR(VLOOKUP($B46,'MRI Data'!$A:$P,BO$10+3,FALSE)),0,VLOOKUP($B46,'MRI Data'!$A:$P,BO$10+3,FALSE))</f>
        <v>57468</v>
      </c>
      <c r="BN46" s="901"/>
      <c r="BO46" s="901">
        <f>SUM(BM46:BN46)</f>
        <v>57468</v>
      </c>
      <c r="BP46" s="659">
        <v>57468</v>
      </c>
      <c r="BQ46" s="712">
        <f t="shared" si="94"/>
        <v>0</v>
      </c>
      <c r="BR46" s="659"/>
      <c r="BS46" s="712">
        <f t="shared" si="95"/>
        <v>402276</v>
      </c>
      <c r="BT46" s="712">
        <f t="shared" si="95"/>
        <v>402276</v>
      </c>
      <c r="BU46" s="712">
        <f t="shared" si="96"/>
        <v>0</v>
      </c>
      <c r="BV46" s="901">
        <f>IF(ISERROR(VLOOKUP($B46,'MRI Data'!$A:$P,BX$10+3,FALSE)),0,VLOOKUP($B46,'MRI Data'!$A:$P,BX$10+3,FALSE))</f>
        <v>57468</v>
      </c>
      <c r="BW46" s="901"/>
      <c r="BX46" s="901">
        <f>SUM(BV46:BW46)</f>
        <v>57468</v>
      </c>
      <c r="BY46" s="659">
        <v>57468</v>
      </c>
      <c r="BZ46" s="712">
        <f t="shared" si="97"/>
        <v>0</v>
      </c>
      <c r="CA46" s="659"/>
      <c r="CB46" s="712">
        <f t="shared" si="98"/>
        <v>459744</v>
      </c>
      <c r="CC46" s="712">
        <f t="shared" si="98"/>
        <v>459744</v>
      </c>
      <c r="CD46" s="712">
        <f t="shared" si="99"/>
        <v>0</v>
      </c>
      <c r="CE46" s="901">
        <f>IF(ISERROR(VLOOKUP($B46,'MRI Data'!$A:$P,CG$10+3,FALSE)),0,VLOOKUP($B46,'MRI Data'!$A:$P,CG$10+3,FALSE))</f>
        <v>57468</v>
      </c>
      <c r="CF46" s="901"/>
      <c r="CG46" s="901">
        <f>SUM(CE46:CF46)</f>
        <v>57468</v>
      </c>
      <c r="CH46" s="659">
        <v>57468</v>
      </c>
      <c r="CI46" s="712">
        <f t="shared" si="100"/>
        <v>0</v>
      </c>
      <c r="CJ46" s="659"/>
      <c r="CK46" s="712">
        <f t="shared" si="101"/>
        <v>517212</v>
      </c>
      <c r="CL46" s="712">
        <f t="shared" si="101"/>
        <v>517212</v>
      </c>
      <c r="CM46" s="712">
        <f t="shared" si="102"/>
        <v>0</v>
      </c>
      <c r="CN46" s="901">
        <f>IF(ISERROR(VLOOKUP($B46,'MRI Data'!$A:$P,CP$10+3,FALSE)),0,VLOOKUP($B46,'MRI Data'!$A:$P,CP$10+3,FALSE))</f>
        <v>57468</v>
      </c>
      <c r="CO46" s="901"/>
      <c r="CP46" s="901">
        <f>SUM(CN46:CO46)</f>
        <v>57468</v>
      </c>
      <c r="CQ46" s="659">
        <v>57468</v>
      </c>
      <c r="CR46" s="712">
        <f t="shared" si="103"/>
        <v>0</v>
      </c>
      <c r="CS46" s="659"/>
      <c r="CT46" s="712">
        <f t="shared" si="104"/>
        <v>574680</v>
      </c>
      <c r="CU46" s="712">
        <f t="shared" si="104"/>
        <v>574680</v>
      </c>
      <c r="CV46" s="712">
        <f t="shared" si="105"/>
        <v>0</v>
      </c>
      <c r="CW46" s="901">
        <f>IF(ISERROR(VLOOKUP($B46,'MRI Data'!$A:$P,CY$10+3,FALSE)),0,VLOOKUP($B46,'MRI Data'!$A:$P,CY$10+3,FALSE))</f>
        <v>57468</v>
      </c>
      <c r="CX46" s="901"/>
      <c r="CY46" s="901">
        <f>SUM(CW46:CX46)</f>
        <v>57468</v>
      </c>
      <c r="CZ46" s="659">
        <v>57468</v>
      </c>
      <c r="DA46" s="712">
        <f t="shared" si="106"/>
        <v>0</v>
      </c>
      <c r="DB46" s="659"/>
      <c r="DC46" s="712">
        <f t="shared" si="107"/>
        <v>632148</v>
      </c>
      <c r="DD46" s="712">
        <f t="shared" si="107"/>
        <v>632148</v>
      </c>
      <c r="DE46" s="712">
        <f t="shared" si="108"/>
        <v>0</v>
      </c>
      <c r="DF46" s="901">
        <f>IF(ISERROR(VLOOKUP($B46,'MRI Data'!$A:$P,DH$10+3,FALSE)),0,VLOOKUP($B46,'MRI Data'!$A:$P,DH$10+3,FALSE))</f>
        <v>57468</v>
      </c>
      <c r="DG46" s="901"/>
      <c r="DH46" s="901">
        <f>SUM(DF46:DG46)</f>
        <v>57468</v>
      </c>
      <c r="DI46" s="659">
        <v>57468</v>
      </c>
      <c r="DJ46" s="712">
        <f t="shared" si="109"/>
        <v>0</v>
      </c>
      <c r="DK46" s="659"/>
      <c r="DL46" s="712">
        <f t="shared" si="110"/>
        <v>689616</v>
      </c>
      <c r="DM46" s="712">
        <f t="shared" si="110"/>
        <v>689616</v>
      </c>
      <c r="DN46" s="712">
        <f t="shared" si="111"/>
        <v>0</v>
      </c>
      <c r="DO46" s="737"/>
      <c r="DP46" s="712"/>
      <c r="DQ46" s="734">
        <f t="shared" si="112"/>
        <v>689616</v>
      </c>
      <c r="DR46" s="734">
        <v>0</v>
      </c>
      <c r="DS46" s="735"/>
    </row>
    <row r="47" spans="1:123" s="665" customFormat="1" ht="14.15" customHeight="1">
      <c r="B47" s="220" t="s">
        <v>111</v>
      </c>
      <c r="C47" s="728" t="s">
        <v>112</v>
      </c>
      <c r="D47" s="866">
        <v>35324</v>
      </c>
      <c r="E47" s="866">
        <v>45716</v>
      </c>
      <c r="F47" s="730" t="s">
        <v>71</v>
      </c>
      <c r="G47" s="729" t="s">
        <v>113</v>
      </c>
      <c r="H47" s="731">
        <v>8986</v>
      </c>
      <c r="I47" s="732">
        <f t="shared" si="75"/>
        <v>56797.27</v>
      </c>
      <c r="J47" s="656"/>
      <c r="K47" s="901">
        <f>IF(ISERROR(VLOOKUP($B47,'MRI Data'!$A:$P,M$10+3,FALSE)),0,VLOOKUP($B47,'MRI Data'!$A:$P,M$10+3,FALSE))</f>
        <v>14699.95</v>
      </c>
      <c r="L47" s="901"/>
      <c r="M47" s="901">
        <f>SUM(K47:L47)</f>
        <v>14699.95</v>
      </c>
      <c r="N47" s="659">
        <v>14699.95</v>
      </c>
      <c r="O47" s="712">
        <f t="shared" si="76"/>
        <v>0</v>
      </c>
      <c r="P47" s="656"/>
      <c r="Q47" s="659">
        <f t="shared" si="77"/>
        <v>14699.95</v>
      </c>
      <c r="R47" s="659">
        <f t="shared" si="77"/>
        <v>14699.95</v>
      </c>
      <c r="S47" s="712">
        <f t="shared" si="78"/>
        <v>0</v>
      </c>
      <c r="T47" s="901">
        <f>IF(ISERROR(VLOOKUP($B47,'MRI Data'!$A:$P,V$10+3,FALSE)),0,VLOOKUP($B47,'MRI Data'!$A:$P,V$10+3,FALSE))</f>
        <v>14699.95</v>
      </c>
      <c r="U47" s="901"/>
      <c r="V47" s="901">
        <f>SUM(T47:U47)</f>
        <v>14699.95</v>
      </c>
      <c r="W47" s="659">
        <v>14699.95</v>
      </c>
      <c r="X47" s="712">
        <f t="shared" si="79"/>
        <v>0</v>
      </c>
      <c r="Y47" s="659"/>
      <c r="Z47" s="712">
        <f t="shared" si="80"/>
        <v>29399.9</v>
      </c>
      <c r="AA47" s="712">
        <f t="shared" si="80"/>
        <v>29399.9</v>
      </c>
      <c r="AB47" s="712">
        <f t="shared" si="81"/>
        <v>0</v>
      </c>
      <c r="AC47" s="901">
        <f>IF(ISERROR(VLOOKUP($B47,'MRI Data'!$A:$P,AE$10+3,FALSE)),0,VLOOKUP($B47,'MRI Data'!$A:$P,AE$10+3,FALSE))</f>
        <v>14699.95</v>
      </c>
      <c r="AD47" s="901"/>
      <c r="AE47" s="901">
        <f>SUM(AC47:AD47)</f>
        <v>14699.95</v>
      </c>
      <c r="AF47" s="659">
        <v>14699.95</v>
      </c>
      <c r="AG47" s="712">
        <f t="shared" si="82"/>
        <v>0</v>
      </c>
      <c r="AH47" s="659"/>
      <c r="AI47" s="712">
        <f t="shared" si="83"/>
        <v>44099.850000000006</v>
      </c>
      <c r="AJ47" s="712">
        <f t="shared" si="83"/>
        <v>44099.850000000006</v>
      </c>
      <c r="AK47" s="712">
        <f t="shared" si="84"/>
        <v>0</v>
      </c>
      <c r="AL47" s="901">
        <f>IF(ISERROR(VLOOKUP($B47,'MRI Data'!$A:$P,AN$10+3,FALSE)),0,VLOOKUP($B47,'MRI Data'!$A:$P,AN$10+3,FALSE))</f>
        <v>14699.95</v>
      </c>
      <c r="AM47" s="901"/>
      <c r="AN47" s="901">
        <f>SUM(AL47:AM47)</f>
        <v>14699.95</v>
      </c>
      <c r="AO47" s="659">
        <v>14699.95</v>
      </c>
      <c r="AP47" s="712">
        <f t="shared" si="85"/>
        <v>0</v>
      </c>
      <c r="AQ47" s="659"/>
      <c r="AR47" s="712">
        <f t="shared" si="86"/>
        <v>58799.8</v>
      </c>
      <c r="AS47" s="712">
        <f t="shared" si="86"/>
        <v>58799.8</v>
      </c>
      <c r="AT47" s="712">
        <f t="shared" si="87"/>
        <v>0</v>
      </c>
      <c r="AU47" s="901">
        <f>IF(ISERROR(VLOOKUP($B47,'MRI Data'!$A:$P,AW$10+3,FALSE)),0,VLOOKUP($B47,'MRI Data'!$A:$P,AW$10+3,FALSE))</f>
        <v>14699.95</v>
      </c>
      <c r="AV47" s="901"/>
      <c r="AW47" s="901">
        <f>SUM(AU47:AV47)</f>
        <v>14699.95</v>
      </c>
      <c r="AX47" s="659">
        <v>14699.95</v>
      </c>
      <c r="AY47" s="712">
        <f t="shared" si="88"/>
        <v>0</v>
      </c>
      <c r="AZ47" s="659"/>
      <c r="BA47" s="712">
        <f t="shared" si="89"/>
        <v>73499.75</v>
      </c>
      <c r="BB47" s="712">
        <f t="shared" si="89"/>
        <v>73499.75</v>
      </c>
      <c r="BC47" s="712">
        <f t="shared" si="90"/>
        <v>0</v>
      </c>
      <c r="BD47" s="901">
        <f>IF(ISERROR(VLOOKUP($B47,'MRI Data'!$A:$P,BF$10+3,FALSE)),0,VLOOKUP($B47,'MRI Data'!$A:$P,BF$10+3,FALSE))</f>
        <v>14699.95</v>
      </c>
      <c r="BE47" s="901"/>
      <c r="BF47" s="901">
        <f>SUM(BD47:BE47)</f>
        <v>14699.95</v>
      </c>
      <c r="BG47" s="659">
        <v>14699.95</v>
      </c>
      <c r="BH47" s="712">
        <f t="shared" si="91"/>
        <v>0</v>
      </c>
      <c r="BI47" s="659"/>
      <c r="BJ47" s="712">
        <f t="shared" si="92"/>
        <v>88199.7</v>
      </c>
      <c r="BK47" s="712">
        <f t="shared" si="92"/>
        <v>88199.7</v>
      </c>
      <c r="BL47" s="712">
        <f t="shared" si="93"/>
        <v>0</v>
      </c>
      <c r="BM47" s="901">
        <f>IF(ISERROR(VLOOKUP($B47,'MRI Data'!$A:$P,BO$10+3,FALSE)),0,VLOOKUP($B47,'MRI Data'!$A:$P,BO$10+3,FALSE))</f>
        <v>14699.95</v>
      </c>
      <c r="BN47" s="901"/>
      <c r="BO47" s="901">
        <f>SUM(BM47:BN47)</f>
        <v>14699.95</v>
      </c>
      <c r="BP47" s="659">
        <v>21716</v>
      </c>
      <c r="BQ47" s="712">
        <f t="shared" si="94"/>
        <v>-7016.0499999999993</v>
      </c>
      <c r="BR47" s="659"/>
      <c r="BS47" s="712">
        <f t="shared" si="95"/>
        <v>102899.65</v>
      </c>
      <c r="BT47" s="712">
        <f t="shared" si="95"/>
        <v>109915.7</v>
      </c>
      <c r="BU47" s="712">
        <f t="shared" si="96"/>
        <v>-7016.0500000000029</v>
      </c>
      <c r="BV47" s="901">
        <f>IF(ISERROR(VLOOKUP($B47,'MRI Data'!$A:$P,BX$10+3,FALSE)),0,VLOOKUP($B47,'MRI Data'!$A:$P,BX$10+3,FALSE))</f>
        <v>14699.95</v>
      </c>
      <c r="BW47" s="901"/>
      <c r="BX47" s="901">
        <f>SUM(BV47:BW47)</f>
        <v>14699.95</v>
      </c>
      <c r="BY47" s="659">
        <v>21716</v>
      </c>
      <c r="BZ47" s="712">
        <f t="shared" si="97"/>
        <v>-7016.0499999999993</v>
      </c>
      <c r="CA47" s="659"/>
      <c r="CB47" s="712">
        <f t="shared" si="98"/>
        <v>117599.59999999999</v>
      </c>
      <c r="CC47" s="712">
        <f t="shared" si="98"/>
        <v>131631.70000000001</v>
      </c>
      <c r="CD47" s="712">
        <f t="shared" si="99"/>
        <v>-14032.10000000002</v>
      </c>
      <c r="CE47" s="901">
        <f>IF(ISERROR(VLOOKUP($B47,'MRI Data'!$A:$P,CG$10+3,FALSE)),0,VLOOKUP($B47,'MRI Data'!$A:$P,CG$10+3,FALSE))</f>
        <v>14699.95</v>
      </c>
      <c r="CF47" s="901"/>
      <c r="CG47" s="901">
        <f>SUM(CE47:CF47)</f>
        <v>14699.95</v>
      </c>
      <c r="CH47" s="659">
        <v>21716</v>
      </c>
      <c r="CI47" s="712">
        <f t="shared" si="100"/>
        <v>-7016.0499999999993</v>
      </c>
      <c r="CJ47" s="659"/>
      <c r="CK47" s="712">
        <f t="shared" si="101"/>
        <v>132299.54999999999</v>
      </c>
      <c r="CL47" s="712">
        <f t="shared" si="101"/>
        <v>153347.70000000001</v>
      </c>
      <c r="CM47" s="712">
        <f t="shared" si="102"/>
        <v>-21048.150000000023</v>
      </c>
      <c r="CN47" s="901">
        <f>IF(ISERROR(VLOOKUP($B47,'MRI Data'!$A:$P,CP$10+3,FALSE)),0,VLOOKUP($B47,'MRI Data'!$A:$P,CP$10+3,FALSE))</f>
        <v>14699.95</v>
      </c>
      <c r="CO47" s="901"/>
      <c r="CP47" s="901">
        <f>SUM(CN47:CO47)</f>
        <v>14699.95</v>
      </c>
      <c r="CQ47" s="659">
        <v>21716</v>
      </c>
      <c r="CR47" s="712">
        <f t="shared" si="103"/>
        <v>-7016.0499999999993</v>
      </c>
      <c r="CS47" s="659"/>
      <c r="CT47" s="712">
        <f t="shared" si="104"/>
        <v>146999.5</v>
      </c>
      <c r="CU47" s="712">
        <f t="shared" si="104"/>
        <v>175063.7</v>
      </c>
      <c r="CV47" s="712">
        <f t="shared" si="105"/>
        <v>-28064.200000000012</v>
      </c>
      <c r="CW47" s="901">
        <f>IF(ISERROR(VLOOKUP($B47,'MRI Data'!$A:$P,CY$10+3,FALSE)),0,VLOOKUP($B47,'MRI Data'!$A:$P,CY$10+3,FALSE))</f>
        <v>14699.95</v>
      </c>
      <c r="CX47" s="901"/>
      <c r="CY47" s="901">
        <f>SUM(CW47:CX47)</f>
        <v>14699.95</v>
      </c>
      <c r="CZ47" s="659">
        <v>21716</v>
      </c>
      <c r="DA47" s="712">
        <f t="shared" si="106"/>
        <v>-7016.0499999999993</v>
      </c>
      <c r="DB47" s="659"/>
      <c r="DC47" s="712">
        <f t="shared" si="107"/>
        <v>161699.45000000001</v>
      </c>
      <c r="DD47" s="712">
        <f t="shared" si="107"/>
        <v>196779.7</v>
      </c>
      <c r="DE47" s="712">
        <f t="shared" si="108"/>
        <v>-35080.25</v>
      </c>
      <c r="DF47" s="901">
        <f>IF(ISERROR(VLOOKUP($B47,'MRI Data'!$A:$P,DH$10+3,FALSE)),0,VLOOKUP($B47,'MRI Data'!$A:$P,DH$10+3,FALSE))</f>
        <v>56797.27</v>
      </c>
      <c r="DG47" s="901"/>
      <c r="DH47" s="901">
        <f>SUM(DF47:DG47)</f>
        <v>56797.27</v>
      </c>
      <c r="DI47" s="659">
        <v>21716</v>
      </c>
      <c r="DJ47" s="712">
        <f t="shared" si="109"/>
        <v>35081.269999999997</v>
      </c>
      <c r="DK47" s="659"/>
      <c r="DL47" s="712">
        <f t="shared" si="110"/>
        <v>218496.72</v>
      </c>
      <c r="DM47" s="712">
        <f t="shared" si="110"/>
        <v>218495.7</v>
      </c>
      <c r="DN47" s="712">
        <f t="shared" si="111"/>
        <v>1.0199999999895226</v>
      </c>
      <c r="DO47" s="737"/>
      <c r="DP47" s="712"/>
      <c r="DQ47" s="734">
        <f t="shared" si="112"/>
        <v>218495.7</v>
      </c>
      <c r="DR47" s="734">
        <v>0</v>
      </c>
      <c r="DS47" s="737"/>
    </row>
    <row r="48" spans="1:123" s="665" customFormat="1" ht="14.15" customHeight="1">
      <c r="B48" s="220" t="s">
        <v>115</v>
      </c>
      <c r="C48" s="728" t="s">
        <v>116</v>
      </c>
      <c r="D48" s="866">
        <v>33055</v>
      </c>
      <c r="E48" s="866">
        <v>42185</v>
      </c>
      <c r="F48" s="730" t="s">
        <v>71</v>
      </c>
      <c r="G48" s="729" t="s">
        <v>117</v>
      </c>
      <c r="H48" s="731">
        <v>5377</v>
      </c>
      <c r="I48" s="732">
        <f t="shared" si="75"/>
        <v>26208.39</v>
      </c>
      <c r="J48" s="656"/>
      <c r="K48" s="901">
        <f>IF(ISERROR(VLOOKUP($B48,'MRI Data'!$A:$P,M$10+3,FALSE)),0,VLOOKUP($B48,'MRI Data'!$A:$P,M$10+3,FALSE))</f>
        <v>26208.39</v>
      </c>
      <c r="L48" s="901"/>
      <c r="M48" s="901">
        <f>SUM(K48:L48)</f>
        <v>26208.39</v>
      </c>
      <c r="N48" s="659">
        <v>26208.39</v>
      </c>
      <c r="O48" s="712">
        <f t="shared" si="76"/>
        <v>0</v>
      </c>
      <c r="P48" s="656"/>
      <c r="Q48" s="659">
        <f t="shared" si="77"/>
        <v>26208.39</v>
      </c>
      <c r="R48" s="659">
        <f t="shared" si="77"/>
        <v>26208.39</v>
      </c>
      <c r="S48" s="712">
        <f t="shared" si="78"/>
        <v>0</v>
      </c>
      <c r="T48" s="901">
        <f>IF(ISERROR(VLOOKUP($B48,'MRI Data'!$A:$P,V$10+3,FALSE)),0,VLOOKUP($B48,'MRI Data'!$A:$P,V$10+3,FALSE))</f>
        <v>26208.39</v>
      </c>
      <c r="U48" s="901"/>
      <c r="V48" s="901">
        <f>SUM(T48:U48)</f>
        <v>26208.39</v>
      </c>
      <c r="W48" s="659">
        <v>26208.39</v>
      </c>
      <c r="X48" s="712">
        <f t="shared" si="79"/>
        <v>0</v>
      </c>
      <c r="Y48" s="659"/>
      <c r="Z48" s="712">
        <f t="shared" si="80"/>
        <v>52416.78</v>
      </c>
      <c r="AA48" s="712">
        <f t="shared" si="80"/>
        <v>52416.78</v>
      </c>
      <c r="AB48" s="712">
        <f t="shared" si="81"/>
        <v>0</v>
      </c>
      <c r="AC48" s="901">
        <f>IF(ISERROR(VLOOKUP($B48,'MRI Data'!$A:$P,AE$10+3,FALSE)),0,VLOOKUP($B48,'MRI Data'!$A:$P,AE$10+3,FALSE))</f>
        <v>26208.39</v>
      </c>
      <c r="AD48" s="901"/>
      <c r="AE48" s="901">
        <f>SUM(AC48:AD48)</f>
        <v>26208.39</v>
      </c>
      <c r="AF48" s="659">
        <v>26208.39</v>
      </c>
      <c r="AG48" s="712">
        <f t="shared" si="82"/>
        <v>0</v>
      </c>
      <c r="AH48" s="659"/>
      <c r="AI48" s="712">
        <f t="shared" si="83"/>
        <v>78625.17</v>
      </c>
      <c r="AJ48" s="712">
        <f t="shared" si="83"/>
        <v>78625.17</v>
      </c>
      <c r="AK48" s="712">
        <f t="shared" si="84"/>
        <v>0</v>
      </c>
      <c r="AL48" s="901">
        <f>IF(ISERROR(VLOOKUP($B48,'MRI Data'!$A:$P,AN$10+3,FALSE)),0,VLOOKUP($B48,'MRI Data'!$A:$P,AN$10+3,FALSE))</f>
        <v>26208.39</v>
      </c>
      <c r="AM48" s="901"/>
      <c r="AN48" s="901">
        <f>SUM(AL48:AM48)</f>
        <v>26208.39</v>
      </c>
      <c r="AO48" s="659">
        <v>26208.39</v>
      </c>
      <c r="AP48" s="712">
        <f t="shared" si="85"/>
        <v>0</v>
      </c>
      <c r="AQ48" s="659"/>
      <c r="AR48" s="712">
        <f t="shared" si="86"/>
        <v>104833.56</v>
      </c>
      <c r="AS48" s="712">
        <f t="shared" si="86"/>
        <v>104833.56</v>
      </c>
      <c r="AT48" s="712">
        <f t="shared" si="87"/>
        <v>0</v>
      </c>
      <c r="AU48" s="901">
        <f>IF(ISERROR(VLOOKUP($B48,'MRI Data'!$A:$P,AW$10+3,FALSE)),0,VLOOKUP($B48,'MRI Data'!$A:$P,AW$10+3,FALSE))</f>
        <v>26208.39</v>
      </c>
      <c r="AV48" s="901"/>
      <c r="AW48" s="901">
        <f>SUM(AU48:AV48)</f>
        <v>26208.39</v>
      </c>
      <c r="AX48" s="659">
        <v>26208.39</v>
      </c>
      <c r="AY48" s="712">
        <f t="shared" si="88"/>
        <v>0</v>
      </c>
      <c r="AZ48" s="659"/>
      <c r="BA48" s="712">
        <f t="shared" si="89"/>
        <v>131041.95</v>
      </c>
      <c r="BB48" s="712">
        <f t="shared" si="89"/>
        <v>131041.95</v>
      </c>
      <c r="BC48" s="712">
        <f t="shared" si="90"/>
        <v>0</v>
      </c>
      <c r="BD48" s="901">
        <f>IF(ISERROR(VLOOKUP($B48,'MRI Data'!$A:$P,BF$10+3,FALSE)),0,VLOOKUP($B48,'MRI Data'!$A:$P,BF$10+3,FALSE))</f>
        <v>26208.39</v>
      </c>
      <c r="BE48" s="901"/>
      <c r="BF48" s="901">
        <f>SUM(BD48:BE48)</f>
        <v>26208.39</v>
      </c>
      <c r="BG48" s="659">
        <v>26208.39</v>
      </c>
      <c r="BH48" s="712">
        <f t="shared" si="91"/>
        <v>0</v>
      </c>
      <c r="BI48" s="659"/>
      <c r="BJ48" s="712">
        <f t="shared" si="92"/>
        <v>157250.34</v>
      </c>
      <c r="BK48" s="712">
        <f t="shared" si="92"/>
        <v>157250.34</v>
      </c>
      <c r="BL48" s="712">
        <f t="shared" si="93"/>
        <v>0</v>
      </c>
      <c r="BM48" s="901">
        <f>IF(ISERROR(VLOOKUP($B48,'MRI Data'!$A:$P,BO$10+3,FALSE)),0,VLOOKUP($B48,'MRI Data'!$A:$P,BO$10+3,FALSE))</f>
        <v>26208.39</v>
      </c>
      <c r="BN48" s="901"/>
      <c r="BO48" s="901">
        <f>SUM(BM48:BN48)</f>
        <v>26208.39</v>
      </c>
      <c r="BP48" s="659">
        <v>26209</v>
      </c>
      <c r="BQ48" s="712">
        <f t="shared" si="94"/>
        <v>-0.61000000000058208</v>
      </c>
      <c r="BR48" s="659"/>
      <c r="BS48" s="712">
        <f t="shared" si="95"/>
        <v>183458.72999999998</v>
      </c>
      <c r="BT48" s="712">
        <f t="shared" si="95"/>
        <v>183459.34</v>
      </c>
      <c r="BU48" s="712">
        <f t="shared" si="96"/>
        <v>-0.61000000001513399</v>
      </c>
      <c r="BV48" s="901">
        <f>IF(ISERROR(VLOOKUP($B48,'MRI Data'!$A:$P,BX$10+3,FALSE)),0,VLOOKUP($B48,'MRI Data'!$A:$P,BX$10+3,FALSE))</f>
        <v>26208.39</v>
      </c>
      <c r="BW48" s="901"/>
      <c r="BX48" s="901">
        <f>SUM(BV48:BW48)</f>
        <v>26208.39</v>
      </c>
      <c r="BY48" s="659">
        <v>26209</v>
      </c>
      <c r="BZ48" s="712">
        <f t="shared" si="97"/>
        <v>-0.61000000000058208</v>
      </c>
      <c r="CA48" s="659"/>
      <c r="CB48" s="712">
        <f t="shared" si="98"/>
        <v>209667.12</v>
      </c>
      <c r="CC48" s="712">
        <f t="shared" si="98"/>
        <v>209668.34</v>
      </c>
      <c r="CD48" s="712">
        <f t="shared" si="99"/>
        <v>-1.2200000000011642</v>
      </c>
      <c r="CE48" s="901">
        <f>IF(ISERROR(VLOOKUP($B48,'MRI Data'!$A:$P,CG$10+3,FALSE)),0,VLOOKUP($B48,'MRI Data'!$A:$P,CG$10+3,FALSE))</f>
        <v>26208.39</v>
      </c>
      <c r="CF48" s="901"/>
      <c r="CG48" s="901">
        <f>SUM(CE48:CF48)</f>
        <v>26208.39</v>
      </c>
      <c r="CH48" s="659">
        <v>26209</v>
      </c>
      <c r="CI48" s="712">
        <f t="shared" si="100"/>
        <v>-0.61000000000058208</v>
      </c>
      <c r="CJ48" s="659"/>
      <c r="CK48" s="712">
        <f t="shared" si="101"/>
        <v>235875.51</v>
      </c>
      <c r="CL48" s="712">
        <f t="shared" si="101"/>
        <v>235877.34</v>
      </c>
      <c r="CM48" s="712">
        <f t="shared" si="102"/>
        <v>-1.8299999999871943</v>
      </c>
      <c r="CN48" s="901">
        <f>IF(ISERROR(VLOOKUP($B48,'MRI Data'!$A:$P,CP$10+3,FALSE)),0,VLOOKUP($B48,'MRI Data'!$A:$P,CP$10+3,FALSE))</f>
        <v>26208.39</v>
      </c>
      <c r="CO48" s="901"/>
      <c r="CP48" s="901">
        <f>SUM(CN48:CO48)</f>
        <v>26208.39</v>
      </c>
      <c r="CQ48" s="659">
        <v>26209</v>
      </c>
      <c r="CR48" s="712">
        <f t="shared" si="103"/>
        <v>-0.61000000000058208</v>
      </c>
      <c r="CS48" s="659"/>
      <c r="CT48" s="712">
        <f t="shared" si="104"/>
        <v>262083.90000000002</v>
      </c>
      <c r="CU48" s="712">
        <f t="shared" si="104"/>
        <v>262086.34</v>
      </c>
      <c r="CV48" s="712">
        <f t="shared" si="105"/>
        <v>-2.4399999999732245</v>
      </c>
      <c r="CW48" s="901">
        <f>IF(ISERROR(VLOOKUP($B48,'MRI Data'!$A:$P,CY$10+3,FALSE)),0,VLOOKUP($B48,'MRI Data'!$A:$P,CY$10+3,FALSE))</f>
        <v>26208.39</v>
      </c>
      <c r="CX48" s="901"/>
      <c r="CY48" s="901">
        <f>SUM(CW48:CX48)</f>
        <v>26208.39</v>
      </c>
      <c r="CZ48" s="659">
        <v>26209</v>
      </c>
      <c r="DA48" s="712">
        <f t="shared" si="106"/>
        <v>-0.61000000000058208</v>
      </c>
      <c r="DB48" s="659"/>
      <c r="DC48" s="712">
        <f t="shared" si="107"/>
        <v>288292.29000000004</v>
      </c>
      <c r="DD48" s="712">
        <f t="shared" si="107"/>
        <v>288295.33999999997</v>
      </c>
      <c r="DE48" s="712">
        <f t="shared" si="108"/>
        <v>-3.0499999999301508</v>
      </c>
      <c r="DF48" s="901">
        <f>IF(ISERROR(VLOOKUP($B48,'MRI Data'!$A:$P,DH$10+3,FALSE)),0,VLOOKUP($B48,'MRI Data'!$A:$P,DH$10+3,FALSE))</f>
        <v>26208.39</v>
      </c>
      <c r="DG48" s="901"/>
      <c r="DH48" s="901">
        <f>SUM(DF48:DG48)</f>
        <v>26208.39</v>
      </c>
      <c r="DI48" s="659">
        <v>26209</v>
      </c>
      <c r="DJ48" s="712">
        <f t="shared" si="109"/>
        <v>-0.61000000000058208</v>
      </c>
      <c r="DK48" s="659"/>
      <c r="DL48" s="712">
        <f t="shared" si="110"/>
        <v>314500.68000000005</v>
      </c>
      <c r="DM48" s="712">
        <f t="shared" si="110"/>
        <v>314504.33999999997</v>
      </c>
      <c r="DN48" s="712">
        <f t="shared" si="111"/>
        <v>-3.659999999916181</v>
      </c>
      <c r="DO48" s="736"/>
      <c r="DP48" s="712"/>
      <c r="DQ48" s="734">
        <f t="shared" si="112"/>
        <v>314504.33999999997</v>
      </c>
      <c r="DR48" s="734">
        <v>0</v>
      </c>
      <c r="DS48" s="735"/>
    </row>
    <row r="49" spans="3:123" s="665" customFormat="1" ht="14.15" hidden="1" customHeight="1">
      <c r="C49" s="728"/>
      <c r="D49" s="729"/>
      <c r="E49" s="729"/>
      <c r="F49" s="730"/>
      <c r="G49" s="729"/>
      <c r="H49" s="731"/>
      <c r="I49" s="732">
        <f t="shared" si="75"/>
        <v>0</v>
      </c>
      <c r="J49" s="656"/>
      <c r="K49" s="901"/>
      <c r="L49" s="901"/>
      <c r="M49" s="901"/>
      <c r="N49" s="659"/>
      <c r="O49" s="712">
        <f t="shared" si="76"/>
        <v>0</v>
      </c>
      <c r="P49" s="656"/>
      <c r="Q49" s="659">
        <f t="shared" si="77"/>
        <v>0</v>
      </c>
      <c r="R49" s="659">
        <f t="shared" si="77"/>
        <v>0</v>
      </c>
      <c r="S49" s="712">
        <f t="shared" si="78"/>
        <v>0</v>
      </c>
      <c r="T49" s="901"/>
      <c r="U49" s="901"/>
      <c r="V49" s="901"/>
      <c r="W49" s="659"/>
      <c r="X49" s="712">
        <f t="shared" si="79"/>
        <v>0</v>
      </c>
      <c r="Y49" s="659"/>
      <c r="Z49" s="712">
        <f t="shared" si="80"/>
        <v>0</v>
      </c>
      <c r="AA49" s="712">
        <f t="shared" si="80"/>
        <v>0</v>
      </c>
      <c r="AB49" s="712">
        <f t="shared" si="81"/>
        <v>0</v>
      </c>
      <c r="AC49" s="901"/>
      <c r="AD49" s="901"/>
      <c r="AE49" s="901"/>
      <c r="AF49" s="659"/>
      <c r="AG49" s="712">
        <f t="shared" si="82"/>
        <v>0</v>
      </c>
      <c r="AH49" s="659"/>
      <c r="AI49" s="712">
        <f t="shared" si="83"/>
        <v>0</v>
      </c>
      <c r="AJ49" s="712">
        <f t="shared" si="83"/>
        <v>0</v>
      </c>
      <c r="AK49" s="712">
        <f t="shared" si="84"/>
        <v>0</v>
      </c>
      <c r="AL49" s="901"/>
      <c r="AM49" s="901"/>
      <c r="AN49" s="901"/>
      <c r="AO49" s="659"/>
      <c r="AP49" s="712">
        <f t="shared" si="85"/>
        <v>0</v>
      </c>
      <c r="AQ49" s="659"/>
      <c r="AR49" s="712">
        <f t="shared" si="86"/>
        <v>0</v>
      </c>
      <c r="AS49" s="712">
        <f t="shared" si="86"/>
        <v>0</v>
      </c>
      <c r="AT49" s="712">
        <f t="shared" si="87"/>
        <v>0</v>
      </c>
      <c r="AU49" s="901"/>
      <c r="AV49" s="901"/>
      <c r="AW49" s="901"/>
      <c r="AX49" s="659"/>
      <c r="AY49" s="712">
        <f t="shared" si="88"/>
        <v>0</v>
      </c>
      <c r="AZ49" s="659"/>
      <c r="BA49" s="712">
        <f t="shared" si="89"/>
        <v>0</v>
      </c>
      <c r="BB49" s="712">
        <f t="shared" si="89"/>
        <v>0</v>
      </c>
      <c r="BC49" s="712">
        <f t="shared" si="90"/>
        <v>0</v>
      </c>
      <c r="BD49" s="901"/>
      <c r="BE49" s="901"/>
      <c r="BF49" s="901"/>
      <c r="BG49" s="659"/>
      <c r="BH49" s="712">
        <f t="shared" si="91"/>
        <v>0</v>
      </c>
      <c r="BI49" s="659"/>
      <c r="BJ49" s="712">
        <f t="shared" si="92"/>
        <v>0</v>
      </c>
      <c r="BK49" s="712">
        <f t="shared" si="92"/>
        <v>0</v>
      </c>
      <c r="BL49" s="712">
        <f t="shared" si="93"/>
        <v>0</v>
      </c>
      <c r="BM49" s="901"/>
      <c r="BN49" s="901"/>
      <c r="BO49" s="901"/>
      <c r="BP49" s="659"/>
      <c r="BQ49" s="712">
        <f t="shared" si="94"/>
        <v>0</v>
      </c>
      <c r="BR49" s="659"/>
      <c r="BS49" s="712">
        <f t="shared" si="95"/>
        <v>0</v>
      </c>
      <c r="BT49" s="712">
        <f t="shared" si="95"/>
        <v>0</v>
      </c>
      <c r="BU49" s="712">
        <f t="shared" si="96"/>
        <v>0</v>
      </c>
      <c r="BV49" s="901"/>
      <c r="BW49" s="901"/>
      <c r="BX49" s="901"/>
      <c r="BY49" s="659"/>
      <c r="BZ49" s="712">
        <f t="shared" si="97"/>
        <v>0</v>
      </c>
      <c r="CA49" s="659"/>
      <c r="CB49" s="712">
        <f t="shared" si="98"/>
        <v>0</v>
      </c>
      <c r="CC49" s="712">
        <f t="shared" si="98"/>
        <v>0</v>
      </c>
      <c r="CD49" s="712">
        <f t="shared" si="99"/>
        <v>0</v>
      </c>
      <c r="CE49" s="901"/>
      <c r="CF49" s="901"/>
      <c r="CG49" s="901"/>
      <c r="CH49" s="659"/>
      <c r="CI49" s="712">
        <f t="shared" si="100"/>
        <v>0</v>
      </c>
      <c r="CJ49" s="659"/>
      <c r="CK49" s="712">
        <f t="shared" si="101"/>
        <v>0</v>
      </c>
      <c r="CL49" s="712">
        <f t="shared" si="101"/>
        <v>0</v>
      </c>
      <c r="CM49" s="712">
        <f t="shared" si="102"/>
        <v>0</v>
      </c>
      <c r="CN49" s="901"/>
      <c r="CO49" s="901"/>
      <c r="CP49" s="901"/>
      <c r="CQ49" s="659"/>
      <c r="CR49" s="712">
        <f t="shared" si="103"/>
        <v>0</v>
      </c>
      <c r="CS49" s="659"/>
      <c r="CT49" s="712">
        <f t="shared" si="104"/>
        <v>0</v>
      </c>
      <c r="CU49" s="712">
        <f t="shared" si="104"/>
        <v>0</v>
      </c>
      <c r="CV49" s="712">
        <f t="shared" si="105"/>
        <v>0</v>
      </c>
      <c r="CW49" s="901"/>
      <c r="CX49" s="901"/>
      <c r="CY49" s="901"/>
      <c r="CZ49" s="659"/>
      <c r="DA49" s="712">
        <f t="shared" si="106"/>
        <v>0</v>
      </c>
      <c r="DB49" s="659"/>
      <c r="DC49" s="712">
        <f t="shared" si="107"/>
        <v>0</v>
      </c>
      <c r="DD49" s="712">
        <f t="shared" si="107"/>
        <v>0</v>
      </c>
      <c r="DE49" s="712">
        <f t="shared" si="108"/>
        <v>0</v>
      </c>
      <c r="DF49" s="901"/>
      <c r="DG49" s="901"/>
      <c r="DH49" s="901"/>
      <c r="DI49" s="659"/>
      <c r="DJ49" s="712">
        <f t="shared" si="109"/>
        <v>0</v>
      </c>
      <c r="DK49" s="659"/>
      <c r="DL49" s="712">
        <f t="shared" si="110"/>
        <v>0</v>
      </c>
      <c r="DM49" s="712">
        <f t="shared" si="110"/>
        <v>0</v>
      </c>
      <c r="DN49" s="712">
        <f t="shared" si="111"/>
        <v>0</v>
      </c>
      <c r="DO49" s="733"/>
      <c r="DP49" s="712"/>
      <c r="DQ49" s="734">
        <f t="shared" si="112"/>
        <v>0</v>
      </c>
      <c r="DR49" s="734">
        <v>0</v>
      </c>
      <c r="DS49" s="735"/>
    </row>
    <row r="50" spans="3:123" s="665" customFormat="1" ht="14.15" hidden="1" customHeight="1">
      <c r="C50" s="728"/>
      <c r="D50" s="729"/>
      <c r="E50" s="729"/>
      <c r="F50" s="730"/>
      <c r="G50" s="729"/>
      <c r="H50" s="731"/>
      <c r="I50" s="732">
        <f t="shared" si="75"/>
        <v>0</v>
      </c>
      <c r="J50" s="656"/>
      <c r="K50" s="901"/>
      <c r="L50" s="901"/>
      <c r="M50" s="901"/>
      <c r="N50" s="659"/>
      <c r="O50" s="712">
        <f t="shared" si="76"/>
        <v>0</v>
      </c>
      <c r="P50" s="656"/>
      <c r="Q50" s="659">
        <f t="shared" si="77"/>
        <v>0</v>
      </c>
      <c r="R50" s="659">
        <f t="shared" si="77"/>
        <v>0</v>
      </c>
      <c r="S50" s="712">
        <f t="shared" si="78"/>
        <v>0</v>
      </c>
      <c r="T50" s="901"/>
      <c r="U50" s="901"/>
      <c r="V50" s="901"/>
      <c r="W50" s="659"/>
      <c r="X50" s="712">
        <f t="shared" si="79"/>
        <v>0</v>
      </c>
      <c r="Y50" s="659"/>
      <c r="Z50" s="712">
        <f t="shared" si="80"/>
        <v>0</v>
      </c>
      <c r="AA50" s="712">
        <f t="shared" si="80"/>
        <v>0</v>
      </c>
      <c r="AB50" s="712">
        <f t="shared" si="81"/>
        <v>0</v>
      </c>
      <c r="AC50" s="901"/>
      <c r="AD50" s="901"/>
      <c r="AE50" s="901"/>
      <c r="AF50" s="659"/>
      <c r="AG50" s="712">
        <f t="shared" si="82"/>
        <v>0</v>
      </c>
      <c r="AH50" s="659"/>
      <c r="AI50" s="712">
        <f t="shared" si="83"/>
        <v>0</v>
      </c>
      <c r="AJ50" s="712">
        <f t="shared" si="83"/>
        <v>0</v>
      </c>
      <c r="AK50" s="712">
        <f t="shared" si="84"/>
        <v>0</v>
      </c>
      <c r="AL50" s="901"/>
      <c r="AM50" s="901"/>
      <c r="AN50" s="901"/>
      <c r="AO50" s="659"/>
      <c r="AP50" s="712">
        <f t="shared" si="85"/>
        <v>0</v>
      </c>
      <c r="AQ50" s="659"/>
      <c r="AR50" s="712">
        <f t="shared" si="86"/>
        <v>0</v>
      </c>
      <c r="AS50" s="712">
        <f t="shared" si="86"/>
        <v>0</v>
      </c>
      <c r="AT50" s="712">
        <f t="shared" si="87"/>
        <v>0</v>
      </c>
      <c r="AU50" s="901"/>
      <c r="AV50" s="901"/>
      <c r="AW50" s="901"/>
      <c r="AX50" s="659"/>
      <c r="AY50" s="712">
        <f t="shared" si="88"/>
        <v>0</v>
      </c>
      <c r="AZ50" s="659"/>
      <c r="BA50" s="712">
        <f t="shared" si="89"/>
        <v>0</v>
      </c>
      <c r="BB50" s="712">
        <f t="shared" si="89"/>
        <v>0</v>
      </c>
      <c r="BC50" s="712">
        <f t="shared" si="90"/>
        <v>0</v>
      </c>
      <c r="BD50" s="901"/>
      <c r="BE50" s="901"/>
      <c r="BF50" s="901"/>
      <c r="BG50" s="659"/>
      <c r="BH50" s="712">
        <f t="shared" si="91"/>
        <v>0</v>
      </c>
      <c r="BI50" s="659"/>
      <c r="BJ50" s="712">
        <f t="shared" si="92"/>
        <v>0</v>
      </c>
      <c r="BK50" s="712">
        <f t="shared" si="92"/>
        <v>0</v>
      </c>
      <c r="BL50" s="712">
        <f t="shared" si="93"/>
        <v>0</v>
      </c>
      <c r="BM50" s="901"/>
      <c r="BN50" s="901"/>
      <c r="BO50" s="901"/>
      <c r="BP50" s="659"/>
      <c r="BQ50" s="712">
        <f t="shared" si="94"/>
        <v>0</v>
      </c>
      <c r="BR50" s="659"/>
      <c r="BS50" s="712">
        <f t="shared" si="95"/>
        <v>0</v>
      </c>
      <c r="BT50" s="712">
        <f t="shared" si="95"/>
        <v>0</v>
      </c>
      <c r="BU50" s="712">
        <f t="shared" si="96"/>
        <v>0</v>
      </c>
      <c r="BV50" s="901"/>
      <c r="BW50" s="901"/>
      <c r="BX50" s="901"/>
      <c r="BY50" s="659"/>
      <c r="BZ50" s="712">
        <f t="shared" si="97"/>
        <v>0</v>
      </c>
      <c r="CA50" s="659"/>
      <c r="CB50" s="712">
        <f t="shared" si="98"/>
        <v>0</v>
      </c>
      <c r="CC50" s="712">
        <f t="shared" si="98"/>
        <v>0</v>
      </c>
      <c r="CD50" s="712">
        <f t="shared" si="99"/>
        <v>0</v>
      </c>
      <c r="CE50" s="901"/>
      <c r="CF50" s="901"/>
      <c r="CG50" s="901"/>
      <c r="CH50" s="659"/>
      <c r="CI50" s="712">
        <f t="shared" si="100"/>
        <v>0</v>
      </c>
      <c r="CJ50" s="659"/>
      <c r="CK50" s="712">
        <f t="shared" si="101"/>
        <v>0</v>
      </c>
      <c r="CL50" s="712">
        <f t="shared" si="101"/>
        <v>0</v>
      </c>
      <c r="CM50" s="712">
        <f t="shared" si="102"/>
        <v>0</v>
      </c>
      <c r="CN50" s="901"/>
      <c r="CO50" s="901"/>
      <c r="CP50" s="901"/>
      <c r="CQ50" s="659"/>
      <c r="CR50" s="712">
        <f t="shared" si="103"/>
        <v>0</v>
      </c>
      <c r="CS50" s="659"/>
      <c r="CT50" s="712">
        <f t="shared" si="104"/>
        <v>0</v>
      </c>
      <c r="CU50" s="712">
        <f t="shared" si="104"/>
        <v>0</v>
      </c>
      <c r="CV50" s="712">
        <f t="shared" si="105"/>
        <v>0</v>
      </c>
      <c r="CW50" s="901"/>
      <c r="CX50" s="901"/>
      <c r="CY50" s="901"/>
      <c r="CZ50" s="659"/>
      <c r="DA50" s="712">
        <f t="shared" si="106"/>
        <v>0</v>
      </c>
      <c r="DB50" s="659"/>
      <c r="DC50" s="712">
        <f t="shared" si="107"/>
        <v>0</v>
      </c>
      <c r="DD50" s="712">
        <f t="shared" si="107"/>
        <v>0</v>
      </c>
      <c r="DE50" s="712">
        <f t="shared" si="108"/>
        <v>0</v>
      </c>
      <c r="DF50" s="901"/>
      <c r="DG50" s="901"/>
      <c r="DH50" s="901"/>
      <c r="DI50" s="659"/>
      <c r="DJ50" s="712">
        <f t="shared" si="109"/>
        <v>0</v>
      </c>
      <c r="DK50" s="659"/>
      <c r="DL50" s="712">
        <f t="shared" si="110"/>
        <v>0</v>
      </c>
      <c r="DM50" s="712">
        <f t="shared" si="110"/>
        <v>0</v>
      </c>
      <c r="DN50" s="712">
        <f t="shared" si="111"/>
        <v>0</v>
      </c>
      <c r="DO50" s="737"/>
      <c r="DP50" s="712"/>
      <c r="DQ50" s="734">
        <f t="shared" si="112"/>
        <v>0</v>
      </c>
      <c r="DR50" s="734">
        <v>0</v>
      </c>
      <c r="DS50" s="735"/>
    </row>
    <row r="51" spans="3:123" s="665" customFormat="1" ht="14.15" hidden="1" customHeight="1">
      <c r="C51" s="728"/>
      <c r="D51" s="729"/>
      <c r="E51" s="729"/>
      <c r="F51" s="730"/>
      <c r="G51" s="729"/>
      <c r="H51" s="731"/>
      <c r="I51" s="732">
        <f t="shared" si="75"/>
        <v>0</v>
      </c>
      <c r="J51" s="656"/>
      <c r="K51" s="901"/>
      <c r="L51" s="901"/>
      <c r="M51" s="901"/>
      <c r="N51" s="659"/>
      <c r="O51" s="712">
        <f t="shared" si="76"/>
        <v>0</v>
      </c>
      <c r="P51" s="656"/>
      <c r="Q51" s="659">
        <f t="shared" si="77"/>
        <v>0</v>
      </c>
      <c r="R51" s="659">
        <f t="shared" si="77"/>
        <v>0</v>
      </c>
      <c r="S51" s="712">
        <f t="shared" si="78"/>
        <v>0</v>
      </c>
      <c r="T51" s="901"/>
      <c r="U51" s="901"/>
      <c r="V51" s="901"/>
      <c r="W51" s="659"/>
      <c r="X51" s="712">
        <f t="shared" si="79"/>
        <v>0</v>
      </c>
      <c r="Y51" s="659"/>
      <c r="Z51" s="712">
        <f t="shared" si="80"/>
        <v>0</v>
      </c>
      <c r="AA51" s="712">
        <f t="shared" si="80"/>
        <v>0</v>
      </c>
      <c r="AB51" s="712">
        <f t="shared" si="81"/>
        <v>0</v>
      </c>
      <c r="AC51" s="901"/>
      <c r="AD51" s="901"/>
      <c r="AE51" s="901"/>
      <c r="AF51" s="659"/>
      <c r="AG51" s="712">
        <f t="shared" si="82"/>
        <v>0</v>
      </c>
      <c r="AH51" s="659"/>
      <c r="AI51" s="712">
        <f t="shared" si="83"/>
        <v>0</v>
      </c>
      <c r="AJ51" s="712">
        <f t="shared" si="83"/>
        <v>0</v>
      </c>
      <c r="AK51" s="712">
        <f t="shared" si="84"/>
        <v>0</v>
      </c>
      <c r="AL51" s="901"/>
      <c r="AM51" s="901"/>
      <c r="AN51" s="901"/>
      <c r="AO51" s="659"/>
      <c r="AP51" s="712">
        <f t="shared" si="85"/>
        <v>0</v>
      </c>
      <c r="AQ51" s="659"/>
      <c r="AR51" s="712">
        <f t="shared" si="86"/>
        <v>0</v>
      </c>
      <c r="AS51" s="712">
        <f t="shared" si="86"/>
        <v>0</v>
      </c>
      <c r="AT51" s="712">
        <f t="shared" si="87"/>
        <v>0</v>
      </c>
      <c r="AU51" s="901"/>
      <c r="AV51" s="901"/>
      <c r="AW51" s="901"/>
      <c r="AX51" s="659"/>
      <c r="AY51" s="712">
        <f t="shared" si="88"/>
        <v>0</v>
      </c>
      <c r="AZ51" s="659"/>
      <c r="BA51" s="712">
        <f t="shared" si="89"/>
        <v>0</v>
      </c>
      <c r="BB51" s="712">
        <f t="shared" si="89"/>
        <v>0</v>
      </c>
      <c r="BC51" s="712">
        <f t="shared" si="90"/>
        <v>0</v>
      </c>
      <c r="BD51" s="901"/>
      <c r="BE51" s="901"/>
      <c r="BF51" s="901"/>
      <c r="BG51" s="659"/>
      <c r="BH51" s="712">
        <f t="shared" si="91"/>
        <v>0</v>
      </c>
      <c r="BI51" s="659"/>
      <c r="BJ51" s="712">
        <f t="shared" si="92"/>
        <v>0</v>
      </c>
      <c r="BK51" s="712">
        <f t="shared" si="92"/>
        <v>0</v>
      </c>
      <c r="BL51" s="712">
        <f t="shared" si="93"/>
        <v>0</v>
      </c>
      <c r="BM51" s="901"/>
      <c r="BN51" s="901"/>
      <c r="BO51" s="901"/>
      <c r="BP51" s="659"/>
      <c r="BQ51" s="712">
        <f t="shared" si="94"/>
        <v>0</v>
      </c>
      <c r="BR51" s="659"/>
      <c r="BS51" s="712">
        <f t="shared" si="95"/>
        <v>0</v>
      </c>
      <c r="BT51" s="712">
        <f t="shared" si="95"/>
        <v>0</v>
      </c>
      <c r="BU51" s="712">
        <f t="shared" si="96"/>
        <v>0</v>
      </c>
      <c r="BV51" s="901"/>
      <c r="BW51" s="901"/>
      <c r="BX51" s="901"/>
      <c r="BY51" s="659"/>
      <c r="BZ51" s="712">
        <f t="shared" si="97"/>
        <v>0</v>
      </c>
      <c r="CA51" s="659"/>
      <c r="CB51" s="712">
        <f t="shared" si="98"/>
        <v>0</v>
      </c>
      <c r="CC51" s="712">
        <f t="shared" si="98"/>
        <v>0</v>
      </c>
      <c r="CD51" s="712">
        <f t="shared" si="99"/>
        <v>0</v>
      </c>
      <c r="CE51" s="901"/>
      <c r="CF51" s="901"/>
      <c r="CG51" s="901"/>
      <c r="CH51" s="659"/>
      <c r="CI51" s="712">
        <f t="shared" si="100"/>
        <v>0</v>
      </c>
      <c r="CJ51" s="659"/>
      <c r="CK51" s="712">
        <f t="shared" si="101"/>
        <v>0</v>
      </c>
      <c r="CL51" s="712">
        <f t="shared" si="101"/>
        <v>0</v>
      </c>
      <c r="CM51" s="712">
        <f t="shared" si="102"/>
        <v>0</v>
      </c>
      <c r="CN51" s="901"/>
      <c r="CO51" s="901"/>
      <c r="CP51" s="901"/>
      <c r="CQ51" s="659"/>
      <c r="CR51" s="712">
        <f t="shared" si="103"/>
        <v>0</v>
      </c>
      <c r="CS51" s="659"/>
      <c r="CT51" s="712">
        <f t="shared" si="104"/>
        <v>0</v>
      </c>
      <c r="CU51" s="712">
        <f t="shared" si="104"/>
        <v>0</v>
      </c>
      <c r="CV51" s="712">
        <f t="shared" si="105"/>
        <v>0</v>
      </c>
      <c r="CW51" s="901"/>
      <c r="CX51" s="901"/>
      <c r="CY51" s="901"/>
      <c r="CZ51" s="659"/>
      <c r="DA51" s="712">
        <f t="shared" si="106"/>
        <v>0</v>
      </c>
      <c r="DB51" s="659"/>
      <c r="DC51" s="712">
        <f t="shared" si="107"/>
        <v>0</v>
      </c>
      <c r="DD51" s="712">
        <f t="shared" si="107"/>
        <v>0</v>
      </c>
      <c r="DE51" s="712">
        <f t="shared" si="108"/>
        <v>0</v>
      </c>
      <c r="DF51" s="901"/>
      <c r="DG51" s="901"/>
      <c r="DH51" s="901"/>
      <c r="DI51" s="659"/>
      <c r="DJ51" s="712">
        <f t="shared" si="109"/>
        <v>0</v>
      </c>
      <c r="DK51" s="659"/>
      <c r="DL51" s="712">
        <f t="shared" si="110"/>
        <v>0</v>
      </c>
      <c r="DM51" s="712">
        <f t="shared" si="110"/>
        <v>0</v>
      </c>
      <c r="DN51" s="712">
        <f t="shared" si="111"/>
        <v>0</v>
      </c>
      <c r="DO51" s="712"/>
      <c r="DP51" s="712"/>
      <c r="DQ51" s="734">
        <f t="shared" si="112"/>
        <v>0</v>
      </c>
      <c r="DR51" s="734">
        <v>0</v>
      </c>
      <c r="DS51" s="735"/>
    </row>
    <row r="52" spans="3:123" ht="14.15" customHeight="1">
      <c r="C52" s="656" t="s">
        <v>118</v>
      </c>
      <c r="F52" s="758"/>
      <c r="G52" s="758"/>
      <c r="H52" s="759"/>
      <c r="I52" s="759"/>
      <c r="M52" s="901"/>
      <c r="N52" s="733"/>
      <c r="O52" s="753">
        <f>N52-M52</f>
        <v>0</v>
      </c>
      <c r="Q52" s="733"/>
      <c r="R52" s="753"/>
      <c r="S52" s="753">
        <f t="shared" si="78"/>
        <v>0</v>
      </c>
      <c r="T52" s="901"/>
      <c r="U52" s="901"/>
      <c r="V52" s="901"/>
      <c r="W52" s="733"/>
      <c r="X52" s="753">
        <f>W52-V52</f>
        <v>0</v>
      </c>
      <c r="Y52" s="733"/>
      <c r="Z52" s="753"/>
      <c r="AA52" s="753"/>
      <c r="AB52" s="712">
        <f t="shared" si="81"/>
        <v>0</v>
      </c>
      <c r="AC52" s="901"/>
      <c r="AD52" s="901"/>
      <c r="AE52" s="901"/>
      <c r="AF52" s="733"/>
      <c r="AG52" s="753">
        <f>AF52-AE52</f>
        <v>0</v>
      </c>
      <c r="AH52" s="733"/>
      <c r="AI52" s="712">
        <f t="shared" si="83"/>
        <v>0</v>
      </c>
      <c r="AJ52" s="712">
        <f t="shared" si="83"/>
        <v>0</v>
      </c>
      <c r="AK52" s="712">
        <f t="shared" si="84"/>
        <v>0</v>
      </c>
      <c r="AL52" s="901"/>
      <c r="AM52" s="901"/>
      <c r="AN52" s="901"/>
      <c r="AO52" s="733"/>
      <c r="AP52" s="712">
        <f t="shared" si="85"/>
        <v>0</v>
      </c>
      <c r="AQ52" s="733"/>
      <c r="AR52" s="712">
        <f t="shared" si="86"/>
        <v>0</v>
      </c>
      <c r="AS52" s="712">
        <f t="shared" si="86"/>
        <v>0</v>
      </c>
      <c r="AT52" s="712">
        <f t="shared" si="87"/>
        <v>0</v>
      </c>
      <c r="AU52" s="901"/>
      <c r="AV52" s="901"/>
      <c r="AW52" s="901"/>
      <c r="AX52" s="733"/>
      <c r="AY52" s="712">
        <f t="shared" si="88"/>
        <v>0</v>
      </c>
      <c r="AZ52" s="733"/>
      <c r="BA52" s="712">
        <f t="shared" si="89"/>
        <v>0</v>
      </c>
      <c r="BB52" s="712">
        <f t="shared" si="89"/>
        <v>0</v>
      </c>
      <c r="BC52" s="712">
        <f t="shared" si="90"/>
        <v>0</v>
      </c>
      <c r="BD52" s="901"/>
      <c r="BE52" s="901"/>
      <c r="BF52" s="901"/>
      <c r="BG52" s="733"/>
      <c r="BH52" s="712">
        <f t="shared" si="91"/>
        <v>0</v>
      </c>
      <c r="BI52" s="733"/>
      <c r="BJ52" s="712">
        <f t="shared" si="92"/>
        <v>0</v>
      </c>
      <c r="BK52" s="712">
        <f t="shared" si="92"/>
        <v>0</v>
      </c>
      <c r="BL52" s="712">
        <f t="shared" si="93"/>
        <v>0</v>
      </c>
      <c r="BM52" s="901"/>
      <c r="BN52" s="901"/>
      <c r="BO52" s="901"/>
      <c r="BP52" s="733"/>
      <c r="BQ52" s="712">
        <f t="shared" si="94"/>
        <v>0</v>
      </c>
      <c r="BR52" s="733"/>
      <c r="BS52" s="712">
        <f t="shared" si="95"/>
        <v>0</v>
      </c>
      <c r="BT52" s="712">
        <f t="shared" si="95"/>
        <v>0</v>
      </c>
      <c r="BU52" s="712">
        <f t="shared" si="96"/>
        <v>0</v>
      </c>
      <c r="BV52" s="901"/>
      <c r="BW52" s="901"/>
      <c r="BX52" s="901"/>
      <c r="BY52" s="733"/>
      <c r="BZ52" s="712">
        <f t="shared" si="97"/>
        <v>0</v>
      </c>
      <c r="CA52" s="733"/>
      <c r="CB52" s="712">
        <f t="shared" si="98"/>
        <v>0</v>
      </c>
      <c r="CC52" s="712">
        <f t="shared" si="98"/>
        <v>0</v>
      </c>
      <c r="CD52" s="712">
        <f t="shared" si="99"/>
        <v>0</v>
      </c>
      <c r="CE52" s="901"/>
      <c r="CF52" s="901"/>
      <c r="CG52" s="901"/>
      <c r="CH52" s="733"/>
      <c r="CI52" s="712">
        <f t="shared" si="100"/>
        <v>0</v>
      </c>
      <c r="CJ52" s="733"/>
      <c r="CK52" s="712">
        <f t="shared" si="101"/>
        <v>0</v>
      </c>
      <c r="CL52" s="712">
        <f t="shared" si="101"/>
        <v>0</v>
      </c>
      <c r="CM52" s="712">
        <f t="shared" si="102"/>
        <v>0</v>
      </c>
      <c r="CN52" s="901"/>
      <c r="CO52" s="901"/>
      <c r="CP52" s="901"/>
      <c r="CQ52" s="733"/>
      <c r="CR52" s="712">
        <f t="shared" si="103"/>
        <v>0</v>
      </c>
      <c r="CS52" s="733"/>
      <c r="CT52" s="712">
        <f t="shared" si="104"/>
        <v>0</v>
      </c>
      <c r="CU52" s="712">
        <f t="shared" si="104"/>
        <v>0</v>
      </c>
      <c r="CV52" s="712">
        <f t="shared" si="105"/>
        <v>0</v>
      </c>
      <c r="CW52" s="901"/>
      <c r="CX52" s="901"/>
      <c r="CY52" s="901"/>
      <c r="CZ52" s="733"/>
      <c r="DA52" s="712">
        <f t="shared" si="106"/>
        <v>0</v>
      </c>
      <c r="DB52" s="733"/>
      <c r="DC52" s="712">
        <f t="shared" si="107"/>
        <v>0</v>
      </c>
      <c r="DD52" s="712">
        <f t="shared" si="107"/>
        <v>0</v>
      </c>
      <c r="DE52" s="712">
        <f t="shared" si="108"/>
        <v>0</v>
      </c>
      <c r="DF52" s="901"/>
      <c r="DG52" s="901"/>
      <c r="DH52" s="901"/>
      <c r="DI52" s="733"/>
      <c r="DJ52" s="712">
        <f t="shared" si="109"/>
        <v>0</v>
      </c>
      <c r="DK52" s="733"/>
      <c r="DL52" s="712">
        <f t="shared" si="110"/>
        <v>0</v>
      </c>
      <c r="DM52" s="712">
        <f t="shared" si="110"/>
        <v>0</v>
      </c>
      <c r="DN52" s="712">
        <f t="shared" si="111"/>
        <v>0</v>
      </c>
      <c r="DO52" s="733"/>
      <c r="DP52" s="733"/>
      <c r="DQ52" s="734">
        <f t="shared" si="112"/>
        <v>0</v>
      </c>
      <c r="DR52" s="734">
        <v>0</v>
      </c>
      <c r="DS52" s="735"/>
    </row>
    <row r="53" spans="3:123" s="665" customFormat="1" ht="14.15" customHeight="1">
      <c r="C53" s="747"/>
      <c r="D53" s="748"/>
      <c r="E53" s="748"/>
      <c r="F53" s="749"/>
      <c r="G53" s="747"/>
      <c r="H53" s="750"/>
      <c r="I53" s="750"/>
      <c r="J53" s="656"/>
      <c r="K53" s="901"/>
      <c r="L53" s="901"/>
      <c r="M53" s="901"/>
      <c r="N53" s="733"/>
      <c r="O53" s="753"/>
      <c r="P53" s="656"/>
      <c r="Q53" s="733"/>
      <c r="R53" s="753"/>
      <c r="S53" s="753"/>
      <c r="T53" s="901"/>
      <c r="U53" s="901"/>
      <c r="V53" s="901"/>
      <c r="W53" s="733"/>
      <c r="X53" s="753"/>
      <c r="Y53" s="733"/>
      <c r="Z53" s="753"/>
      <c r="AA53" s="753"/>
      <c r="AB53" s="753"/>
      <c r="AC53" s="901"/>
      <c r="AD53" s="901"/>
      <c r="AE53" s="901"/>
      <c r="AF53" s="733"/>
      <c r="AG53" s="753"/>
      <c r="AH53" s="733"/>
      <c r="AI53" s="753"/>
      <c r="AJ53" s="753"/>
      <c r="AK53" s="753"/>
      <c r="AL53" s="901"/>
      <c r="AM53" s="901"/>
      <c r="AN53" s="901"/>
      <c r="AO53" s="733"/>
      <c r="AP53" s="753"/>
      <c r="AQ53" s="733"/>
      <c r="AR53" s="753"/>
      <c r="AS53" s="753"/>
      <c r="AT53" s="753"/>
      <c r="AU53" s="901"/>
      <c r="AV53" s="901"/>
      <c r="AW53" s="901"/>
      <c r="AX53" s="733"/>
      <c r="AY53" s="753"/>
      <c r="AZ53" s="733"/>
      <c r="BA53" s="753"/>
      <c r="BB53" s="753"/>
      <c r="BC53" s="753"/>
      <c r="BD53" s="901"/>
      <c r="BE53" s="901"/>
      <c r="BF53" s="901"/>
      <c r="BG53" s="733"/>
      <c r="BH53" s="753"/>
      <c r="BI53" s="733"/>
      <c r="BJ53" s="753"/>
      <c r="BK53" s="753"/>
      <c r="BL53" s="753"/>
      <c r="BM53" s="901"/>
      <c r="BN53" s="901"/>
      <c r="BO53" s="901"/>
      <c r="BP53" s="733"/>
      <c r="BQ53" s="753"/>
      <c r="BR53" s="733"/>
      <c r="BS53" s="753"/>
      <c r="BT53" s="753"/>
      <c r="BU53" s="753"/>
      <c r="BV53" s="901"/>
      <c r="BW53" s="901"/>
      <c r="BX53" s="901"/>
      <c r="BY53" s="733"/>
      <c r="BZ53" s="753"/>
      <c r="CA53" s="733"/>
      <c r="CB53" s="753"/>
      <c r="CC53" s="753"/>
      <c r="CD53" s="753"/>
      <c r="CE53" s="901"/>
      <c r="CF53" s="901"/>
      <c r="CG53" s="901"/>
      <c r="CH53" s="733"/>
      <c r="CI53" s="753"/>
      <c r="CJ53" s="733"/>
      <c r="CK53" s="753"/>
      <c r="CL53" s="753"/>
      <c r="CM53" s="753"/>
      <c r="CN53" s="901"/>
      <c r="CO53" s="901"/>
      <c r="CP53" s="901"/>
      <c r="CQ53" s="733"/>
      <c r="CR53" s="753"/>
      <c r="CS53" s="733"/>
      <c r="CT53" s="753"/>
      <c r="CU53" s="753"/>
      <c r="CV53" s="753"/>
      <c r="CW53" s="901"/>
      <c r="CX53" s="901"/>
      <c r="CY53" s="901"/>
      <c r="CZ53" s="733"/>
      <c r="DA53" s="753"/>
      <c r="DB53" s="733"/>
      <c r="DC53" s="753"/>
      <c r="DD53" s="753"/>
      <c r="DE53" s="753"/>
      <c r="DF53" s="901"/>
      <c r="DG53" s="901"/>
      <c r="DH53" s="901"/>
      <c r="DI53" s="733"/>
      <c r="DJ53" s="753"/>
      <c r="DK53" s="733"/>
      <c r="DL53" s="753"/>
      <c r="DM53" s="753"/>
      <c r="DN53" s="753"/>
      <c r="DO53" s="712"/>
      <c r="DP53" s="712"/>
    </row>
    <row r="54" spans="3:123" s="665" customFormat="1" ht="14.15" customHeight="1">
      <c r="C54" s="760" t="s">
        <v>119</v>
      </c>
      <c r="D54" s="761"/>
      <c r="E54" s="761"/>
      <c r="F54" s="749"/>
      <c r="G54" s="747"/>
      <c r="H54" s="756">
        <f>SUM(H45:H53)</f>
        <v>51097</v>
      </c>
      <c r="I54" s="756">
        <f>SUM(I45:I53)</f>
        <v>150473.65999999997</v>
      </c>
      <c r="J54" s="656"/>
      <c r="K54" s="756">
        <f>SUM(K45:K53)</f>
        <v>108376.34</v>
      </c>
      <c r="L54" s="756">
        <f>SUM(L45:L53)</f>
        <v>0</v>
      </c>
      <c r="M54" s="756">
        <f>SUM(M45:M53)</f>
        <v>108376.34</v>
      </c>
      <c r="N54" s="756">
        <f>SUM(N45:N53)</f>
        <v>108376.34</v>
      </c>
      <c r="O54" s="756">
        <f>SUM(O46:O53)</f>
        <v>0</v>
      </c>
      <c r="P54" s="656"/>
      <c r="Q54" s="756">
        <f>SUM(Q45:Q53)</f>
        <v>108376.34</v>
      </c>
      <c r="R54" s="756">
        <f>SUM(R45:R53)</f>
        <v>108376.34</v>
      </c>
      <c r="S54" s="756">
        <f>SUM(S46:S53)</f>
        <v>0</v>
      </c>
      <c r="T54" s="756">
        <f>SUM(T45:T53)</f>
        <v>108376.34</v>
      </c>
      <c r="U54" s="756">
        <f>SUM(U45:U53)</f>
        <v>0</v>
      </c>
      <c r="V54" s="756">
        <f>SUM(V45:V53)</f>
        <v>108376.34</v>
      </c>
      <c r="W54" s="756">
        <f>SUM(W45:W52)</f>
        <v>108376.34</v>
      </c>
      <c r="X54" s="756">
        <f>SUM(X45:X52)</f>
        <v>0</v>
      </c>
      <c r="Y54" s="756"/>
      <c r="Z54" s="756">
        <f>SUM(Z45:Z52)</f>
        <v>216752.68</v>
      </c>
      <c r="AA54" s="756">
        <f>SUM(AA45:AA52)</f>
        <v>216752.68</v>
      </c>
      <c r="AB54" s="756">
        <f>SUM(AB45:AB52)</f>
        <v>0</v>
      </c>
      <c r="AC54" s="756">
        <f>SUM(AC45:AC53)</f>
        <v>108376.34</v>
      </c>
      <c r="AD54" s="756">
        <f>SUM(AD45:AD53)</f>
        <v>0</v>
      </c>
      <c r="AE54" s="756">
        <f>SUM(AE45:AE53)</f>
        <v>108376.34</v>
      </c>
      <c r="AF54" s="756">
        <f>SUM(AF45:AF52)</f>
        <v>108376.34</v>
      </c>
      <c r="AG54" s="756">
        <f>SUM(AG46:AG53)</f>
        <v>0</v>
      </c>
      <c r="AH54" s="733"/>
      <c r="AI54" s="756">
        <f t="shared" ref="AI54:AP54" si="113">SUM(AI45:AI52)</f>
        <v>325129.02</v>
      </c>
      <c r="AJ54" s="756">
        <f t="shared" si="113"/>
        <v>325129.02</v>
      </c>
      <c r="AK54" s="756">
        <f t="shared" si="113"/>
        <v>0</v>
      </c>
      <c r="AL54" s="756">
        <f>SUM(AL45:AL53)</f>
        <v>108376.34</v>
      </c>
      <c r="AM54" s="756">
        <f>SUM(AM45:AM53)</f>
        <v>0</v>
      </c>
      <c r="AN54" s="756">
        <f>SUM(AN45:AN53)</f>
        <v>108376.34</v>
      </c>
      <c r="AO54" s="756">
        <f>SUM(AO45:AO52)</f>
        <v>108376.34</v>
      </c>
      <c r="AP54" s="756">
        <f t="shared" si="113"/>
        <v>0</v>
      </c>
      <c r="AQ54" s="756"/>
      <c r="AR54" s="756">
        <f t="shared" ref="AR54:AY54" si="114">SUM(AR45:AR52)</f>
        <v>433505.36</v>
      </c>
      <c r="AS54" s="756">
        <f t="shared" si="114"/>
        <v>433505.36</v>
      </c>
      <c r="AT54" s="756">
        <f t="shared" si="114"/>
        <v>0</v>
      </c>
      <c r="AU54" s="756">
        <f>SUM(AU45:AU53)</f>
        <v>108376.34</v>
      </c>
      <c r="AV54" s="756">
        <f>SUM(AV45:AV53)</f>
        <v>0</v>
      </c>
      <c r="AW54" s="756">
        <f>SUM(AW45:AW53)</f>
        <v>108376.34</v>
      </c>
      <c r="AX54" s="756">
        <f>SUM(AX45:AX52)</f>
        <v>108376.34</v>
      </c>
      <c r="AY54" s="756">
        <f t="shared" si="114"/>
        <v>0</v>
      </c>
      <c r="AZ54" s="756"/>
      <c r="BA54" s="756">
        <f t="shared" ref="BA54:BH54" si="115">SUM(BA45:BA52)</f>
        <v>541881.69999999995</v>
      </c>
      <c r="BB54" s="756">
        <f t="shared" si="115"/>
        <v>541881.69999999995</v>
      </c>
      <c r="BC54" s="756">
        <f t="shared" si="115"/>
        <v>0</v>
      </c>
      <c r="BD54" s="756">
        <f>SUM(BD45:BD53)</f>
        <v>108376.34</v>
      </c>
      <c r="BE54" s="756">
        <f>SUM(BE45:BE53)</f>
        <v>0</v>
      </c>
      <c r="BF54" s="756">
        <f>SUM(BF45:BF53)</f>
        <v>108376.34</v>
      </c>
      <c r="BG54" s="756">
        <f>SUM(BG45:BG52)</f>
        <v>108376.34</v>
      </c>
      <c r="BH54" s="756">
        <f t="shared" si="115"/>
        <v>0</v>
      </c>
      <c r="BI54" s="756"/>
      <c r="BJ54" s="756">
        <f t="shared" ref="BJ54:BQ54" si="116">SUM(BJ45:BJ52)</f>
        <v>650258.04</v>
      </c>
      <c r="BK54" s="756">
        <f t="shared" si="116"/>
        <v>650258.04</v>
      </c>
      <c r="BL54" s="756">
        <f t="shared" si="116"/>
        <v>0</v>
      </c>
      <c r="BM54" s="756">
        <f>SUM(BM45:BM53)</f>
        <v>108376.34</v>
      </c>
      <c r="BN54" s="756">
        <f>SUM(BN45:BN53)</f>
        <v>0</v>
      </c>
      <c r="BO54" s="756">
        <f>SUM(BO45:BO53)</f>
        <v>108376.34</v>
      </c>
      <c r="BP54" s="756">
        <f t="shared" si="116"/>
        <v>115393</v>
      </c>
      <c r="BQ54" s="756">
        <f t="shared" si="116"/>
        <v>-7016.66</v>
      </c>
      <c r="BR54" s="756"/>
      <c r="BS54" s="756">
        <f t="shared" ref="BS54:BZ54" si="117">SUM(BS45:BS52)</f>
        <v>758634.38</v>
      </c>
      <c r="BT54" s="756">
        <f t="shared" si="117"/>
        <v>765651.03999999992</v>
      </c>
      <c r="BU54" s="756">
        <f t="shared" si="117"/>
        <v>-7016.660000000018</v>
      </c>
      <c r="BV54" s="756">
        <f>SUM(BV45:BV53)</f>
        <v>108376.34</v>
      </c>
      <c r="BW54" s="756">
        <f>SUM(BW45:BW53)</f>
        <v>0</v>
      </c>
      <c r="BX54" s="756">
        <f>SUM(BX45:BX53)</f>
        <v>108376.34</v>
      </c>
      <c r="BY54" s="756">
        <f t="shared" si="117"/>
        <v>115393</v>
      </c>
      <c r="BZ54" s="756">
        <f t="shared" si="117"/>
        <v>-7016.66</v>
      </c>
      <c r="CA54" s="756"/>
      <c r="CB54" s="756">
        <f t="shared" ref="CB54:CI54" si="118">SUM(CB45:CB52)</f>
        <v>867010.72</v>
      </c>
      <c r="CC54" s="756">
        <f t="shared" si="118"/>
        <v>881044.03999999992</v>
      </c>
      <c r="CD54" s="756">
        <f t="shared" si="118"/>
        <v>-14033.320000000022</v>
      </c>
      <c r="CE54" s="756">
        <f>SUM(CE45:CE53)</f>
        <v>108376.34</v>
      </c>
      <c r="CF54" s="756">
        <f>SUM(CF45:CF53)</f>
        <v>0</v>
      </c>
      <c r="CG54" s="756">
        <f>SUM(CG45:CG53)</f>
        <v>108376.34</v>
      </c>
      <c r="CH54" s="756">
        <f t="shared" si="118"/>
        <v>115393</v>
      </c>
      <c r="CI54" s="756">
        <f t="shared" si="118"/>
        <v>-7016.66</v>
      </c>
      <c r="CJ54" s="756"/>
      <c r="CK54" s="756">
        <f t="shared" ref="CK54:CR54" si="119">SUM(CK45:CK52)</f>
        <v>975387.06</v>
      </c>
      <c r="CL54" s="756">
        <f t="shared" si="119"/>
        <v>996437.03999999992</v>
      </c>
      <c r="CM54" s="756">
        <f t="shared" si="119"/>
        <v>-21049.98000000001</v>
      </c>
      <c r="CN54" s="756">
        <f>SUM(CN45:CN53)</f>
        <v>108376.34</v>
      </c>
      <c r="CO54" s="756">
        <f>SUM(CO45:CO53)</f>
        <v>0</v>
      </c>
      <c r="CP54" s="756">
        <f>SUM(CP45:CP53)</f>
        <v>108376.34</v>
      </c>
      <c r="CQ54" s="756">
        <f t="shared" si="119"/>
        <v>115393</v>
      </c>
      <c r="CR54" s="756">
        <f t="shared" si="119"/>
        <v>-7016.66</v>
      </c>
      <c r="CS54" s="756"/>
      <c r="CT54" s="756">
        <f t="shared" ref="CT54:DA54" si="120">SUM(CT45:CT52)</f>
        <v>1083763.3999999999</v>
      </c>
      <c r="CU54" s="756">
        <f t="shared" si="120"/>
        <v>1111830.04</v>
      </c>
      <c r="CV54" s="756">
        <f t="shared" si="120"/>
        <v>-28066.639999999985</v>
      </c>
      <c r="CW54" s="756">
        <f>SUM(CW45:CW53)</f>
        <v>108376.34</v>
      </c>
      <c r="CX54" s="756">
        <f>SUM(CX45:CX53)</f>
        <v>0</v>
      </c>
      <c r="CY54" s="756">
        <f>SUM(CY45:CY53)</f>
        <v>108376.34</v>
      </c>
      <c r="CZ54" s="756">
        <f t="shared" si="120"/>
        <v>115393</v>
      </c>
      <c r="DA54" s="756">
        <f t="shared" si="120"/>
        <v>-7016.66</v>
      </c>
      <c r="DB54" s="756"/>
      <c r="DC54" s="756">
        <f>SUM(DC44:DC53)</f>
        <v>1192139.74</v>
      </c>
      <c r="DD54" s="756">
        <f>SUM(DD44:DD53)</f>
        <v>1227223.04</v>
      </c>
      <c r="DE54" s="756">
        <f>SUM(DE44:DE53)</f>
        <v>-35083.29999999993</v>
      </c>
      <c r="DF54" s="756">
        <f>SUM(DF45:DF53)</f>
        <v>150473.65999999997</v>
      </c>
      <c r="DG54" s="756">
        <f>SUM(DG45:DG53)</f>
        <v>0</v>
      </c>
      <c r="DH54" s="756">
        <f>SUM(DH45:DH53)</f>
        <v>150473.65999999997</v>
      </c>
      <c r="DI54" s="756">
        <f>SUM(DI45:DI52)</f>
        <v>115393</v>
      </c>
      <c r="DJ54" s="756">
        <f>SUM(DJ45:DJ53)</f>
        <v>35080.659999999996</v>
      </c>
      <c r="DK54" s="756"/>
      <c r="DL54" s="756">
        <f>SUM(DL45:DL53)</f>
        <v>1342613.4</v>
      </c>
      <c r="DM54" s="756">
        <f>SUM(DM45:DM53)</f>
        <v>1342616.04</v>
      </c>
      <c r="DN54" s="756">
        <f>SUM(DN45:DN53)</f>
        <v>-2.6399999999266583</v>
      </c>
      <c r="DO54" s="712"/>
      <c r="DP54" s="712"/>
      <c r="DQ54" s="756">
        <f>SUM(DQ45:DQ53)</f>
        <v>1342616.04</v>
      </c>
      <c r="DR54" s="756">
        <f>SUM(DR45:DR53)</f>
        <v>0</v>
      </c>
    </row>
    <row r="55" spans="3:123" s="665" customFormat="1" ht="14.15" customHeight="1">
      <c r="D55" s="664"/>
      <c r="E55" s="664"/>
      <c r="G55" s="664"/>
      <c r="H55" s="712"/>
      <c r="I55" s="712"/>
      <c r="J55" s="656"/>
      <c r="K55" s="901"/>
      <c r="L55" s="901"/>
      <c r="M55" s="901"/>
      <c r="N55" s="712"/>
      <c r="O55" s="712"/>
      <c r="P55" s="656"/>
      <c r="Q55" s="712"/>
      <c r="R55" s="712"/>
      <c r="S55" s="712"/>
      <c r="T55" s="901"/>
      <c r="U55" s="901"/>
      <c r="V55" s="901"/>
      <c r="W55" s="712"/>
      <c r="X55" s="753"/>
      <c r="Y55" s="756"/>
      <c r="Z55" s="712"/>
      <c r="AA55" s="712"/>
      <c r="AB55" s="753"/>
      <c r="AC55" s="901"/>
      <c r="AD55" s="901"/>
      <c r="AE55" s="901"/>
      <c r="AF55" s="712"/>
      <c r="AG55" s="753"/>
      <c r="AH55" s="733"/>
      <c r="AI55" s="712"/>
      <c r="AJ55" s="712"/>
      <c r="AK55" s="753"/>
      <c r="AL55" s="901"/>
      <c r="AM55" s="901"/>
      <c r="AN55" s="901"/>
      <c r="AO55" s="712"/>
      <c r="AP55" s="753"/>
      <c r="AQ55" s="712"/>
      <c r="AR55" s="712"/>
      <c r="AS55" s="712"/>
      <c r="AT55" s="753"/>
      <c r="AU55" s="901"/>
      <c r="AV55" s="901"/>
      <c r="AW55" s="901"/>
      <c r="AX55" s="712"/>
      <c r="AY55" s="753"/>
      <c r="AZ55" s="756"/>
      <c r="BA55" s="712"/>
      <c r="BB55" s="712"/>
      <c r="BC55" s="753"/>
      <c r="BD55" s="901"/>
      <c r="BE55" s="901"/>
      <c r="BF55" s="901"/>
      <c r="BG55" s="712"/>
      <c r="BH55" s="712"/>
      <c r="BI55" s="712"/>
      <c r="BJ55" s="712"/>
      <c r="BK55" s="712"/>
      <c r="BL55" s="712"/>
      <c r="BM55" s="901"/>
      <c r="BN55" s="901"/>
      <c r="BO55" s="901"/>
      <c r="BP55" s="712"/>
      <c r="BQ55" s="712"/>
      <c r="BR55" s="712"/>
      <c r="BS55" s="712"/>
      <c r="BT55" s="712"/>
      <c r="BU55" s="712"/>
      <c r="BV55" s="901"/>
      <c r="BW55" s="901"/>
      <c r="BX55" s="901"/>
      <c r="BY55" s="712"/>
      <c r="BZ55" s="712"/>
      <c r="CA55" s="712"/>
      <c r="CB55" s="712"/>
      <c r="CC55" s="712"/>
      <c r="CD55" s="712"/>
      <c r="CE55" s="901"/>
      <c r="CF55" s="901"/>
      <c r="CG55" s="901"/>
      <c r="CH55" s="712"/>
      <c r="CI55" s="712"/>
      <c r="CJ55" s="712"/>
      <c r="CK55" s="712"/>
      <c r="CL55" s="712"/>
      <c r="CM55" s="712"/>
      <c r="CN55" s="901"/>
      <c r="CO55" s="901"/>
      <c r="CP55" s="901"/>
      <c r="CQ55" s="712"/>
      <c r="CR55" s="712"/>
      <c r="CS55" s="756"/>
      <c r="CT55" s="712"/>
      <c r="CU55" s="712"/>
      <c r="CV55" s="753"/>
      <c r="CW55" s="901"/>
      <c r="CX55" s="901"/>
      <c r="CY55" s="901"/>
      <c r="CZ55" s="712"/>
      <c r="DA55" s="712"/>
      <c r="DB55" s="756"/>
      <c r="DC55" s="712"/>
      <c r="DD55" s="712"/>
      <c r="DE55" s="712"/>
      <c r="DF55" s="901"/>
      <c r="DG55" s="901"/>
      <c r="DH55" s="901"/>
      <c r="DI55" s="712"/>
      <c r="DJ55" s="712"/>
      <c r="DK55" s="756"/>
      <c r="DL55" s="712"/>
      <c r="DM55" s="712"/>
      <c r="DN55" s="712"/>
      <c r="DO55" s="712"/>
      <c r="DP55" s="706"/>
      <c r="DQ55" s="712"/>
      <c r="DR55" s="712"/>
    </row>
    <row r="56" spans="3:123" s="665" customFormat="1" ht="14.15" customHeight="1" thickBot="1">
      <c r="C56" s="762" t="s">
        <v>120</v>
      </c>
      <c r="D56" s="763"/>
      <c r="E56" s="763"/>
      <c r="F56" s="762"/>
      <c r="G56" s="763"/>
      <c r="H56" s="764">
        <f>+H42+H54</f>
        <v>64353</v>
      </c>
      <c r="I56" s="765"/>
      <c r="J56" s="656"/>
      <c r="K56" s="764">
        <f>+K42+K54</f>
        <v>156321.63</v>
      </c>
      <c r="L56" s="764">
        <f>+L42+L54</f>
        <v>4950.0001000000002</v>
      </c>
      <c r="M56" s="764">
        <f>+M42+M54</f>
        <v>161271.63010000001</v>
      </c>
      <c r="N56" s="764">
        <f>+N42+N54</f>
        <v>161271.63010000001</v>
      </c>
      <c r="O56" s="764">
        <f>+O42+O54</f>
        <v>0</v>
      </c>
      <c r="P56" s="656"/>
      <c r="Q56" s="764">
        <f t="shared" ref="Q56:X56" si="121">+Q42+Q54</f>
        <v>161271.63010000001</v>
      </c>
      <c r="R56" s="764">
        <f t="shared" si="121"/>
        <v>161271.63010000001</v>
      </c>
      <c r="S56" s="764">
        <f t="shared" si="121"/>
        <v>0</v>
      </c>
      <c r="T56" s="764">
        <f t="shared" si="121"/>
        <v>161577.39000000001</v>
      </c>
      <c r="U56" s="764">
        <f t="shared" si="121"/>
        <v>1E-4</v>
      </c>
      <c r="V56" s="764">
        <f>+V42+V54</f>
        <v>161577.39009999999</v>
      </c>
      <c r="W56" s="764">
        <f>+W42+W54</f>
        <v>161577.39009999999</v>
      </c>
      <c r="X56" s="764">
        <f t="shared" si="121"/>
        <v>0</v>
      </c>
      <c r="Y56" s="756"/>
      <c r="Z56" s="764">
        <f t="shared" ref="Z56:AG56" si="122">+Z42+Z54</f>
        <v>322849.02020000003</v>
      </c>
      <c r="AA56" s="764">
        <f t="shared" si="122"/>
        <v>322849.02020000003</v>
      </c>
      <c r="AB56" s="764">
        <f t="shared" si="122"/>
        <v>0</v>
      </c>
      <c r="AC56" s="764">
        <f t="shared" si="122"/>
        <v>161796.14000000001</v>
      </c>
      <c r="AD56" s="764">
        <f t="shared" si="122"/>
        <v>1E-4</v>
      </c>
      <c r="AE56" s="764">
        <f>+AE42+AE54</f>
        <v>161796.14009999999</v>
      </c>
      <c r="AF56" s="764">
        <f>+AF42+AF54</f>
        <v>161796.14009999999</v>
      </c>
      <c r="AG56" s="764">
        <f t="shared" si="122"/>
        <v>0</v>
      </c>
      <c r="AH56" s="733"/>
      <c r="AI56" s="764">
        <f t="shared" ref="AI56:AP56" si="123">+AI42+AI54</f>
        <v>484645.16030000005</v>
      </c>
      <c r="AJ56" s="764">
        <f t="shared" si="123"/>
        <v>484645.16030000005</v>
      </c>
      <c r="AK56" s="764">
        <f t="shared" si="123"/>
        <v>0</v>
      </c>
      <c r="AL56" s="764">
        <f t="shared" si="123"/>
        <v>161796.14000000001</v>
      </c>
      <c r="AM56" s="764">
        <f t="shared" si="123"/>
        <v>1E-4</v>
      </c>
      <c r="AN56" s="764">
        <f>+AN42+AN54</f>
        <v>161796.14009999999</v>
      </c>
      <c r="AO56" s="764">
        <f>+AO42+AO54</f>
        <v>161796.14009999999</v>
      </c>
      <c r="AP56" s="764">
        <f t="shared" si="123"/>
        <v>0</v>
      </c>
      <c r="AQ56" s="712"/>
      <c r="AR56" s="764">
        <f t="shared" ref="AR56:AY56" si="124">+AR42+AR54</f>
        <v>646441.30039999995</v>
      </c>
      <c r="AS56" s="764">
        <f t="shared" si="124"/>
        <v>646441.30039999995</v>
      </c>
      <c r="AT56" s="764">
        <f t="shared" si="124"/>
        <v>0</v>
      </c>
      <c r="AU56" s="764">
        <f t="shared" si="124"/>
        <v>161796.14000000001</v>
      </c>
      <c r="AV56" s="764">
        <f t="shared" si="124"/>
        <v>-17165.509899999997</v>
      </c>
      <c r="AW56" s="764">
        <f>+AW42+AW54</f>
        <v>144630.63010000001</v>
      </c>
      <c r="AX56" s="764">
        <f>+AX42+AX54</f>
        <v>144630.64009999999</v>
      </c>
      <c r="AY56" s="764">
        <f t="shared" si="124"/>
        <v>-9.9999999983992893E-3</v>
      </c>
      <c r="AZ56" s="756"/>
      <c r="BA56" s="764">
        <f t="shared" ref="BA56:BH56" si="125">+BA42+BA54</f>
        <v>791071.9304999999</v>
      </c>
      <c r="BB56" s="764">
        <f t="shared" si="125"/>
        <v>791071.94049999991</v>
      </c>
      <c r="BC56" s="764">
        <f t="shared" si="125"/>
        <v>-9.9999999983992893E-3</v>
      </c>
      <c r="BD56" s="764">
        <f t="shared" si="125"/>
        <v>132433.20000000001</v>
      </c>
      <c r="BE56" s="764">
        <f t="shared" si="125"/>
        <v>44911.000099999997</v>
      </c>
      <c r="BF56" s="764">
        <f>+BF42+BF54</f>
        <v>177344.20010000002</v>
      </c>
      <c r="BG56" s="764">
        <f>+BG42+BG54</f>
        <v>177343.9601</v>
      </c>
      <c r="BH56" s="764">
        <f t="shared" si="125"/>
        <v>0.24000000000160071</v>
      </c>
      <c r="BI56" s="764"/>
      <c r="BJ56" s="764">
        <f t="shared" ref="BJ56:BQ56" si="126">+BJ42+BJ54</f>
        <v>968416.13060000003</v>
      </c>
      <c r="BK56" s="764">
        <f t="shared" si="126"/>
        <v>968415.90060000005</v>
      </c>
      <c r="BL56" s="764">
        <f t="shared" si="126"/>
        <v>0.23000000001047738</v>
      </c>
      <c r="BM56" s="764">
        <f t="shared" si="126"/>
        <v>162848.44</v>
      </c>
      <c r="BN56" s="764">
        <f t="shared" si="126"/>
        <v>2990.5701000000004</v>
      </c>
      <c r="BO56" s="764">
        <f>+BO42+BO54</f>
        <v>165839.01009999998</v>
      </c>
      <c r="BP56" s="764">
        <f t="shared" si="126"/>
        <v>169865</v>
      </c>
      <c r="BQ56" s="764">
        <f t="shared" si="126"/>
        <v>-4025.9898999999996</v>
      </c>
      <c r="BR56" s="764"/>
      <c r="BS56" s="764">
        <f t="shared" ref="BS56:BZ56" si="127">+BS42+BS54</f>
        <v>1134255.1406999999</v>
      </c>
      <c r="BT56" s="764">
        <f t="shared" si="127"/>
        <v>1138280.9005999998</v>
      </c>
      <c r="BU56" s="764">
        <f t="shared" si="127"/>
        <v>-4025.7599000000091</v>
      </c>
      <c r="BV56" s="764">
        <f t="shared" si="127"/>
        <v>167164.18</v>
      </c>
      <c r="BW56" s="764">
        <f t="shared" si="127"/>
        <v>-4096.9998999999998</v>
      </c>
      <c r="BX56" s="764">
        <f>+BX42+BX54</f>
        <v>163067.1801</v>
      </c>
      <c r="BY56" s="764">
        <f t="shared" si="127"/>
        <v>169865</v>
      </c>
      <c r="BZ56" s="764">
        <f t="shared" si="127"/>
        <v>-6797.8198999999995</v>
      </c>
      <c r="CA56" s="712"/>
      <c r="CB56" s="764">
        <f t="shared" ref="CB56:CI56" si="128">+CB42+CB54</f>
        <v>1297322.3207999999</v>
      </c>
      <c r="CC56" s="764">
        <f t="shared" si="128"/>
        <v>1308145.9005999998</v>
      </c>
      <c r="CD56" s="764">
        <f t="shared" si="128"/>
        <v>-10823.579800000016</v>
      </c>
      <c r="CE56" s="764">
        <f t="shared" si="128"/>
        <v>162848.44</v>
      </c>
      <c r="CF56" s="764">
        <f t="shared" si="128"/>
        <v>219.0001</v>
      </c>
      <c r="CG56" s="764">
        <f>+CG42+CG54</f>
        <v>163067.44010000001</v>
      </c>
      <c r="CH56" s="764">
        <f t="shared" si="128"/>
        <v>169865</v>
      </c>
      <c r="CI56" s="764">
        <f t="shared" si="128"/>
        <v>-6797.5598999999993</v>
      </c>
      <c r="CJ56" s="764"/>
      <c r="CK56" s="764">
        <f t="shared" ref="CK56:CR56" si="129">+CK42+CK54</f>
        <v>1460389.7609000001</v>
      </c>
      <c r="CL56" s="764">
        <f t="shared" si="129"/>
        <v>1478010.9005999998</v>
      </c>
      <c r="CM56" s="764">
        <f t="shared" si="129"/>
        <v>-17621.139700000007</v>
      </c>
      <c r="CN56" s="764">
        <f t="shared" si="129"/>
        <v>157008.24</v>
      </c>
      <c r="CO56" s="764">
        <f t="shared" si="129"/>
        <v>3139.1001000000001</v>
      </c>
      <c r="CP56" s="764">
        <f>+CP42+CP54</f>
        <v>160147.3401</v>
      </c>
      <c r="CQ56" s="764">
        <f t="shared" si="129"/>
        <v>169865</v>
      </c>
      <c r="CR56" s="764">
        <f t="shared" si="129"/>
        <v>-9717.6598999999987</v>
      </c>
      <c r="CS56" s="756"/>
      <c r="CT56" s="764">
        <f t="shared" ref="CT56:DA56" si="130">+CT42+CT54</f>
        <v>1620537.1009999998</v>
      </c>
      <c r="CU56" s="764">
        <f t="shared" si="130"/>
        <v>1647875.9006000001</v>
      </c>
      <c r="CV56" s="764">
        <f t="shared" si="130"/>
        <v>-27338.79959999998</v>
      </c>
      <c r="CW56" s="764">
        <f t="shared" si="130"/>
        <v>161480.84</v>
      </c>
      <c r="CX56" s="764">
        <f t="shared" si="130"/>
        <v>902.55010000000016</v>
      </c>
      <c r="CY56" s="764">
        <f>+CY42+CY54</f>
        <v>162383.39009999999</v>
      </c>
      <c r="CZ56" s="764">
        <f t="shared" si="130"/>
        <v>174365</v>
      </c>
      <c r="DA56" s="764">
        <f t="shared" si="130"/>
        <v>-11981.609899999999</v>
      </c>
      <c r="DB56" s="756"/>
      <c r="DC56" s="764">
        <f t="shared" ref="DC56:DJ56" si="131">+DC42+DC54</f>
        <v>1782920.4911</v>
      </c>
      <c r="DD56" s="764">
        <f t="shared" si="131"/>
        <v>1822240.9006000001</v>
      </c>
      <c r="DE56" s="764">
        <f t="shared" si="131"/>
        <v>-39320.409499999929</v>
      </c>
      <c r="DF56" s="764">
        <f t="shared" si="131"/>
        <v>195889.95999999996</v>
      </c>
      <c r="DG56" s="764">
        <f t="shared" si="131"/>
        <v>3870.4001000000003</v>
      </c>
      <c r="DH56" s="764">
        <f>+DH42+DH54</f>
        <v>199760.36009999996</v>
      </c>
      <c r="DI56" s="764">
        <f t="shared" si="131"/>
        <v>174970</v>
      </c>
      <c r="DJ56" s="764">
        <f t="shared" si="131"/>
        <v>24790.360099999998</v>
      </c>
      <c r="DK56" s="756"/>
      <c r="DL56" s="764">
        <f>+DL42+DL54</f>
        <v>1982680.8511999999</v>
      </c>
      <c r="DM56" s="764">
        <f>+DM42+DM54</f>
        <v>1997210.9006000001</v>
      </c>
      <c r="DN56" s="764">
        <f>+DN42+DN54</f>
        <v>-14530.049399999931</v>
      </c>
      <c r="DQ56" s="764">
        <f>+DQ42+DQ54</f>
        <v>1997210.9006000001</v>
      </c>
      <c r="DR56" s="764">
        <f>+DR42+DR54</f>
        <v>-14528</v>
      </c>
    </row>
    <row r="57" spans="3:123" s="665" customFormat="1" ht="14.15" customHeight="1" thickTop="1">
      <c r="D57" s="664"/>
      <c r="E57" s="664"/>
      <c r="G57" s="664"/>
      <c r="J57" s="656"/>
      <c r="K57" s="901"/>
      <c r="L57" s="901"/>
      <c r="M57" s="734"/>
      <c r="N57" s="734"/>
      <c r="P57" s="656"/>
      <c r="V57" s="734"/>
      <c r="W57" s="734"/>
      <c r="Y57" s="756"/>
      <c r="AE57" s="734"/>
      <c r="AF57" s="734"/>
      <c r="AH57" s="733"/>
      <c r="AI57" s="734"/>
      <c r="AJ57" s="734"/>
      <c r="AN57" s="734"/>
      <c r="AO57" s="734"/>
      <c r="AQ57" s="712"/>
      <c r="AR57" s="734"/>
      <c r="AS57" s="734"/>
      <c r="AW57" s="734"/>
      <c r="AX57" s="734"/>
      <c r="AZ57" s="756"/>
      <c r="BF57" s="734"/>
      <c r="BG57" s="734"/>
      <c r="BJ57" s="734"/>
      <c r="BK57" s="734"/>
      <c r="BO57" s="734"/>
      <c r="BP57" s="734"/>
      <c r="BS57" s="734"/>
      <c r="BT57" s="734"/>
      <c r="BX57" s="734"/>
      <c r="BY57" s="734"/>
      <c r="CA57" s="712"/>
      <c r="CG57" s="734"/>
      <c r="CH57" s="734"/>
      <c r="CK57" s="734"/>
      <c r="CL57" s="734"/>
      <c r="CP57" s="734"/>
      <c r="CQ57" s="734"/>
      <c r="CS57" s="756"/>
      <c r="CY57" s="734"/>
      <c r="CZ57" s="734"/>
      <c r="DB57" s="756"/>
      <c r="DC57" s="734"/>
      <c r="DD57" s="734"/>
      <c r="DH57" s="734"/>
      <c r="DI57" s="734"/>
      <c r="DK57" s="756"/>
      <c r="DL57" s="734"/>
      <c r="DM57" s="734"/>
      <c r="DQ57" s="734"/>
      <c r="DR57" s="734"/>
    </row>
  </sheetData>
  <mergeCells count="51">
    <mergeCell ref="BO11:BQ11"/>
    <mergeCell ref="BS11:BU11"/>
    <mergeCell ref="BX11:BZ11"/>
    <mergeCell ref="BS2:BT2"/>
    <mergeCell ref="CB11:CD11"/>
    <mergeCell ref="BP2:BQ2"/>
    <mergeCell ref="BY2:BZ2"/>
    <mergeCell ref="CB2:CC2"/>
    <mergeCell ref="DQ11:DS11"/>
    <mergeCell ref="CQ2:CR2"/>
    <mergeCell ref="DH11:DJ11"/>
    <mergeCell ref="DL11:DN11"/>
    <mergeCell ref="DI2:DJ2"/>
    <mergeCell ref="CZ2:DA2"/>
    <mergeCell ref="DL2:DM2"/>
    <mergeCell ref="DC11:DE11"/>
    <mergeCell ref="DC2:DD2"/>
    <mergeCell ref="CP11:CR11"/>
    <mergeCell ref="CY11:DA11"/>
    <mergeCell ref="CG11:CI11"/>
    <mergeCell ref="CT2:CU2"/>
    <mergeCell ref="CH2:CI2"/>
    <mergeCell ref="CK2:CL2"/>
    <mergeCell ref="CK11:CM11"/>
    <mergeCell ref="CT11:CV11"/>
    <mergeCell ref="Q2:R2"/>
    <mergeCell ref="AI2:AJ2"/>
    <mergeCell ref="AX2:AY2"/>
    <mergeCell ref="BA2:BB2"/>
    <mergeCell ref="AR2:AS2"/>
    <mergeCell ref="BJ11:BL11"/>
    <mergeCell ref="BG2:BH2"/>
    <mergeCell ref="V11:X11"/>
    <mergeCell ref="Z11:AB11"/>
    <mergeCell ref="N2:O2"/>
    <mergeCell ref="W2:X2"/>
    <mergeCell ref="Z2:AA2"/>
    <mergeCell ref="AN11:AP11"/>
    <mergeCell ref="BJ2:BK2"/>
    <mergeCell ref="AW11:AY11"/>
    <mergeCell ref="AI11:AK11"/>
    <mergeCell ref="BF11:BH11"/>
    <mergeCell ref="BA11:BC11"/>
    <mergeCell ref="AO2:AP2"/>
    <mergeCell ref="AF2:AG2"/>
    <mergeCell ref="AR11:AT11"/>
    <mergeCell ref="C11:E11"/>
    <mergeCell ref="F11:H11"/>
    <mergeCell ref="M11:O11"/>
    <mergeCell ref="Q11:S11"/>
    <mergeCell ref="AE11:AG11"/>
  </mergeCells>
  <phoneticPr fontId="0" type="noConversion"/>
  <pageMargins left="0.2" right="0.24" top="0.63" bottom="0.66" header="0.5" footer="0.5"/>
  <pageSetup paperSize="5" scale="74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2:BZ67"/>
  <sheetViews>
    <sheetView topLeftCell="BI1" zoomScale="85" workbookViewId="0">
      <selection activeCell="B18" sqref="B18"/>
    </sheetView>
  </sheetViews>
  <sheetFormatPr defaultColWidth="9.1796875" defaultRowHeight="12.5" outlineLevelCol="1"/>
  <cols>
    <col min="1" max="1" width="9.1796875" style="666"/>
    <col min="2" max="2" width="34.54296875" style="666" bestFit="1" customWidth="1"/>
    <col min="3" max="3" width="10.26953125" style="666" customWidth="1"/>
    <col min="4" max="4" width="14.1796875" style="766" customWidth="1"/>
    <col min="5" max="5" width="14.26953125" style="766" customWidth="1"/>
    <col min="6" max="6" width="11.26953125" style="766" customWidth="1"/>
    <col min="7" max="7" width="9.1796875" style="666"/>
    <col min="8" max="8" width="34.54296875" style="666" hidden="1" customWidth="1" outlineLevel="1"/>
    <col min="9" max="9" width="9.1796875" style="666" hidden="1" customWidth="1" outlineLevel="1"/>
    <col min="10" max="10" width="11.453125" style="666" hidden="1" customWidth="1" outlineLevel="1"/>
    <col min="11" max="11" width="11.26953125" style="666" hidden="1" customWidth="1" outlineLevel="1"/>
    <col min="12" max="12" width="12.453125" style="666" hidden="1" customWidth="1" outlineLevel="1"/>
    <col min="13" max="13" width="1.81640625" style="666" customWidth="1" collapsed="1"/>
    <col min="14" max="14" width="34.54296875" style="666" hidden="1" customWidth="1" outlineLevel="1"/>
    <col min="15" max="15" width="9.1796875" style="666" hidden="1" customWidth="1" outlineLevel="1"/>
    <col min="16" max="16" width="10.81640625" style="666" hidden="1" customWidth="1" outlineLevel="1"/>
    <col min="17" max="17" width="15.1796875" style="666" hidden="1" customWidth="1" outlineLevel="1"/>
    <col min="18" max="18" width="10.7265625" style="666" hidden="1" customWidth="1" outlineLevel="1"/>
    <col min="19" max="19" width="1.81640625" style="666" customWidth="1" collapsed="1"/>
    <col min="20" max="20" width="34.54296875" style="666" hidden="1" customWidth="1" outlineLevel="1"/>
    <col min="21" max="21" width="9.1796875" style="666" hidden="1" customWidth="1" outlineLevel="1"/>
    <col min="22" max="22" width="11.54296875" style="666" hidden="1" customWidth="1" outlineLevel="1"/>
    <col min="23" max="23" width="12.1796875" style="666" hidden="1" customWidth="1" outlineLevel="1"/>
    <col min="24" max="24" width="10.7265625" style="666" hidden="1" customWidth="1" outlineLevel="1"/>
    <col min="25" max="25" width="2" style="666" customWidth="1" collapsed="1"/>
    <col min="26" max="26" width="37.453125" style="666" hidden="1" customWidth="1" outlineLevel="1"/>
    <col min="27" max="27" width="9.1796875" style="666" hidden="1" customWidth="1" outlineLevel="1"/>
    <col min="28" max="28" width="11.453125" style="666" hidden="1" customWidth="1" outlineLevel="1"/>
    <col min="29" max="29" width="12.1796875" style="666" hidden="1" customWidth="1" outlineLevel="1"/>
    <col min="30" max="30" width="11.7265625" style="666" hidden="1" customWidth="1" outlineLevel="1"/>
    <col min="31" max="31" width="2" style="666" customWidth="1" collapsed="1"/>
    <col min="32" max="32" width="37.54296875" style="666" hidden="1" customWidth="1" outlineLevel="1"/>
    <col min="33" max="33" width="0" style="666" hidden="1" customWidth="1" outlineLevel="1"/>
    <col min="34" max="34" width="9.54296875" style="666" hidden="1" customWidth="1" outlineLevel="1"/>
    <col min="35" max="35" width="12.1796875" style="666" hidden="1" customWidth="1" outlineLevel="1"/>
    <col min="36" max="36" width="11.1796875" style="666" hidden="1" customWidth="1" outlineLevel="1"/>
    <col min="37" max="37" width="2" style="666" customWidth="1" collapsed="1"/>
    <col min="38" max="38" width="38.81640625" style="666" hidden="1" customWidth="1" outlineLevel="1"/>
    <col min="39" max="39" width="9.1796875" style="666" hidden="1" customWidth="1" outlineLevel="1"/>
    <col min="40" max="40" width="11.1796875" style="666" hidden="1" customWidth="1" outlineLevel="1"/>
    <col min="41" max="41" width="15.1796875" style="666" hidden="1" customWidth="1" outlineLevel="1"/>
    <col min="42" max="42" width="10.81640625" style="666" hidden="1" customWidth="1" outlineLevel="1"/>
    <col min="43" max="43" width="1.81640625" style="666" customWidth="1" collapsed="1"/>
    <col min="44" max="44" width="38" style="666" hidden="1" customWidth="1" outlineLevel="1"/>
    <col min="45" max="45" width="0" style="666" hidden="1" customWidth="1" outlineLevel="1"/>
    <col min="46" max="46" width="10.453125" style="666" hidden="1" customWidth="1" outlineLevel="1"/>
    <col min="47" max="47" width="12.1796875" style="666" hidden="1" customWidth="1" outlineLevel="1"/>
    <col min="48" max="48" width="10.81640625" style="666" hidden="1" customWidth="1" outlineLevel="1"/>
    <col min="49" max="49" width="1.81640625" style="666" customWidth="1" collapsed="1"/>
    <col min="50" max="50" width="34.54296875" style="666" hidden="1" customWidth="1" outlineLevel="1"/>
    <col min="51" max="51" width="0" style="666" hidden="1" customWidth="1" outlineLevel="1"/>
    <col min="52" max="52" width="10.54296875" style="666" hidden="1" customWidth="1" outlineLevel="1"/>
    <col min="53" max="53" width="12.1796875" style="666" hidden="1" customWidth="1" outlineLevel="1"/>
    <col min="54" max="54" width="11.81640625" style="666" hidden="1" customWidth="1" outlineLevel="1"/>
    <col min="55" max="55" width="2.1796875" style="666" customWidth="1" collapsed="1"/>
    <col min="56" max="56" width="34.54296875" style="666" hidden="1" customWidth="1" outlineLevel="1"/>
    <col min="57" max="57" width="0" style="666" hidden="1" customWidth="1" outlineLevel="1"/>
    <col min="58" max="58" width="11" style="666" hidden="1" customWidth="1" outlineLevel="1"/>
    <col min="59" max="59" width="12.1796875" style="666" hidden="1" customWidth="1" outlineLevel="1"/>
    <col min="60" max="60" width="10.54296875" style="666" hidden="1" customWidth="1" outlineLevel="1"/>
    <col min="61" max="61" width="2" style="666" customWidth="1" collapsed="1"/>
    <col min="62" max="62" width="34.54296875" style="666" hidden="1" customWidth="1" outlineLevel="1"/>
    <col min="63" max="63" width="0" style="666" hidden="1" customWidth="1" outlineLevel="1"/>
    <col min="64" max="64" width="10.81640625" style="666" hidden="1" customWidth="1" outlineLevel="1"/>
    <col min="65" max="65" width="12.1796875" style="666" hidden="1" customWidth="1" outlineLevel="1"/>
    <col min="66" max="66" width="10.81640625" style="666" hidden="1" customWidth="1" outlineLevel="1"/>
    <col min="67" max="67" width="2" style="666" customWidth="1" collapsed="1"/>
    <col min="68" max="68" width="34.54296875" style="666" customWidth="1" outlineLevel="1"/>
    <col min="69" max="69" width="9.1796875" style="666" outlineLevel="1"/>
    <col min="70" max="70" width="10.453125" style="666" customWidth="1" outlineLevel="1"/>
    <col min="71" max="71" width="12.1796875" style="666" customWidth="1" outlineLevel="1"/>
    <col min="72" max="72" width="11.7265625" style="666" customWidth="1" outlineLevel="1"/>
    <col min="73" max="73" width="2.1796875" style="666" customWidth="1"/>
    <col min="74" max="74" width="34.54296875" style="666" customWidth="1" outlineLevel="1"/>
    <col min="75" max="75" width="9.1796875" style="666" outlineLevel="1"/>
    <col min="76" max="76" width="10.453125" style="666" customWidth="1" outlineLevel="1"/>
    <col min="77" max="77" width="12.1796875" style="666" customWidth="1" outlineLevel="1"/>
    <col min="78" max="78" width="10.7265625" style="666" customWidth="1" outlineLevel="1"/>
    <col min="79" max="79" width="2.1796875" style="666" customWidth="1"/>
    <col min="80" max="16384" width="9.1796875" style="666"/>
  </cols>
  <sheetData>
    <row r="2" spans="2:78" ht="13">
      <c r="I2" s="763" t="str">
        <f>+'Review Comments'!B11:B11</f>
        <v>ABI PROPERTIES</v>
      </c>
      <c r="J2" s="1040" t="s">
        <v>129</v>
      </c>
      <c r="K2" s="1040" t="s">
        <v>130</v>
      </c>
      <c r="O2" s="763" t="str">
        <f>+I2</f>
        <v>ABI PROPERTIES</v>
      </c>
      <c r="P2" s="1040" t="s">
        <v>129</v>
      </c>
      <c r="Q2" s="1040" t="s">
        <v>130</v>
      </c>
      <c r="U2" s="763" t="str">
        <f>+O2</f>
        <v>ABI PROPERTIES</v>
      </c>
      <c r="V2" s="1040" t="s">
        <v>129</v>
      </c>
      <c r="W2" s="1040" t="s">
        <v>130</v>
      </c>
      <c r="AA2" s="763" t="str">
        <f>+U2</f>
        <v>ABI PROPERTIES</v>
      </c>
      <c r="AB2" s="1040" t="s">
        <v>129</v>
      </c>
      <c r="AC2" s="1040" t="s">
        <v>130</v>
      </c>
      <c r="AG2" s="763" t="str">
        <f>+AA2</f>
        <v>ABI PROPERTIES</v>
      </c>
      <c r="AH2" s="1040" t="s">
        <v>129</v>
      </c>
      <c r="AI2" s="1040" t="s">
        <v>130</v>
      </c>
      <c r="AM2" s="763" t="str">
        <f>+AG2</f>
        <v>ABI PROPERTIES</v>
      </c>
      <c r="AN2" s="1040" t="s">
        <v>129</v>
      </c>
      <c r="AO2" s="1040" t="s">
        <v>130</v>
      </c>
      <c r="AS2" s="763" t="str">
        <f>+AM2</f>
        <v>ABI PROPERTIES</v>
      </c>
      <c r="AT2" s="1040" t="s">
        <v>129</v>
      </c>
      <c r="AU2" s="1040" t="s">
        <v>130</v>
      </c>
      <c r="AY2" s="763" t="str">
        <f>+AS2</f>
        <v>ABI PROPERTIES</v>
      </c>
      <c r="AZ2" s="1040" t="s">
        <v>129</v>
      </c>
      <c r="BA2" s="1040" t="s">
        <v>130</v>
      </c>
      <c r="BC2" s="762"/>
      <c r="BE2" s="763" t="str">
        <f>+AY2</f>
        <v>ABI PROPERTIES</v>
      </c>
      <c r="BF2" s="1040" t="s">
        <v>129</v>
      </c>
      <c r="BG2" s="1040" t="s">
        <v>130</v>
      </c>
      <c r="BK2" s="763" t="str">
        <f>+BE2</f>
        <v>ABI PROPERTIES</v>
      </c>
      <c r="BL2" s="1040" t="s">
        <v>129</v>
      </c>
      <c r="BM2" s="1040" t="s">
        <v>130</v>
      </c>
      <c r="BQ2" s="763" t="str">
        <f>+BK2</f>
        <v>ABI PROPERTIES</v>
      </c>
      <c r="BR2" s="1040" t="s">
        <v>129</v>
      </c>
      <c r="BS2" s="1040" t="s">
        <v>130</v>
      </c>
      <c r="BW2" s="763" t="str">
        <f>+BQ2</f>
        <v>ABI PROPERTIES</v>
      </c>
      <c r="BX2" s="1040" t="s">
        <v>129</v>
      </c>
      <c r="BY2" s="1040" t="s">
        <v>130</v>
      </c>
    </row>
    <row r="3" spans="2:78" ht="13">
      <c r="B3" s="762"/>
      <c r="H3" s="767"/>
      <c r="I3" s="767" t="s">
        <v>131</v>
      </c>
      <c r="J3" s="768">
        <f>+J51</f>
        <v>12056</v>
      </c>
      <c r="K3" s="768">
        <f>+J3</f>
        <v>12056</v>
      </c>
      <c r="N3" s="767"/>
      <c r="O3" s="767" t="s">
        <v>131</v>
      </c>
      <c r="P3" s="768">
        <f>+P51</f>
        <v>12056</v>
      </c>
      <c r="Q3" s="768">
        <f>+K3+P3+P66</f>
        <v>24112</v>
      </c>
      <c r="T3" s="767"/>
      <c r="U3" s="767" t="s">
        <v>131</v>
      </c>
      <c r="V3" s="768">
        <f>+V51</f>
        <v>12056</v>
      </c>
      <c r="W3" s="768">
        <f>+Q3+V3+V66</f>
        <v>36168</v>
      </c>
      <c r="Z3" s="767"/>
      <c r="AA3" s="767" t="s">
        <v>131</v>
      </c>
      <c r="AB3" s="768">
        <f>+AB51</f>
        <v>12056</v>
      </c>
      <c r="AC3" s="768">
        <f>+W3+AB3+AB66</f>
        <v>48224</v>
      </c>
      <c r="AF3" s="767"/>
      <c r="AG3" s="767" t="s">
        <v>131</v>
      </c>
      <c r="AH3" s="768">
        <f>+AH51</f>
        <v>12056</v>
      </c>
      <c r="AI3" s="768">
        <f>+AC3+AH3+AH66</f>
        <v>60280</v>
      </c>
      <c r="AL3" s="767"/>
      <c r="AM3" s="767" t="s">
        <v>131</v>
      </c>
      <c r="AN3" s="768">
        <f>+AN51</f>
        <v>12056</v>
      </c>
      <c r="AO3" s="768">
        <f>+AI3+AN3+AN66</f>
        <v>72336</v>
      </c>
      <c r="AR3" s="767"/>
      <c r="AS3" s="767" t="s">
        <v>131</v>
      </c>
      <c r="AT3" s="768">
        <f>+AT51</f>
        <v>12056</v>
      </c>
      <c r="AU3" s="768">
        <f>+AO3+AT3+AT66</f>
        <v>84392</v>
      </c>
      <c r="AX3" s="767"/>
      <c r="AY3" s="767" t="s">
        <v>131</v>
      </c>
      <c r="AZ3" s="768">
        <f>+AZ51</f>
        <v>12056</v>
      </c>
      <c r="BA3" s="768">
        <f>+AU3+AZ3+AZ66</f>
        <v>96448</v>
      </c>
      <c r="BD3" s="767"/>
      <c r="BE3" s="767" t="s">
        <v>131</v>
      </c>
      <c r="BF3" s="768">
        <f>+BF51</f>
        <v>12056</v>
      </c>
      <c r="BG3" s="768">
        <f>+BA3+BF3+BF66</f>
        <v>108504</v>
      </c>
      <c r="BJ3" s="767"/>
      <c r="BK3" s="767" t="s">
        <v>131</v>
      </c>
      <c r="BL3" s="768">
        <f>+BL51</f>
        <v>12056</v>
      </c>
      <c r="BM3" s="768">
        <f>+BG3+BL3+BL66</f>
        <v>120560</v>
      </c>
      <c r="BP3" s="767"/>
      <c r="BQ3" s="767" t="s">
        <v>131</v>
      </c>
      <c r="BR3" s="768">
        <f>+BR51</f>
        <v>12056</v>
      </c>
      <c r="BS3" s="768">
        <f>+BM3+BR3+BR66</f>
        <v>132616</v>
      </c>
      <c r="BV3" s="767"/>
      <c r="BW3" s="767" t="s">
        <v>131</v>
      </c>
      <c r="BX3" s="768">
        <f>+BX51</f>
        <v>12056</v>
      </c>
      <c r="BY3" s="768">
        <f>+BS3+BX3+BY66</f>
        <v>144672</v>
      </c>
    </row>
    <row r="4" spans="2:78" ht="13">
      <c r="B4" s="769"/>
      <c r="H4" s="770"/>
      <c r="I4" s="770" t="s">
        <v>132</v>
      </c>
      <c r="J4" s="768">
        <f>+K51</f>
        <v>13256</v>
      </c>
      <c r="K4" s="768">
        <f>+J4</f>
        <v>13256</v>
      </c>
      <c r="N4" s="770"/>
      <c r="O4" s="770" t="s">
        <v>132</v>
      </c>
      <c r="P4" s="768">
        <f>+Q51</f>
        <v>13256</v>
      </c>
      <c r="Q4" s="768">
        <f>+K4+P4+Q66</f>
        <v>26512</v>
      </c>
      <c r="T4" s="770"/>
      <c r="U4" s="770" t="s">
        <v>132</v>
      </c>
      <c r="V4" s="768">
        <f>+W51</f>
        <v>13256</v>
      </c>
      <c r="W4" s="768">
        <f>+Q4+V4+W66</f>
        <v>39768</v>
      </c>
      <c r="Z4" s="770"/>
      <c r="AA4" s="770" t="s">
        <v>132</v>
      </c>
      <c r="AB4" s="768">
        <f>+AC51</f>
        <v>13256</v>
      </c>
      <c r="AC4" s="768">
        <f>+W4+AB4+AC66</f>
        <v>53024</v>
      </c>
      <c r="AF4" s="770"/>
      <c r="AG4" s="770" t="s">
        <v>132</v>
      </c>
      <c r="AH4" s="768">
        <f>+AI51</f>
        <v>13256</v>
      </c>
      <c r="AI4" s="768">
        <f>+AC4+AH4+AI66</f>
        <v>66280</v>
      </c>
      <c r="AL4" s="770"/>
      <c r="AM4" s="770" t="s">
        <v>132</v>
      </c>
      <c r="AN4" s="768">
        <f>+AO51</f>
        <v>13256</v>
      </c>
      <c r="AO4" s="768">
        <f>+AI4+AN4+AO66</f>
        <v>79536</v>
      </c>
      <c r="AR4" s="770"/>
      <c r="AS4" s="770" t="s">
        <v>132</v>
      </c>
      <c r="AT4" s="768">
        <f>+AU51</f>
        <v>13256</v>
      </c>
      <c r="AU4" s="768">
        <f>+AO4+AT4+AU66</f>
        <v>92792</v>
      </c>
      <c r="AX4" s="770"/>
      <c r="AY4" s="770" t="s">
        <v>132</v>
      </c>
      <c r="AZ4" s="768">
        <f>+BA51</f>
        <v>13256</v>
      </c>
      <c r="BA4" s="768">
        <f>+AU4+AZ4+BA66</f>
        <v>106048</v>
      </c>
      <c r="BD4" s="770"/>
      <c r="BE4" s="770" t="s">
        <v>132</v>
      </c>
      <c r="BF4" s="768">
        <f>+BG51</f>
        <v>13256</v>
      </c>
      <c r="BG4" s="768">
        <f>+BA4+BF4+BG66</f>
        <v>119304</v>
      </c>
      <c r="BJ4" s="770"/>
      <c r="BK4" s="770" t="s">
        <v>132</v>
      </c>
      <c r="BL4" s="768">
        <f>+BM51</f>
        <v>13256</v>
      </c>
      <c r="BM4" s="768">
        <f>+BG4+BL4+BM66</f>
        <v>132560</v>
      </c>
      <c r="BP4" s="770"/>
      <c r="BQ4" s="770" t="s">
        <v>132</v>
      </c>
      <c r="BR4" s="768">
        <f>+BS51</f>
        <v>13256</v>
      </c>
      <c r="BS4" s="768">
        <f>+BM4+BR4+BS66</f>
        <v>145816</v>
      </c>
      <c r="BV4" s="770"/>
      <c r="BW4" s="770" t="s">
        <v>132</v>
      </c>
      <c r="BX4" s="768">
        <f>+BY51</f>
        <v>13256</v>
      </c>
      <c r="BY4" s="768">
        <f>+BS4+BX4+BX66</f>
        <v>159072</v>
      </c>
    </row>
    <row r="5" spans="2:78" ht="13">
      <c r="B5" s="769"/>
      <c r="H5" s="767"/>
      <c r="I5" s="767" t="s">
        <v>133</v>
      </c>
      <c r="J5" s="771">
        <f>+J3/J4</f>
        <v>0.90947495473747741</v>
      </c>
      <c r="K5" s="771">
        <f>+K3/K4</f>
        <v>0.90947495473747741</v>
      </c>
      <c r="N5" s="767"/>
      <c r="O5" s="767" t="s">
        <v>133</v>
      </c>
      <c r="P5" s="771">
        <f>+P3/P4</f>
        <v>0.90947495473747741</v>
      </c>
      <c r="Q5" s="771">
        <f>+Q3/Q4</f>
        <v>0.90947495473747741</v>
      </c>
      <c r="T5" s="767"/>
      <c r="U5" s="767" t="s">
        <v>133</v>
      </c>
      <c r="V5" s="771">
        <f>+V3/V4</f>
        <v>0.90947495473747741</v>
      </c>
      <c r="W5" s="771">
        <f>+W3/W4</f>
        <v>0.90947495473747741</v>
      </c>
      <c r="Z5" s="767"/>
      <c r="AA5" s="767" t="s">
        <v>133</v>
      </c>
      <c r="AB5" s="771">
        <f>+AB3/AB4</f>
        <v>0.90947495473747741</v>
      </c>
      <c r="AC5" s="771">
        <f>+AC3/AC4</f>
        <v>0.90947495473747741</v>
      </c>
      <c r="AF5" s="767"/>
      <c r="AG5" s="767" t="s">
        <v>133</v>
      </c>
      <c r="AH5" s="771">
        <f>IF(AH4=0,0,+AH3/AH4)</f>
        <v>0.90947495473747741</v>
      </c>
      <c r="AI5" s="771">
        <f>+AI3/AI4</f>
        <v>0.90947495473747741</v>
      </c>
      <c r="AL5" s="767"/>
      <c r="AM5" s="767" t="s">
        <v>133</v>
      </c>
      <c r="AN5" s="771">
        <f>IF(AN4=0,0,+AN3/AN4)</f>
        <v>0.90947495473747741</v>
      </c>
      <c r="AO5" s="771">
        <f>+AO3/AO4</f>
        <v>0.90947495473747741</v>
      </c>
      <c r="AR5" s="767"/>
      <c r="AS5" s="767" t="s">
        <v>133</v>
      </c>
      <c r="AT5" s="771">
        <f>IF(AT4=0,0,+AT3/AT4)</f>
        <v>0.90947495473747741</v>
      </c>
      <c r="AU5" s="771">
        <f>+AU3/AU4</f>
        <v>0.90947495473747741</v>
      </c>
      <c r="AX5" s="767"/>
      <c r="AY5" s="767" t="s">
        <v>133</v>
      </c>
      <c r="AZ5" s="771">
        <f>IF(AZ4=0,0,+AZ3/AZ4)</f>
        <v>0.90947495473747741</v>
      </c>
      <c r="BA5" s="771">
        <f>+BA3/BA4</f>
        <v>0.90947495473747741</v>
      </c>
      <c r="BD5" s="767"/>
      <c r="BE5" s="767" t="s">
        <v>133</v>
      </c>
      <c r="BF5" s="771">
        <f>IF(BF4=0,0,+BF3/BF4)</f>
        <v>0.90947495473747741</v>
      </c>
      <c r="BG5" s="771">
        <f>+BG3/BG4</f>
        <v>0.90947495473747741</v>
      </c>
      <c r="BJ5" s="767"/>
      <c r="BK5" s="767" t="s">
        <v>133</v>
      </c>
      <c r="BL5" s="771">
        <f>IF(BL4=0,0,+BL3/BL4)</f>
        <v>0.90947495473747741</v>
      </c>
      <c r="BM5" s="771">
        <f>+BM3/BM4</f>
        <v>0.90947495473747741</v>
      </c>
      <c r="BP5" s="767"/>
      <c r="BQ5" s="767" t="s">
        <v>133</v>
      </c>
      <c r="BR5" s="771">
        <f>IF(BR4=0,0,+BR3/BR4)</f>
        <v>0.90947495473747741</v>
      </c>
      <c r="BS5" s="771">
        <f>+BS3/BS4</f>
        <v>0.90947495473747741</v>
      </c>
      <c r="BV5" s="767"/>
      <c r="BW5" s="767" t="s">
        <v>133</v>
      </c>
      <c r="BX5" s="771">
        <f>IF(BX4=0,0,+BX3/BX4)</f>
        <v>0.90947495473747741</v>
      </c>
      <c r="BY5" s="771">
        <f>+BY3/BY4</f>
        <v>0.90947495473747741</v>
      </c>
    </row>
    <row r="6" spans="2:78" ht="7.5" customHeight="1">
      <c r="H6" s="767"/>
      <c r="I6" s="767"/>
      <c r="J6" s="771"/>
      <c r="K6" s="771"/>
      <c r="N6" s="767"/>
      <c r="O6" s="767"/>
      <c r="P6" s="771"/>
      <c r="Q6" s="771"/>
      <c r="T6" s="767"/>
      <c r="U6" s="767"/>
      <c r="V6" s="771"/>
      <c r="W6" s="771"/>
      <c r="Z6" s="767"/>
      <c r="AA6" s="767"/>
      <c r="AB6" s="771"/>
      <c r="AC6" s="771"/>
      <c r="AF6" s="767"/>
      <c r="AG6" s="767"/>
      <c r="AH6" s="771"/>
      <c r="AI6" s="771"/>
      <c r="AL6" s="767"/>
      <c r="AM6" s="767"/>
      <c r="AN6" s="771"/>
      <c r="AO6" s="771"/>
      <c r="AR6" s="767"/>
      <c r="AS6" s="767"/>
      <c r="AT6" s="771"/>
      <c r="AU6" s="771"/>
      <c r="AX6" s="767"/>
      <c r="AY6" s="767"/>
      <c r="AZ6" s="771"/>
      <c r="BA6" s="771"/>
      <c r="BD6" s="767"/>
      <c r="BE6" s="767"/>
      <c r="BF6" s="771"/>
      <c r="BG6" s="771"/>
      <c r="BJ6" s="767"/>
      <c r="BK6" s="767"/>
      <c r="BL6" s="771"/>
      <c r="BM6" s="771"/>
      <c r="BP6" s="767"/>
      <c r="BQ6" s="767"/>
      <c r="BR6" s="771"/>
      <c r="BS6" s="771"/>
      <c r="BV6" s="767"/>
      <c r="BW6" s="767"/>
      <c r="BX6" s="771"/>
      <c r="BY6" s="771"/>
    </row>
    <row r="7" spans="2:78" s="766" customFormat="1">
      <c r="H7" s="772"/>
      <c r="I7" s="772" t="s">
        <v>134</v>
      </c>
      <c r="J7" s="766">
        <f>+L51</f>
        <v>53201.0501</v>
      </c>
      <c r="K7" s="766">
        <f>+J7</f>
        <v>53201.0501</v>
      </c>
      <c r="N7" s="772"/>
      <c r="O7" s="772" t="s">
        <v>134</v>
      </c>
      <c r="P7" s="766">
        <f>+R51</f>
        <v>53201.0501</v>
      </c>
      <c r="Q7" s="766">
        <f>+K7+P7+R66</f>
        <v>106402.1002</v>
      </c>
      <c r="T7" s="772"/>
      <c r="U7" s="772" t="s">
        <v>134</v>
      </c>
      <c r="V7" s="766">
        <f>+X51</f>
        <v>53419.8001</v>
      </c>
      <c r="W7" s="766">
        <f>+Q7+V7+X66</f>
        <v>159821.90030000001</v>
      </c>
      <c r="Z7" s="772"/>
      <c r="AA7" s="772" t="s">
        <v>134</v>
      </c>
      <c r="AB7" s="766">
        <f>+AD51</f>
        <v>53419.8001</v>
      </c>
      <c r="AC7" s="766">
        <f>+W7+AB7+AD66</f>
        <v>213241.7004</v>
      </c>
      <c r="AF7" s="772"/>
      <c r="AG7" s="772" t="s">
        <v>134</v>
      </c>
      <c r="AH7" s="766">
        <f>+AJ51</f>
        <v>49536.0501</v>
      </c>
      <c r="AI7" s="766">
        <f>+AC7+AH7+AJ66</f>
        <v>249496.00050000002</v>
      </c>
      <c r="AL7" s="772"/>
      <c r="AM7" s="772" t="s">
        <v>134</v>
      </c>
      <c r="AN7" s="766">
        <f>+AP51</f>
        <v>49002.970099999999</v>
      </c>
      <c r="AO7" s="766">
        <f>+AI7+AN7+AP66</f>
        <v>313117.61060000001</v>
      </c>
      <c r="AR7" s="772"/>
      <c r="AS7" s="772" t="s">
        <v>134</v>
      </c>
      <c r="AT7" s="766">
        <f>+AV51</f>
        <v>54690.850099999996</v>
      </c>
      <c r="AU7" s="766">
        <f>+AO7+AT7+AV66</f>
        <v>370580.0307</v>
      </c>
      <c r="AX7" s="772"/>
      <c r="AY7" s="772" t="s">
        <v>134</v>
      </c>
      <c r="AZ7" s="766">
        <f>+BB51</f>
        <v>54690.850099999996</v>
      </c>
      <c r="BA7" s="766">
        <f>+AU7+AZ7+BB66</f>
        <v>425270.88079999998</v>
      </c>
      <c r="BD7" s="772"/>
      <c r="BE7" s="772" t="s">
        <v>134</v>
      </c>
      <c r="BF7" s="766">
        <f>+BH51</f>
        <v>54690.850099999996</v>
      </c>
      <c r="BG7" s="766">
        <f>+BA7+BF7+BH66</f>
        <v>479961.73089999997</v>
      </c>
      <c r="BJ7" s="772"/>
      <c r="BK7" s="772" t="s">
        <v>134</v>
      </c>
      <c r="BL7" s="766">
        <f>+BN51</f>
        <v>53475.850099999996</v>
      </c>
      <c r="BM7" s="766">
        <f>+BG7+BL7+BN66</f>
        <v>531732.48100000003</v>
      </c>
      <c r="BP7" s="772"/>
      <c r="BQ7" s="772" t="s">
        <v>134</v>
      </c>
      <c r="BR7" s="766">
        <f>+BT51</f>
        <v>53475.850099999996</v>
      </c>
      <c r="BS7" s="766">
        <f>+BM7+BR7+BT66</f>
        <v>585132.03110000002</v>
      </c>
      <c r="BV7" s="772"/>
      <c r="BW7" s="772" t="s">
        <v>134</v>
      </c>
      <c r="BX7" s="766">
        <f>+BZ51</f>
        <v>51530.850099999996</v>
      </c>
      <c r="BY7" s="766">
        <f>+BS7+BX7+BZ66</f>
        <v>630002.48120000004</v>
      </c>
    </row>
    <row r="8" spans="2:78" s="773" customFormat="1">
      <c r="D8" s="766"/>
      <c r="E8" s="766"/>
      <c r="F8" s="766"/>
      <c r="H8" s="774"/>
      <c r="I8" s="774" t="s">
        <v>135</v>
      </c>
      <c r="J8" s="775">
        <f>J7/J3*12</f>
        <v>52.953931751824811</v>
      </c>
      <c r="K8" s="775">
        <f>K7/K3*12</f>
        <v>52.953931751824811</v>
      </c>
      <c r="L8" s="775"/>
      <c r="M8" s="775"/>
      <c r="N8" s="776"/>
      <c r="O8" s="776" t="s">
        <v>135</v>
      </c>
      <c r="P8" s="775">
        <f>P7/P3*12</f>
        <v>52.953931751824811</v>
      </c>
      <c r="Q8" s="775">
        <f>Q7/Q3*12</f>
        <v>52.953931751824811</v>
      </c>
      <c r="R8" s="775"/>
      <c r="S8" s="775"/>
      <c r="T8" s="776"/>
      <c r="U8" s="776" t="s">
        <v>135</v>
      </c>
      <c r="V8" s="775">
        <f>V7/V3*12</f>
        <v>53.17166566025216</v>
      </c>
      <c r="W8" s="775">
        <f>W7/W3*12</f>
        <v>53.026509721300599</v>
      </c>
      <c r="X8" s="775"/>
      <c r="Y8" s="775"/>
      <c r="Z8" s="776"/>
      <c r="AA8" s="776" t="s">
        <v>135</v>
      </c>
      <c r="AB8" s="775">
        <f>AB7/AB3*12</f>
        <v>53.17166566025216</v>
      </c>
      <c r="AC8" s="775">
        <f>AC7/AC3*12</f>
        <v>53.062798706038485</v>
      </c>
      <c r="AD8" s="775"/>
      <c r="AE8" s="775"/>
      <c r="AF8" s="776"/>
      <c r="AG8" s="776" t="s">
        <v>135</v>
      </c>
      <c r="AH8" s="775">
        <f>IF(AH3=0,0,AH7/AH3*12)</f>
        <v>49.305955640345061</v>
      </c>
      <c r="AI8" s="775">
        <f>AI7/AI3*12</f>
        <v>49.667418812209689</v>
      </c>
      <c r="AJ8" s="775"/>
      <c r="AK8" s="775"/>
      <c r="AL8" s="776"/>
      <c r="AM8" s="776" t="s">
        <v>135</v>
      </c>
      <c r="AN8" s="775">
        <f>IF(AN3=0,0,AN7/AN3*12)</f>
        <v>48.775351791639018</v>
      </c>
      <c r="AO8" s="775">
        <f>AO7/AO3*12</f>
        <v>51.943863735899136</v>
      </c>
      <c r="AP8" s="775"/>
      <c r="AQ8" s="775"/>
      <c r="AR8" s="776"/>
      <c r="AS8" s="776" t="s">
        <v>135</v>
      </c>
      <c r="AT8" s="775">
        <f>IF(AT3=0,0,AT7/AT3*12)</f>
        <v>54.436811645653606</v>
      </c>
      <c r="AU8" s="775">
        <f>AU7/AU3*12</f>
        <v>52.69409859228363</v>
      </c>
      <c r="AV8" s="775"/>
      <c r="AW8" s="775"/>
      <c r="AX8" s="776"/>
      <c r="AY8" s="776" t="s">
        <v>135</v>
      </c>
      <c r="AZ8" s="775">
        <f>IF(AZ3=0,0,AZ7/AZ3*12)</f>
        <v>54.436811645653606</v>
      </c>
      <c r="BA8" s="775">
        <f>BA7/BA3*12</f>
        <v>52.911937723954871</v>
      </c>
      <c r="BB8" s="775"/>
      <c r="BC8" s="775"/>
      <c r="BD8" s="776"/>
      <c r="BE8" s="776" t="s">
        <v>135</v>
      </c>
      <c r="BF8" s="775">
        <f>IF(BF3=0,0,BF7/BF3*12)</f>
        <v>54.436811645653606</v>
      </c>
      <c r="BG8" s="775">
        <f>BG7/BG3*12</f>
        <v>53.081368159699181</v>
      </c>
      <c r="BH8" s="775"/>
      <c r="BI8" s="775"/>
      <c r="BJ8" s="776"/>
      <c r="BK8" s="776" t="s">
        <v>135</v>
      </c>
      <c r="BL8" s="775">
        <f>IF(BL3=0,0,BL7/BL3*12)</f>
        <v>53.227455308560053</v>
      </c>
      <c r="BM8" s="775">
        <f>BM7/BM3*12</f>
        <v>52.926258891838089</v>
      </c>
      <c r="BN8" s="775"/>
      <c r="BO8" s="775"/>
      <c r="BP8" s="776"/>
      <c r="BQ8" s="776" t="s">
        <v>135</v>
      </c>
      <c r="BR8" s="776">
        <f>IF(BR3=0,0,BR7/BR3*12)</f>
        <v>53.227455308560053</v>
      </c>
      <c r="BS8" s="775">
        <f>BS7/BS3*12</f>
        <v>52.946736239971045</v>
      </c>
      <c r="BT8" s="775"/>
      <c r="BU8" s="775"/>
      <c r="BV8" s="776"/>
      <c r="BW8" s="776" t="s">
        <v>135</v>
      </c>
      <c r="BX8" s="775">
        <f>IF(BX3=0,0,BX7/BX3*12)</f>
        <v>51.291489814200389</v>
      </c>
      <c r="BY8" s="775">
        <f>BY7/BY3*12</f>
        <v>52.256343828798933</v>
      </c>
      <c r="BZ8" s="775"/>
    </row>
    <row r="9" spans="2:78" ht="13" thickBot="1"/>
    <row r="10" spans="2:78" ht="13">
      <c r="B10" s="1134" t="s">
        <v>136</v>
      </c>
      <c r="C10" s="1135"/>
      <c r="D10" s="1135"/>
      <c r="E10" s="1135"/>
      <c r="F10" s="1136"/>
      <c r="H10" s="1137" t="s">
        <v>29</v>
      </c>
      <c r="I10" s="1138"/>
      <c r="J10" s="1138"/>
      <c r="K10" s="1138"/>
      <c r="L10" s="1139"/>
      <c r="N10" s="1137" t="s">
        <v>137</v>
      </c>
      <c r="O10" s="1138"/>
      <c r="P10" s="1138"/>
      <c r="Q10" s="1138"/>
      <c r="R10" s="1139"/>
      <c r="T10" s="1137" t="s">
        <v>138</v>
      </c>
      <c r="U10" s="1138"/>
      <c r="V10" s="1138"/>
      <c r="W10" s="1138"/>
      <c r="X10" s="1139"/>
      <c r="Z10" s="1137" t="s">
        <v>139</v>
      </c>
      <c r="AA10" s="1138"/>
      <c r="AB10" s="1138"/>
      <c r="AC10" s="1138"/>
      <c r="AD10" s="1139"/>
      <c r="AF10" s="1137" t="s">
        <v>140</v>
      </c>
      <c r="AG10" s="1142"/>
      <c r="AH10" s="1142"/>
      <c r="AI10" s="1142"/>
      <c r="AJ10" s="1143"/>
      <c r="AL10" s="1137" t="s">
        <v>141</v>
      </c>
      <c r="AM10" s="1138"/>
      <c r="AN10" s="1138"/>
      <c r="AO10" s="1138"/>
      <c r="AP10" s="1139"/>
      <c r="AR10" s="1137" t="s">
        <v>142</v>
      </c>
      <c r="AS10" s="1138"/>
      <c r="AT10" s="1138"/>
      <c r="AU10" s="1138"/>
      <c r="AV10" s="1139"/>
      <c r="AX10" s="1137" t="s">
        <v>143</v>
      </c>
      <c r="AY10" s="1138"/>
      <c r="AZ10" s="1138"/>
      <c r="BA10" s="1138"/>
      <c r="BB10" s="1139"/>
      <c r="BD10" s="1137" t="s">
        <v>144</v>
      </c>
      <c r="BE10" s="1138"/>
      <c r="BF10" s="1138"/>
      <c r="BG10" s="1138"/>
      <c r="BH10" s="1139"/>
      <c r="BJ10" s="1137" t="s">
        <v>145</v>
      </c>
      <c r="BK10" s="1138"/>
      <c r="BL10" s="1138"/>
      <c r="BM10" s="1138"/>
      <c r="BN10" s="1139"/>
      <c r="BP10" s="1137" t="s">
        <v>50</v>
      </c>
      <c r="BQ10" s="1138"/>
      <c r="BR10" s="1138"/>
      <c r="BS10" s="1138"/>
      <c r="BT10" s="1139"/>
      <c r="BV10" s="1137" t="s">
        <v>52</v>
      </c>
      <c r="BW10" s="1138"/>
      <c r="BX10" s="1138"/>
      <c r="BY10" s="1138"/>
      <c r="BZ10" s="1139"/>
    </row>
    <row r="11" spans="2:78" ht="13">
      <c r="B11" s="777"/>
      <c r="D11" s="1144" t="s">
        <v>146</v>
      </c>
      <c r="E11" s="1144"/>
      <c r="F11" s="778"/>
      <c r="H11" s="779"/>
      <c r="I11" s="780"/>
      <c r="J11" s="1140" t="s">
        <v>146</v>
      </c>
      <c r="K11" s="1141"/>
      <c r="L11" s="781"/>
      <c r="N11" s="779"/>
      <c r="O11" s="780"/>
      <c r="P11" s="1140" t="s">
        <v>146</v>
      </c>
      <c r="Q11" s="1141"/>
      <c r="R11" s="781"/>
      <c r="T11" s="779"/>
      <c r="U11" s="780"/>
      <c r="V11" s="1140" t="s">
        <v>146</v>
      </c>
      <c r="W11" s="1141"/>
      <c r="X11" s="781"/>
      <c r="Z11" s="779"/>
      <c r="AA11" s="780"/>
      <c r="AB11" s="1140" t="s">
        <v>146</v>
      </c>
      <c r="AC11" s="1141"/>
      <c r="AD11" s="781"/>
      <c r="AF11" s="779"/>
      <c r="AG11" s="780"/>
      <c r="AH11" s="1140" t="s">
        <v>146</v>
      </c>
      <c r="AI11" s="1141"/>
      <c r="AJ11" s="781"/>
      <c r="AL11" s="779"/>
      <c r="AM11" s="780"/>
      <c r="AN11" s="1140" t="s">
        <v>146</v>
      </c>
      <c r="AO11" s="1141"/>
      <c r="AP11" s="781"/>
      <c r="AR11" s="779"/>
      <c r="AS11" s="780"/>
      <c r="AT11" s="1140" t="s">
        <v>146</v>
      </c>
      <c r="AU11" s="1141"/>
      <c r="AV11" s="781"/>
      <c r="AX11" s="779"/>
      <c r="AY11" s="780"/>
      <c r="AZ11" s="1140" t="s">
        <v>146</v>
      </c>
      <c r="BA11" s="1141"/>
      <c r="BB11" s="781"/>
      <c r="BD11" s="779"/>
      <c r="BE11" s="780"/>
      <c r="BF11" s="1140" t="s">
        <v>146</v>
      </c>
      <c r="BG11" s="1141"/>
      <c r="BH11" s="781"/>
      <c r="BJ11" s="779"/>
      <c r="BK11" s="780"/>
      <c r="BL11" s="1140" t="s">
        <v>146</v>
      </c>
      <c r="BM11" s="1141"/>
      <c r="BN11" s="781"/>
      <c r="BP11" s="779"/>
      <c r="BQ11" s="780"/>
      <c r="BR11" s="1140" t="s">
        <v>146</v>
      </c>
      <c r="BS11" s="1141"/>
      <c r="BT11" s="781"/>
      <c r="BV11" s="779"/>
      <c r="BW11" s="780"/>
      <c r="BX11" s="1140" t="s">
        <v>146</v>
      </c>
      <c r="BY11" s="1141"/>
      <c r="BZ11" s="781"/>
    </row>
    <row r="12" spans="2:78" ht="13.5" thickBot="1">
      <c r="B12" s="782" t="s">
        <v>27</v>
      </c>
      <c r="C12" s="783" t="s">
        <v>28</v>
      </c>
      <c r="D12" s="784" t="s">
        <v>71</v>
      </c>
      <c r="E12" s="784" t="s">
        <v>147</v>
      </c>
      <c r="F12" s="785" t="s">
        <v>148</v>
      </c>
      <c r="H12" s="786" t="s">
        <v>27</v>
      </c>
      <c r="I12" s="787" t="s">
        <v>28</v>
      </c>
      <c r="J12" s="788" t="s">
        <v>71</v>
      </c>
      <c r="K12" s="789" t="s">
        <v>147</v>
      </c>
      <c r="L12" s="790" t="s">
        <v>148</v>
      </c>
      <c r="N12" s="786" t="s">
        <v>27</v>
      </c>
      <c r="O12" s="787" t="s">
        <v>28</v>
      </c>
      <c r="P12" s="788" t="s">
        <v>71</v>
      </c>
      <c r="Q12" s="789" t="s">
        <v>147</v>
      </c>
      <c r="R12" s="790" t="s">
        <v>148</v>
      </c>
      <c r="T12" s="786" t="s">
        <v>27</v>
      </c>
      <c r="U12" s="787" t="s">
        <v>28</v>
      </c>
      <c r="V12" s="788" t="s">
        <v>71</v>
      </c>
      <c r="W12" s="789" t="s">
        <v>147</v>
      </c>
      <c r="X12" s="790" t="s">
        <v>148</v>
      </c>
      <c r="Z12" s="786" t="s">
        <v>27</v>
      </c>
      <c r="AA12" s="787" t="s">
        <v>28</v>
      </c>
      <c r="AB12" s="788" t="s">
        <v>71</v>
      </c>
      <c r="AC12" s="789" t="s">
        <v>147</v>
      </c>
      <c r="AD12" s="790" t="s">
        <v>148</v>
      </c>
      <c r="AF12" s="786" t="s">
        <v>27</v>
      </c>
      <c r="AG12" s="787" t="s">
        <v>28</v>
      </c>
      <c r="AH12" s="788" t="s">
        <v>71</v>
      </c>
      <c r="AI12" s="789" t="s">
        <v>147</v>
      </c>
      <c r="AJ12" s="790" t="s">
        <v>148</v>
      </c>
      <c r="AL12" s="786" t="s">
        <v>27</v>
      </c>
      <c r="AM12" s="787" t="s">
        <v>28</v>
      </c>
      <c r="AN12" s="788" t="s">
        <v>71</v>
      </c>
      <c r="AO12" s="789" t="s">
        <v>147</v>
      </c>
      <c r="AP12" s="790" t="s">
        <v>148</v>
      </c>
      <c r="AR12" s="786" t="s">
        <v>27</v>
      </c>
      <c r="AS12" s="787" t="s">
        <v>28</v>
      </c>
      <c r="AT12" s="788" t="s">
        <v>71</v>
      </c>
      <c r="AU12" s="789" t="s">
        <v>147</v>
      </c>
      <c r="AV12" s="790" t="s">
        <v>148</v>
      </c>
      <c r="AX12" s="786" t="s">
        <v>27</v>
      </c>
      <c r="AY12" s="787" t="s">
        <v>28</v>
      </c>
      <c r="AZ12" s="788" t="s">
        <v>71</v>
      </c>
      <c r="BA12" s="789" t="s">
        <v>147</v>
      </c>
      <c r="BB12" s="790" t="s">
        <v>148</v>
      </c>
      <c r="BD12" s="786" t="s">
        <v>27</v>
      </c>
      <c r="BE12" s="787" t="s">
        <v>28</v>
      </c>
      <c r="BF12" s="788" t="s">
        <v>71</v>
      </c>
      <c r="BG12" s="789" t="s">
        <v>147</v>
      </c>
      <c r="BH12" s="790" t="s">
        <v>148</v>
      </c>
      <c r="BJ12" s="786" t="s">
        <v>27</v>
      </c>
      <c r="BK12" s="787" t="s">
        <v>28</v>
      </c>
      <c r="BL12" s="788" t="s">
        <v>71</v>
      </c>
      <c r="BM12" s="789" t="s">
        <v>147</v>
      </c>
      <c r="BN12" s="790" t="s">
        <v>148</v>
      </c>
      <c r="BP12" s="786" t="s">
        <v>27</v>
      </c>
      <c r="BQ12" s="787" t="s">
        <v>28</v>
      </c>
      <c r="BR12" s="788" t="s">
        <v>71</v>
      </c>
      <c r="BS12" s="789" t="s">
        <v>147</v>
      </c>
      <c r="BT12" s="790" t="s">
        <v>148</v>
      </c>
      <c r="BV12" s="786" t="s">
        <v>27</v>
      </c>
      <c r="BW12" s="787" t="s">
        <v>28</v>
      </c>
      <c r="BX12" s="788" t="s">
        <v>71</v>
      </c>
      <c r="BY12" s="789" t="s">
        <v>147</v>
      </c>
      <c r="BZ12" s="790" t="s">
        <v>148</v>
      </c>
    </row>
    <row r="13" spans="2:78" ht="4.5" customHeight="1">
      <c r="B13" s="1040"/>
      <c r="C13" s="791"/>
      <c r="D13" s="792"/>
      <c r="E13" s="793"/>
      <c r="F13" s="792"/>
      <c r="H13" s="1040"/>
      <c r="I13" s="791"/>
      <c r="J13" s="1040"/>
      <c r="K13" s="791"/>
      <c r="L13" s="1040"/>
      <c r="N13" s="1040"/>
      <c r="O13" s="791"/>
      <c r="P13" s="1040"/>
      <c r="Q13" s="791"/>
      <c r="R13" s="1040"/>
      <c r="T13" s="1040"/>
      <c r="U13" s="791"/>
      <c r="V13" s="1040"/>
      <c r="W13" s="791"/>
      <c r="X13" s="1040"/>
      <c r="Z13" s="1040"/>
      <c r="AA13" s="791"/>
      <c r="AB13" s="1040"/>
      <c r="AC13" s="791"/>
      <c r="AD13" s="1040"/>
      <c r="AF13" s="1040"/>
      <c r="AG13" s="791"/>
      <c r="AH13" s="1040"/>
      <c r="AI13" s="791"/>
      <c r="AJ13" s="1040"/>
      <c r="AL13" s="1040"/>
      <c r="AM13" s="791"/>
      <c r="AN13" s="1040"/>
      <c r="AO13" s="791"/>
      <c r="AP13" s="1040"/>
      <c r="AR13" s="1040"/>
      <c r="AS13" s="791"/>
      <c r="AT13" s="1040"/>
      <c r="AU13" s="791"/>
      <c r="AV13" s="1040"/>
      <c r="AX13" s="1040"/>
      <c r="AY13" s="791"/>
      <c r="AZ13" s="1040"/>
      <c r="BA13" s="791"/>
      <c r="BB13" s="1040"/>
      <c r="BD13" s="1040"/>
      <c r="BE13" s="791"/>
      <c r="BF13" s="1040"/>
      <c r="BG13" s="791"/>
      <c r="BH13" s="1040"/>
      <c r="BJ13" s="1040"/>
      <c r="BK13" s="791"/>
      <c r="BL13" s="1040"/>
      <c r="BM13" s="791"/>
      <c r="BN13" s="1040"/>
      <c r="BP13" s="1040"/>
      <c r="BQ13" s="791"/>
      <c r="BR13" s="1040"/>
      <c r="BS13" s="791"/>
      <c r="BT13" s="1040"/>
      <c r="BV13" s="1040"/>
      <c r="BW13" s="791"/>
      <c r="BX13" s="1040"/>
      <c r="BY13" s="791"/>
      <c r="BZ13" s="1040"/>
    </row>
    <row r="14" spans="2:78" ht="13">
      <c r="B14" s="770" t="s">
        <v>149</v>
      </c>
      <c r="C14" s="791"/>
      <c r="D14" s="766">
        <f>SUMIF('Min Rent Plan'!F$14:F$53,"Occupied",'Min Rent Plan'!H$14:H$53)</f>
        <v>63153</v>
      </c>
      <c r="E14" s="766">
        <f>+'Min Rent Plan'!H56</f>
        <v>64353</v>
      </c>
      <c r="H14" s="767" t="s">
        <v>149</v>
      </c>
      <c r="I14" s="767"/>
      <c r="J14" s="766">
        <v>63153</v>
      </c>
      <c r="K14" s="766">
        <v>64353</v>
      </c>
      <c r="L14" s="766"/>
      <c r="M14" s="766"/>
      <c r="N14" s="767" t="s">
        <v>149</v>
      </c>
      <c r="O14" s="767"/>
      <c r="P14" s="766">
        <v>63153</v>
      </c>
      <c r="Q14" s="766">
        <v>64353</v>
      </c>
      <c r="R14" s="766"/>
      <c r="S14" s="766"/>
      <c r="T14" s="767" t="s">
        <v>149</v>
      </c>
      <c r="U14" s="767"/>
      <c r="V14" s="766">
        <v>63153</v>
      </c>
      <c r="W14" s="766">
        <v>64353</v>
      </c>
      <c r="X14" s="766"/>
      <c r="Y14" s="766"/>
      <c r="Z14" s="767" t="s">
        <v>149</v>
      </c>
      <c r="AA14" s="767"/>
      <c r="AB14" s="766">
        <v>63153</v>
      </c>
      <c r="AC14" s="766">
        <v>64353</v>
      </c>
      <c r="AD14" s="766"/>
      <c r="AE14" s="766"/>
      <c r="AF14" s="767" t="s">
        <v>149</v>
      </c>
      <c r="AG14" s="767"/>
      <c r="AH14" s="766">
        <v>63153</v>
      </c>
      <c r="AI14" s="766">
        <v>64353</v>
      </c>
      <c r="AJ14" s="766"/>
      <c r="AK14" s="766"/>
      <c r="AL14" s="767" t="s">
        <v>149</v>
      </c>
      <c r="AM14" s="767"/>
      <c r="AN14" s="766">
        <v>63153</v>
      </c>
      <c r="AO14" s="766">
        <v>64353</v>
      </c>
      <c r="AP14" s="766"/>
      <c r="AQ14" s="766"/>
      <c r="AR14" s="767" t="s">
        <v>149</v>
      </c>
      <c r="AS14" s="767"/>
      <c r="AT14" s="766">
        <v>63153</v>
      </c>
      <c r="AU14" s="766">
        <v>64353</v>
      </c>
      <c r="AV14" s="766"/>
      <c r="AW14" s="766"/>
      <c r="AX14" s="767" t="s">
        <v>149</v>
      </c>
      <c r="AY14" s="767"/>
      <c r="AZ14" s="766">
        <v>63153</v>
      </c>
      <c r="BA14" s="766">
        <v>64353</v>
      </c>
      <c r="BB14" s="766"/>
      <c r="BC14" s="766"/>
      <c r="BD14" s="767" t="s">
        <v>149</v>
      </c>
      <c r="BE14" s="767"/>
      <c r="BF14" s="766">
        <v>63153</v>
      </c>
      <c r="BG14" s="766">
        <v>64353</v>
      </c>
      <c r="BH14" s="766"/>
      <c r="BI14" s="766"/>
      <c r="BJ14" s="767" t="s">
        <v>149</v>
      </c>
      <c r="BK14" s="767"/>
      <c r="BL14" s="766">
        <v>63153</v>
      </c>
      <c r="BM14" s="766">
        <v>64353</v>
      </c>
      <c r="BN14" s="766"/>
      <c r="BO14" s="766"/>
      <c r="BP14" s="767" t="s">
        <v>149</v>
      </c>
      <c r="BQ14" s="767"/>
      <c r="BR14" s="766">
        <v>63153</v>
      </c>
      <c r="BS14" s="766">
        <v>64353</v>
      </c>
      <c r="BT14" s="766"/>
      <c r="BU14" s="766"/>
      <c r="BV14" s="767" t="s">
        <v>149</v>
      </c>
      <c r="BW14" s="767"/>
      <c r="BX14" s="766">
        <v>63153</v>
      </c>
      <c r="BY14" s="766">
        <v>64353</v>
      </c>
      <c r="BZ14" s="766"/>
    </row>
    <row r="15" spans="2:78" ht="6" customHeight="1">
      <c r="B15" s="770"/>
      <c r="C15" s="791"/>
      <c r="H15" s="767"/>
      <c r="I15" s="767"/>
      <c r="J15" s="766"/>
      <c r="K15" s="766"/>
      <c r="L15" s="766"/>
      <c r="M15" s="766"/>
      <c r="N15" s="767"/>
      <c r="O15" s="767"/>
      <c r="P15" s="766"/>
      <c r="Q15" s="766"/>
      <c r="R15" s="766"/>
      <c r="S15" s="766"/>
      <c r="T15" s="767"/>
      <c r="U15" s="767"/>
      <c r="V15" s="766"/>
      <c r="W15" s="766"/>
      <c r="X15" s="766"/>
      <c r="Y15" s="766"/>
      <c r="Z15" s="767"/>
      <c r="AA15" s="767"/>
      <c r="AB15" s="766"/>
      <c r="AC15" s="766"/>
      <c r="AD15" s="766"/>
      <c r="AE15" s="766"/>
      <c r="AF15" s="767"/>
      <c r="AG15" s="767"/>
      <c r="AH15" s="766"/>
      <c r="AI15" s="766"/>
      <c r="AJ15" s="766"/>
      <c r="AK15" s="766"/>
      <c r="AL15" s="767"/>
      <c r="AM15" s="767"/>
      <c r="AN15" s="766"/>
      <c r="AO15" s="766"/>
      <c r="AP15" s="766"/>
      <c r="AQ15" s="766"/>
      <c r="AR15" s="767"/>
      <c r="AS15" s="767"/>
      <c r="AT15" s="766"/>
      <c r="AU15" s="766"/>
      <c r="AV15" s="766"/>
      <c r="AW15" s="766"/>
      <c r="AX15" s="767"/>
      <c r="AY15" s="767"/>
      <c r="AZ15" s="766"/>
      <c r="BA15" s="766"/>
      <c r="BB15" s="766"/>
      <c r="BC15" s="766"/>
      <c r="BD15" s="767"/>
      <c r="BE15" s="767"/>
      <c r="BF15" s="766"/>
      <c r="BG15" s="766"/>
      <c r="BH15" s="766"/>
      <c r="BI15" s="766"/>
      <c r="BJ15" s="767"/>
      <c r="BK15" s="767"/>
      <c r="BL15" s="766"/>
      <c r="BM15" s="766"/>
      <c r="BN15" s="766"/>
      <c r="BO15" s="766"/>
      <c r="BP15" s="767"/>
      <c r="BQ15" s="767"/>
      <c r="BR15" s="766"/>
      <c r="BS15" s="766"/>
      <c r="BT15" s="766"/>
      <c r="BU15" s="766"/>
      <c r="BV15" s="767"/>
      <c r="BW15" s="767"/>
      <c r="BX15" s="766"/>
      <c r="BY15" s="766"/>
      <c r="BZ15" s="766"/>
    </row>
    <row r="16" spans="2:78" ht="13">
      <c r="B16" s="794" t="s">
        <v>150</v>
      </c>
      <c r="C16" s="791"/>
      <c r="H16" s="794" t="s">
        <v>150</v>
      </c>
      <c r="I16" s="767"/>
      <c r="J16" s="766"/>
      <c r="K16" s="766"/>
      <c r="L16" s="766"/>
      <c r="M16" s="766"/>
      <c r="N16" s="794" t="s">
        <v>150</v>
      </c>
      <c r="O16" s="767"/>
      <c r="P16" s="766"/>
      <c r="Q16" s="766"/>
      <c r="R16" s="766"/>
      <c r="S16" s="766"/>
      <c r="T16" s="794" t="s">
        <v>150</v>
      </c>
      <c r="U16" s="767"/>
      <c r="V16" s="766"/>
      <c r="W16" s="766"/>
      <c r="X16" s="766"/>
      <c r="Y16" s="766"/>
      <c r="Z16" s="794" t="s">
        <v>150</v>
      </c>
      <c r="AA16" s="767"/>
      <c r="AB16" s="766"/>
      <c r="AC16" s="766"/>
      <c r="AD16" s="766"/>
      <c r="AE16" s="766"/>
      <c r="AF16" s="794" t="s">
        <v>150</v>
      </c>
      <c r="AG16" s="767"/>
      <c r="AH16" s="766"/>
      <c r="AI16" s="766"/>
      <c r="AJ16" s="766"/>
      <c r="AK16" s="766"/>
      <c r="AL16" s="794" t="s">
        <v>150</v>
      </c>
      <c r="AM16" s="767"/>
      <c r="AN16" s="766"/>
      <c r="AO16" s="766"/>
      <c r="AP16" s="766"/>
      <c r="AQ16" s="766"/>
      <c r="AR16" s="794" t="s">
        <v>150</v>
      </c>
      <c r="AS16" s="767"/>
      <c r="AT16" s="766"/>
      <c r="AU16" s="766"/>
      <c r="AV16" s="766"/>
      <c r="AW16" s="766"/>
      <c r="AX16" s="794" t="s">
        <v>150</v>
      </c>
      <c r="AY16" s="767"/>
      <c r="AZ16" s="766"/>
      <c r="BA16" s="766"/>
      <c r="BB16" s="766"/>
      <c r="BC16" s="766"/>
      <c r="BD16" s="794" t="s">
        <v>150</v>
      </c>
      <c r="BE16" s="767"/>
      <c r="BF16" s="766"/>
      <c r="BG16" s="766"/>
      <c r="BH16" s="766"/>
      <c r="BI16" s="766"/>
      <c r="BJ16" s="794" t="s">
        <v>150</v>
      </c>
      <c r="BK16" s="767"/>
      <c r="BL16" s="766"/>
      <c r="BM16" s="766"/>
      <c r="BN16" s="766"/>
      <c r="BO16" s="766"/>
      <c r="BP16" s="794" t="s">
        <v>150</v>
      </c>
      <c r="BQ16" s="767"/>
      <c r="BR16" s="766"/>
      <c r="BS16" s="766"/>
      <c r="BT16" s="766"/>
      <c r="BU16" s="766"/>
      <c r="BV16" s="794" t="s">
        <v>150</v>
      </c>
      <c r="BW16" s="767"/>
      <c r="BX16" s="766"/>
      <c r="BY16" s="766"/>
      <c r="BZ16" s="766"/>
    </row>
    <row r="17" spans="1:78" ht="5.25" customHeight="1">
      <c r="B17" s="767"/>
      <c r="C17" s="791"/>
      <c r="H17" s="1040"/>
      <c r="I17" s="791"/>
      <c r="J17" s="792"/>
      <c r="K17" s="793"/>
      <c r="L17" s="792"/>
      <c r="M17" s="766"/>
      <c r="N17" s="792"/>
      <c r="O17" s="793"/>
      <c r="P17" s="792"/>
      <c r="Q17" s="793"/>
      <c r="R17" s="792"/>
      <c r="S17" s="766"/>
      <c r="T17" s="792"/>
      <c r="U17" s="793"/>
      <c r="V17" s="792"/>
      <c r="W17" s="793"/>
      <c r="X17" s="792"/>
      <c r="Y17" s="766"/>
      <c r="Z17" s="792"/>
      <c r="AA17" s="793"/>
      <c r="AB17" s="792"/>
      <c r="AC17" s="793"/>
      <c r="AD17" s="792"/>
      <c r="AE17" s="766"/>
      <c r="AF17" s="792"/>
      <c r="AG17" s="793"/>
      <c r="AH17" s="792"/>
      <c r="AI17" s="793"/>
      <c r="AJ17" s="792"/>
      <c r="AK17" s="766"/>
      <c r="AL17" s="792"/>
      <c r="AM17" s="793"/>
      <c r="AN17" s="792"/>
      <c r="AO17" s="793"/>
      <c r="AP17" s="792"/>
      <c r="AQ17" s="766"/>
      <c r="AR17" s="792"/>
      <c r="AS17" s="793"/>
      <c r="AT17" s="792"/>
      <c r="AU17" s="793"/>
      <c r="AV17" s="792"/>
      <c r="AW17" s="766"/>
      <c r="AX17" s="792"/>
      <c r="AY17" s="793"/>
      <c r="AZ17" s="792"/>
      <c r="BA17" s="793"/>
      <c r="BB17" s="792"/>
      <c r="BC17" s="766"/>
      <c r="BD17" s="792"/>
      <c r="BE17" s="793"/>
      <c r="BF17" s="792"/>
      <c r="BG17" s="793"/>
      <c r="BH17" s="792"/>
      <c r="BI17" s="766"/>
      <c r="BJ17" s="792"/>
      <c r="BK17" s="793"/>
      <c r="BL17" s="792"/>
      <c r="BM17" s="793"/>
      <c r="BN17" s="792"/>
      <c r="BO17" s="766"/>
      <c r="BP17" s="792"/>
      <c r="BQ17" s="793"/>
      <c r="BR17" s="792"/>
      <c r="BS17" s="793"/>
      <c r="BT17" s="792"/>
      <c r="BU17" s="766"/>
      <c r="BV17" s="792"/>
      <c r="BW17" s="793"/>
      <c r="BX17" s="792"/>
      <c r="BY17" s="793"/>
      <c r="BZ17" s="792"/>
    </row>
    <row r="18" spans="1:78" ht="12.75" customHeight="1">
      <c r="B18" s="795" t="s">
        <v>151</v>
      </c>
      <c r="C18" s="791"/>
      <c r="H18" s="795" t="s">
        <v>151</v>
      </c>
      <c r="I18" s="791"/>
      <c r="J18" s="796">
        <f>SUM(J14:J17)</f>
        <v>63153</v>
      </c>
      <c r="K18" s="796">
        <f>SUM(K14:K17)</f>
        <v>64353</v>
      </c>
      <c r="L18" s="792"/>
      <c r="M18" s="766"/>
      <c r="N18" s="795" t="s">
        <v>151</v>
      </c>
      <c r="O18" s="793"/>
      <c r="P18" s="796">
        <f>+J18+SUM(P14:P16)</f>
        <v>126306</v>
      </c>
      <c r="Q18" s="796">
        <f>+K18+SUM(Q14:Q16)</f>
        <v>128706</v>
      </c>
      <c r="R18" s="792"/>
      <c r="S18" s="766"/>
      <c r="T18" s="795" t="s">
        <v>151</v>
      </c>
      <c r="U18" s="793"/>
      <c r="V18" s="796">
        <f>+P18+SUM(V14:V16)</f>
        <v>189459</v>
      </c>
      <c r="W18" s="796">
        <f>+Q18+SUM(W14:W16)</f>
        <v>193059</v>
      </c>
      <c r="X18" s="792"/>
      <c r="Y18" s="766"/>
      <c r="Z18" s="795" t="s">
        <v>151</v>
      </c>
      <c r="AA18" s="793"/>
      <c r="AB18" s="796">
        <f>+V18+SUM(AB14:AB16)</f>
        <v>252612</v>
      </c>
      <c r="AC18" s="796">
        <f>+W18+SUM(AC14:AC16)</f>
        <v>257412</v>
      </c>
      <c r="AD18" s="792"/>
      <c r="AE18" s="766"/>
      <c r="AF18" s="795" t="s">
        <v>151</v>
      </c>
      <c r="AG18" s="793"/>
      <c r="AH18" s="796">
        <f>+AB18+SUM(AH14:AH16)</f>
        <v>315765</v>
      </c>
      <c r="AI18" s="796">
        <f>+AC18+SUM(AI14:AI16)</f>
        <v>321765</v>
      </c>
      <c r="AJ18" s="792"/>
      <c r="AK18" s="766"/>
      <c r="AL18" s="795" t="s">
        <v>151</v>
      </c>
      <c r="AM18" s="793"/>
      <c r="AN18" s="796">
        <f>+AH18+SUM(AN14:AN16)</f>
        <v>378918</v>
      </c>
      <c r="AO18" s="796">
        <f>+AI18+SUM(AO14:AO16)</f>
        <v>386118</v>
      </c>
      <c r="AP18" s="792"/>
      <c r="AQ18" s="766"/>
      <c r="AR18" s="795" t="s">
        <v>151</v>
      </c>
      <c r="AS18" s="793"/>
      <c r="AT18" s="796">
        <f>+AN18+SUM(AT14:AT16)</f>
        <v>442071</v>
      </c>
      <c r="AU18" s="796">
        <f>+AO18+SUM(AU14:AU16)</f>
        <v>450471</v>
      </c>
      <c r="AV18" s="792"/>
      <c r="AW18" s="766"/>
      <c r="AX18" s="795" t="s">
        <v>151</v>
      </c>
      <c r="AY18" s="793"/>
      <c r="AZ18" s="796">
        <f>+AT18+SUM(AZ14:AZ16)</f>
        <v>505224</v>
      </c>
      <c r="BA18" s="796">
        <f>+AU18+SUM(BA14:BA16)</f>
        <v>514824</v>
      </c>
      <c r="BB18" s="792"/>
      <c r="BC18" s="766"/>
      <c r="BD18" s="795" t="s">
        <v>151</v>
      </c>
      <c r="BE18" s="793"/>
      <c r="BF18" s="796">
        <f>+AZ18+SUM(BF14:BF16)</f>
        <v>568377</v>
      </c>
      <c r="BG18" s="796">
        <f>+BA18+SUM(BG14:BG16)</f>
        <v>579177</v>
      </c>
      <c r="BH18" s="792"/>
      <c r="BI18" s="766"/>
      <c r="BJ18" s="795" t="s">
        <v>151</v>
      </c>
      <c r="BK18" s="793"/>
      <c r="BL18" s="796">
        <f>+BF18+SUM(BL14:BL16)</f>
        <v>631530</v>
      </c>
      <c r="BM18" s="796">
        <f>+BG18+SUM(BM14:BM16)</f>
        <v>643530</v>
      </c>
      <c r="BN18" s="792"/>
      <c r="BO18" s="766"/>
      <c r="BP18" s="795" t="s">
        <v>151</v>
      </c>
      <c r="BQ18" s="793"/>
      <c r="BR18" s="796">
        <f>+BL18+SUM(BR14:BR16)</f>
        <v>694683</v>
      </c>
      <c r="BS18" s="796">
        <f>+BM18+SUM(BS14:BS16)</f>
        <v>707883</v>
      </c>
      <c r="BT18" s="792"/>
      <c r="BU18" s="766"/>
      <c r="BV18" s="795" t="s">
        <v>151</v>
      </c>
      <c r="BW18" s="793"/>
      <c r="BX18" s="796">
        <f>+BR18+SUM(BX14:BX16)</f>
        <v>757836</v>
      </c>
      <c r="BY18" s="796">
        <f>+BS18+SUM(BY14:BY16)</f>
        <v>772236</v>
      </c>
      <c r="BZ18" s="792"/>
    </row>
    <row r="19" spans="1:78" ht="5.25" customHeight="1">
      <c r="B19" s="767"/>
      <c r="C19" s="791"/>
      <c r="H19" s="1040"/>
      <c r="I19" s="791"/>
      <c r="J19" s="792"/>
      <c r="K19" s="793"/>
      <c r="L19" s="792"/>
      <c r="M19" s="766"/>
      <c r="N19" s="792"/>
      <c r="O19" s="793"/>
      <c r="P19" s="792"/>
      <c r="Q19" s="793"/>
      <c r="R19" s="792"/>
      <c r="S19" s="766"/>
      <c r="T19" s="792"/>
      <c r="U19" s="793"/>
      <c r="V19" s="792"/>
      <c r="W19" s="793"/>
      <c r="X19" s="792"/>
      <c r="Y19" s="766"/>
      <c r="Z19" s="792"/>
      <c r="AA19" s="793"/>
      <c r="AB19" s="792"/>
      <c r="AC19" s="793"/>
      <c r="AD19" s="792"/>
      <c r="AE19" s="766"/>
      <c r="AF19" s="792"/>
      <c r="AG19" s="793"/>
      <c r="AH19" s="792"/>
      <c r="AI19" s="793"/>
      <c r="AJ19" s="792"/>
      <c r="AK19" s="766"/>
      <c r="AL19" s="792"/>
      <c r="AM19" s="793"/>
      <c r="AN19" s="792"/>
      <c r="AO19" s="793"/>
      <c r="AP19" s="792"/>
      <c r="AQ19" s="766"/>
      <c r="AR19" s="792"/>
      <c r="AS19" s="793"/>
      <c r="AT19" s="792"/>
      <c r="AU19" s="793"/>
      <c r="AV19" s="792"/>
      <c r="AW19" s="766"/>
      <c r="AX19" s="792"/>
      <c r="AY19" s="793"/>
      <c r="AZ19" s="792"/>
      <c r="BA19" s="793"/>
      <c r="BB19" s="792"/>
      <c r="BC19" s="766"/>
      <c r="BD19" s="792"/>
      <c r="BE19" s="793"/>
      <c r="BF19" s="792"/>
      <c r="BG19" s="793"/>
      <c r="BH19" s="792"/>
      <c r="BI19" s="766"/>
      <c r="BJ19" s="792"/>
      <c r="BK19" s="793"/>
      <c r="BL19" s="792"/>
      <c r="BM19" s="793"/>
      <c r="BN19" s="792"/>
      <c r="BO19" s="766"/>
      <c r="BP19" s="792"/>
      <c r="BQ19" s="793"/>
      <c r="BR19" s="792"/>
      <c r="BS19" s="793"/>
      <c r="BT19" s="792"/>
      <c r="BU19" s="766"/>
      <c r="BV19" s="792"/>
      <c r="BW19" s="793"/>
      <c r="BX19" s="792"/>
      <c r="BY19" s="793"/>
      <c r="BZ19" s="792"/>
    </row>
    <row r="20" spans="1:78" ht="5.25" customHeight="1">
      <c r="B20" s="767"/>
      <c r="C20" s="791"/>
      <c r="H20" s="1040"/>
      <c r="I20" s="791"/>
      <c r="J20" s="792"/>
      <c r="K20" s="793"/>
      <c r="L20" s="792"/>
      <c r="M20" s="766"/>
      <c r="N20" s="792"/>
      <c r="O20" s="793"/>
      <c r="P20" s="792"/>
      <c r="Q20" s="793"/>
      <c r="R20" s="792"/>
      <c r="S20" s="766"/>
      <c r="T20" s="792"/>
      <c r="U20" s="793"/>
      <c r="V20" s="792"/>
      <c r="W20" s="793"/>
      <c r="X20" s="792"/>
      <c r="Y20" s="766"/>
      <c r="Z20" s="792"/>
      <c r="AA20" s="793"/>
      <c r="AB20" s="792"/>
      <c r="AC20" s="793"/>
      <c r="AD20" s="792"/>
      <c r="AE20" s="766"/>
      <c r="AF20" s="792"/>
      <c r="AG20" s="793"/>
      <c r="AH20" s="792"/>
      <c r="AI20" s="793"/>
      <c r="AJ20" s="792"/>
      <c r="AK20" s="766"/>
      <c r="AL20" s="792"/>
      <c r="AM20" s="793"/>
      <c r="AN20" s="792"/>
      <c r="AO20" s="793"/>
      <c r="AP20" s="792"/>
      <c r="AQ20" s="766"/>
      <c r="AR20" s="792"/>
      <c r="AS20" s="793"/>
      <c r="AT20" s="792"/>
      <c r="AU20" s="793"/>
      <c r="AV20" s="792"/>
      <c r="AW20" s="766"/>
      <c r="AX20" s="792"/>
      <c r="AY20" s="793"/>
      <c r="AZ20" s="792"/>
      <c r="BA20" s="793"/>
      <c r="BB20" s="792"/>
      <c r="BC20" s="766"/>
      <c r="BD20" s="792"/>
      <c r="BE20" s="793"/>
      <c r="BF20" s="792"/>
      <c r="BG20" s="793"/>
      <c r="BH20" s="792"/>
      <c r="BI20" s="766"/>
      <c r="BJ20" s="792"/>
      <c r="BK20" s="793"/>
      <c r="BL20" s="792"/>
      <c r="BM20" s="793"/>
      <c r="BN20" s="792"/>
      <c r="BO20" s="766"/>
      <c r="BP20" s="792"/>
      <c r="BQ20" s="793"/>
      <c r="BR20" s="792"/>
      <c r="BS20" s="793"/>
      <c r="BT20" s="792"/>
      <c r="BU20" s="766"/>
      <c r="BV20" s="792"/>
      <c r="BW20" s="793"/>
      <c r="BX20" s="792"/>
      <c r="BY20" s="793"/>
      <c r="BZ20" s="792"/>
    </row>
    <row r="21" spans="1:78" ht="13">
      <c r="B21" s="1144" t="s">
        <v>152</v>
      </c>
      <c r="C21" s="1144"/>
      <c r="D21" s="1144"/>
      <c r="E21" s="1144"/>
      <c r="F21" s="1144"/>
      <c r="H21" s="1144" t="s">
        <v>152</v>
      </c>
      <c r="I21" s="1144"/>
      <c r="J21" s="1144"/>
      <c r="K21" s="1144"/>
      <c r="L21" s="1144"/>
      <c r="M21" s="766"/>
      <c r="N21" s="1144" t="s">
        <v>152</v>
      </c>
      <c r="O21" s="1144"/>
      <c r="P21" s="1144"/>
      <c r="Q21" s="1144"/>
      <c r="R21" s="1144"/>
      <c r="S21" s="766"/>
      <c r="T21" s="1144" t="s">
        <v>152</v>
      </c>
      <c r="U21" s="1144"/>
      <c r="V21" s="1144"/>
      <c r="W21" s="1144"/>
      <c r="X21" s="1144"/>
      <c r="Y21" s="766"/>
      <c r="Z21" s="1144" t="s">
        <v>152</v>
      </c>
      <c r="AA21" s="1144"/>
      <c r="AB21" s="1144"/>
      <c r="AC21" s="1144"/>
      <c r="AD21" s="1144"/>
      <c r="AE21" s="766"/>
      <c r="AF21" s="1144" t="s">
        <v>152</v>
      </c>
      <c r="AG21" s="1144"/>
      <c r="AH21" s="1144"/>
      <c r="AI21" s="1144"/>
      <c r="AJ21" s="1144"/>
      <c r="AK21" s="766"/>
      <c r="AL21" s="1144" t="s">
        <v>152</v>
      </c>
      <c r="AM21" s="1144"/>
      <c r="AN21" s="1144"/>
      <c r="AO21" s="1144"/>
      <c r="AP21" s="1144"/>
      <c r="AQ21" s="766"/>
      <c r="AR21" s="1144" t="s">
        <v>152</v>
      </c>
      <c r="AS21" s="1144"/>
      <c r="AT21" s="1144"/>
      <c r="AU21" s="1144"/>
      <c r="AV21" s="1144"/>
      <c r="AW21" s="766"/>
      <c r="AX21" s="1144" t="s">
        <v>152</v>
      </c>
      <c r="AY21" s="1144"/>
      <c r="AZ21" s="1144"/>
      <c r="BA21" s="1144"/>
      <c r="BB21" s="1144"/>
      <c r="BC21" s="766"/>
      <c r="BD21" s="1144" t="s">
        <v>152</v>
      </c>
      <c r="BE21" s="1144"/>
      <c r="BF21" s="1144"/>
      <c r="BG21" s="1144"/>
      <c r="BH21" s="1144"/>
      <c r="BI21" s="766"/>
      <c r="BJ21" s="1144" t="s">
        <v>152</v>
      </c>
      <c r="BK21" s="1144"/>
      <c r="BL21" s="1144"/>
      <c r="BM21" s="1144"/>
      <c r="BN21" s="1144"/>
      <c r="BO21" s="766"/>
      <c r="BP21" s="1144" t="s">
        <v>152</v>
      </c>
      <c r="BQ21" s="1144"/>
      <c r="BR21" s="1144"/>
      <c r="BS21" s="1144"/>
      <c r="BT21" s="1144"/>
      <c r="BU21" s="766"/>
      <c r="BV21" s="1144" t="s">
        <v>152</v>
      </c>
      <c r="BW21" s="1144"/>
      <c r="BX21" s="1144"/>
      <c r="BY21" s="1144"/>
      <c r="BZ21" s="1144"/>
    </row>
    <row r="22" spans="1:78">
      <c r="A22" s="666">
        <v>1</v>
      </c>
      <c r="B22" s="666" t="str">
        <f>VLOOKUP($A22,'Min Rent Plan'!$A$14:$I$41,3,FALSE)</f>
        <v>Bayside Cleaners</v>
      </c>
      <c r="C22" s="767" t="str">
        <f>VLOOKUP($A22,'Min Rent Plan'!$A$14:$I$41,7,FALSE)</f>
        <v>1056</v>
      </c>
      <c r="D22" s="766">
        <f t="shared" ref="D22:D31" si="0">IF(F22&gt;0,+E22,0)</f>
        <v>1500</v>
      </c>
      <c r="E22" s="666">
        <f>VLOOKUP($A22,'Min Rent Plan'!$A$14:$I$41,8,FALSE)</f>
        <v>1500</v>
      </c>
      <c r="F22" s="766">
        <f>VLOOKUP($A22,'Min Rent Plan'!$A$14:$I$41,9,FALSE)</f>
        <v>11843.75</v>
      </c>
      <c r="H22" s="666" t="s">
        <v>70</v>
      </c>
      <c r="I22" s="666" t="s">
        <v>72</v>
      </c>
      <c r="J22" s="766">
        <v>1500</v>
      </c>
      <c r="K22" s="766">
        <v>1500</v>
      </c>
      <c r="L22" s="766">
        <v>11388.75</v>
      </c>
      <c r="M22" s="766"/>
      <c r="N22" s="766" t="s">
        <v>70</v>
      </c>
      <c r="O22" s="766" t="s">
        <v>72</v>
      </c>
      <c r="P22" s="766">
        <v>1500</v>
      </c>
      <c r="Q22" s="766">
        <v>1500</v>
      </c>
      <c r="R22" s="766">
        <v>11388.75</v>
      </c>
      <c r="S22" s="766"/>
      <c r="T22" s="766" t="s">
        <v>70</v>
      </c>
      <c r="U22" s="766" t="s">
        <v>72</v>
      </c>
      <c r="V22" s="766">
        <v>1500</v>
      </c>
      <c r="W22" s="766">
        <v>1500</v>
      </c>
      <c r="X22" s="766">
        <v>11388.75</v>
      </c>
      <c r="Y22" s="766"/>
      <c r="Z22" s="666" t="s">
        <v>70</v>
      </c>
      <c r="AA22" s="666" t="s">
        <v>72</v>
      </c>
      <c r="AB22" s="766">
        <v>1500</v>
      </c>
      <c r="AC22" s="666">
        <v>1500</v>
      </c>
      <c r="AD22" s="766">
        <v>11388.75</v>
      </c>
      <c r="AE22" s="766"/>
      <c r="AF22" s="666" t="s">
        <v>70</v>
      </c>
      <c r="AG22" s="666" t="s">
        <v>72</v>
      </c>
      <c r="AH22" s="766">
        <v>1500</v>
      </c>
      <c r="AI22" s="666">
        <v>1500</v>
      </c>
      <c r="AJ22" s="766">
        <v>11388.75</v>
      </c>
      <c r="AK22" s="766"/>
      <c r="AL22" s="766" t="s">
        <v>70</v>
      </c>
      <c r="AM22" s="766" t="s">
        <v>72</v>
      </c>
      <c r="AN22" s="766">
        <v>1500</v>
      </c>
      <c r="AO22" s="766">
        <v>1500</v>
      </c>
      <c r="AP22" s="766">
        <v>11388.75</v>
      </c>
      <c r="AQ22" s="766"/>
      <c r="AR22" s="766" t="s">
        <v>70</v>
      </c>
      <c r="AS22" s="766" t="s">
        <v>72</v>
      </c>
      <c r="AT22" s="766">
        <v>1500</v>
      </c>
      <c r="AU22" s="766">
        <v>1500</v>
      </c>
      <c r="AV22" s="766">
        <v>11388.75</v>
      </c>
      <c r="AW22" s="766"/>
      <c r="AX22" s="766" t="s">
        <v>70</v>
      </c>
      <c r="AY22" s="766" t="s">
        <v>72</v>
      </c>
      <c r="AZ22" s="766">
        <v>1500</v>
      </c>
      <c r="BA22" s="766">
        <v>1500</v>
      </c>
      <c r="BB22" s="766">
        <v>11388.75</v>
      </c>
      <c r="BC22" s="766"/>
      <c r="BD22" s="766" t="s">
        <v>70</v>
      </c>
      <c r="BE22" s="766" t="s">
        <v>72</v>
      </c>
      <c r="BF22" s="766">
        <v>1500</v>
      </c>
      <c r="BG22" s="766">
        <v>1500</v>
      </c>
      <c r="BH22" s="766">
        <v>11388.75</v>
      </c>
      <c r="BI22" s="766"/>
      <c r="BJ22" s="766" t="s">
        <v>70</v>
      </c>
      <c r="BK22" s="766" t="s">
        <v>72</v>
      </c>
      <c r="BL22" s="766">
        <v>1500</v>
      </c>
      <c r="BM22" s="766">
        <v>1500</v>
      </c>
      <c r="BN22" s="766">
        <v>11388.75</v>
      </c>
      <c r="BO22" s="766"/>
      <c r="BP22" s="766" t="s">
        <v>70</v>
      </c>
      <c r="BQ22" s="766" t="s">
        <v>72</v>
      </c>
      <c r="BR22" s="766">
        <v>1500</v>
      </c>
      <c r="BS22" s="766">
        <v>1500</v>
      </c>
      <c r="BT22" s="766">
        <v>11388.75</v>
      </c>
      <c r="BU22" s="766"/>
      <c r="BV22" s="766" t="s">
        <v>70</v>
      </c>
      <c r="BW22" s="766" t="s">
        <v>72</v>
      </c>
      <c r="BX22" s="766">
        <v>1500</v>
      </c>
      <c r="BY22" s="766">
        <v>1500</v>
      </c>
      <c r="BZ22" s="766">
        <v>11843.75</v>
      </c>
    </row>
    <row r="23" spans="1:78">
      <c r="A23" s="666">
        <v>2</v>
      </c>
      <c r="B23" s="666" t="str">
        <f>VLOOKUP($A23,'Min Rent Plan'!$A$14:$I$41,3,FALSE)</f>
        <v>Carol Klein Fine Jewelry 1028</v>
      </c>
      <c r="C23" s="767" t="str">
        <f>VLOOKUP($A23,'Min Rent Plan'!$A$14:$I$41,7,FALSE)</f>
        <v>1028</v>
      </c>
      <c r="D23" s="766">
        <f t="shared" si="0"/>
        <v>1055</v>
      </c>
      <c r="E23" s="666">
        <f>VLOOKUP($A23,'Min Rent Plan'!$A$14:$I$41,8,FALSE)</f>
        <v>1055</v>
      </c>
      <c r="F23" s="766">
        <f>VLOOKUP($A23,'Min Rent Plan'!$A$14:$I$41,9,FALSE)</f>
        <v>5417.43</v>
      </c>
      <c r="H23" s="666" t="s">
        <v>74</v>
      </c>
      <c r="I23" s="666" t="s">
        <v>75</v>
      </c>
      <c r="J23" s="766">
        <v>1055</v>
      </c>
      <c r="K23" s="766">
        <v>1055</v>
      </c>
      <c r="L23" s="766">
        <v>5417.43</v>
      </c>
      <c r="M23" s="766"/>
      <c r="N23" s="766" t="s">
        <v>74</v>
      </c>
      <c r="O23" s="766" t="s">
        <v>75</v>
      </c>
      <c r="P23" s="766">
        <v>1055</v>
      </c>
      <c r="Q23" s="766">
        <v>1055</v>
      </c>
      <c r="R23" s="766">
        <v>5417.43</v>
      </c>
      <c r="S23" s="766"/>
      <c r="T23" s="766" t="s">
        <v>74</v>
      </c>
      <c r="U23" s="766" t="s">
        <v>75</v>
      </c>
      <c r="V23" s="766">
        <v>1055</v>
      </c>
      <c r="W23" s="766">
        <v>1055</v>
      </c>
      <c r="X23" s="766">
        <v>5417.43</v>
      </c>
      <c r="Y23" s="766"/>
      <c r="Z23" s="666" t="s">
        <v>74</v>
      </c>
      <c r="AA23" s="666" t="s">
        <v>75</v>
      </c>
      <c r="AB23" s="766">
        <v>1055</v>
      </c>
      <c r="AC23" s="666">
        <v>1055</v>
      </c>
      <c r="AD23" s="766">
        <v>5417.43</v>
      </c>
      <c r="AE23" s="766"/>
      <c r="AF23" s="666" t="s">
        <v>74</v>
      </c>
      <c r="AG23" s="666" t="s">
        <v>75</v>
      </c>
      <c r="AH23" s="766">
        <v>1055</v>
      </c>
      <c r="AI23" s="666">
        <v>1055</v>
      </c>
      <c r="AJ23" s="766">
        <v>5417.43</v>
      </c>
      <c r="AK23" s="766"/>
      <c r="AL23" s="766" t="s">
        <v>74</v>
      </c>
      <c r="AM23" s="766" t="s">
        <v>75</v>
      </c>
      <c r="AN23" s="766">
        <v>1055</v>
      </c>
      <c r="AO23" s="766">
        <v>1055</v>
      </c>
      <c r="AP23" s="766">
        <v>5417.43</v>
      </c>
      <c r="AQ23" s="766"/>
      <c r="AR23" s="766" t="s">
        <v>74</v>
      </c>
      <c r="AS23" s="766" t="s">
        <v>75</v>
      </c>
      <c r="AT23" s="766">
        <v>1055</v>
      </c>
      <c r="AU23" s="766">
        <v>1055</v>
      </c>
      <c r="AV23" s="766">
        <v>5417.43</v>
      </c>
      <c r="AW23" s="766"/>
      <c r="AX23" s="766" t="s">
        <v>74</v>
      </c>
      <c r="AY23" s="766" t="s">
        <v>75</v>
      </c>
      <c r="AZ23" s="766">
        <v>1055</v>
      </c>
      <c r="BA23" s="766">
        <v>1055</v>
      </c>
      <c r="BB23" s="766">
        <v>5417.43</v>
      </c>
      <c r="BC23" s="766"/>
      <c r="BD23" s="766" t="s">
        <v>74</v>
      </c>
      <c r="BE23" s="766" t="s">
        <v>75</v>
      </c>
      <c r="BF23" s="766">
        <v>1055</v>
      </c>
      <c r="BG23" s="766">
        <v>1055</v>
      </c>
      <c r="BH23" s="766">
        <v>5417.43</v>
      </c>
      <c r="BI23" s="766"/>
      <c r="BJ23" s="766" t="s">
        <v>74</v>
      </c>
      <c r="BK23" s="766" t="s">
        <v>75</v>
      </c>
      <c r="BL23" s="766">
        <v>1055</v>
      </c>
      <c r="BM23" s="766">
        <v>1055</v>
      </c>
      <c r="BN23" s="766">
        <v>5417.43</v>
      </c>
      <c r="BO23" s="766"/>
      <c r="BP23" s="766" t="s">
        <v>74</v>
      </c>
      <c r="BQ23" s="766" t="s">
        <v>75</v>
      </c>
      <c r="BR23" s="766">
        <v>1055</v>
      </c>
      <c r="BS23" s="766">
        <v>1055</v>
      </c>
      <c r="BT23" s="766">
        <v>5417.43</v>
      </c>
      <c r="BU23" s="766"/>
      <c r="BV23" s="766" t="s">
        <v>74</v>
      </c>
      <c r="BW23" s="766" t="s">
        <v>75</v>
      </c>
      <c r="BX23" s="766">
        <v>1055</v>
      </c>
      <c r="BY23" s="766">
        <v>1055</v>
      </c>
      <c r="BZ23" s="766">
        <v>5417.43</v>
      </c>
    </row>
    <row r="24" spans="1:78">
      <c r="A24" s="666">
        <v>3</v>
      </c>
      <c r="B24" s="666" t="str">
        <f>VLOOKUP($A24,'Min Rent Plan'!$A$14:$I$41,3,FALSE)</f>
        <v>Java City Bakery Café</v>
      </c>
      <c r="C24" s="767" t="str">
        <f>VLOOKUP($A24,'Min Rent Plan'!$A$14:$I$41,7,FALSE)</f>
        <v>1064</v>
      </c>
      <c r="D24" s="766">
        <f t="shared" si="0"/>
        <v>1320</v>
      </c>
      <c r="E24" s="666">
        <f>VLOOKUP($A24,'Min Rent Plan'!$A$14:$I$41,8,FALSE)</f>
        <v>1320</v>
      </c>
      <c r="F24" s="766">
        <f>VLOOKUP($A24,'Min Rent Plan'!$A$14:$I$41,9,FALSE)</f>
        <v>6490</v>
      </c>
      <c r="H24" s="666" t="s">
        <v>77</v>
      </c>
      <c r="I24" s="666" t="s">
        <v>78</v>
      </c>
      <c r="J24" s="766">
        <v>1320</v>
      </c>
      <c r="K24" s="766">
        <v>1320</v>
      </c>
      <c r="L24" s="766">
        <v>6490</v>
      </c>
      <c r="M24" s="766"/>
      <c r="N24" s="797" t="s">
        <v>77</v>
      </c>
      <c r="O24" s="766" t="s">
        <v>78</v>
      </c>
      <c r="P24" s="766">
        <v>1320</v>
      </c>
      <c r="Q24" s="766">
        <v>1320</v>
      </c>
      <c r="R24" s="766">
        <v>6490</v>
      </c>
      <c r="S24" s="766"/>
      <c r="T24" s="766" t="s">
        <v>77</v>
      </c>
      <c r="U24" s="766" t="s">
        <v>78</v>
      </c>
      <c r="V24" s="766">
        <v>1320</v>
      </c>
      <c r="W24" s="766">
        <v>1320</v>
      </c>
      <c r="X24" s="766">
        <v>6490</v>
      </c>
      <c r="Y24" s="766"/>
      <c r="Z24" s="666" t="s">
        <v>77</v>
      </c>
      <c r="AA24" s="666" t="s">
        <v>78</v>
      </c>
      <c r="AB24" s="766">
        <v>1320</v>
      </c>
      <c r="AC24" s="666">
        <v>1320</v>
      </c>
      <c r="AD24" s="766">
        <v>6490</v>
      </c>
      <c r="AE24" s="766"/>
      <c r="AF24" s="666" t="s">
        <v>77</v>
      </c>
      <c r="AG24" s="666" t="s">
        <v>78</v>
      </c>
      <c r="AH24" s="766">
        <v>1320</v>
      </c>
      <c r="AI24" s="666">
        <v>1320</v>
      </c>
      <c r="AJ24" s="766">
        <v>6490</v>
      </c>
      <c r="AK24" s="766"/>
      <c r="AL24" s="766" t="s">
        <v>77</v>
      </c>
      <c r="AM24" s="766" t="s">
        <v>78</v>
      </c>
      <c r="AN24" s="766">
        <v>1320</v>
      </c>
      <c r="AO24" s="766">
        <v>1320</v>
      </c>
      <c r="AP24" s="766">
        <v>6490</v>
      </c>
      <c r="AQ24" s="766"/>
      <c r="AR24" s="766" t="s">
        <v>77</v>
      </c>
      <c r="AS24" s="766" t="s">
        <v>78</v>
      </c>
      <c r="AT24" s="766">
        <v>1320</v>
      </c>
      <c r="AU24" s="766">
        <v>1320</v>
      </c>
      <c r="AV24" s="766">
        <v>6490</v>
      </c>
      <c r="AW24" s="766"/>
      <c r="AX24" s="766" t="s">
        <v>77</v>
      </c>
      <c r="AY24" s="766" t="s">
        <v>78</v>
      </c>
      <c r="AZ24" s="766">
        <v>1320</v>
      </c>
      <c r="BA24" s="766">
        <v>1320</v>
      </c>
      <c r="BB24" s="766">
        <v>6490</v>
      </c>
      <c r="BC24" s="766"/>
      <c r="BD24" s="766" t="s">
        <v>77</v>
      </c>
      <c r="BE24" s="766" t="s">
        <v>78</v>
      </c>
      <c r="BF24" s="766">
        <v>1320</v>
      </c>
      <c r="BG24" s="766">
        <v>1320</v>
      </c>
      <c r="BH24" s="766">
        <v>6490</v>
      </c>
      <c r="BI24" s="766"/>
      <c r="BJ24" s="766" t="s">
        <v>77</v>
      </c>
      <c r="BK24" s="766" t="s">
        <v>78</v>
      </c>
      <c r="BL24" s="766">
        <v>1320</v>
      </c>
      <c r="BM24" s="766">
        <v>1320</v>
      </c>
      <c r="BN24" s="766">
        <v>6490</v>
      </c>
      <c r="BO24" s="766"/>
      <c r="BP24" s="766" t="s">
        <v>77</v>
      </c>
      <c r="BQ24" s="766" t="s">
        <v>78</v>
      </c>
      <c r="BR24" s="766">
        <v>1320</v>
      </c>
      <c r="BS24" s="766">
        <v>1320</v>
      </c>
      <c r="BT24" s="766">
        <v>6490</v>
      </c>
      <c r="BU24" s="766"/>
      <c r="BV24" s="766" t="s">
        <v>77</v>
      </c>
      <c r="BW24" s="766" t="s">
        <v>78</v>
      </c>
      <c r="BX24" s="766">
        <v>1320</v>
      </c>
      <c r="BY24" s="766">
        <v>1320</v>
      </c>
      <c r="BZ24" s="766">
        <v>6490</v>
      </c>
    </row>
    <row r="25" spans="1:78">
      <c r="A25" s="666">
        <v>4</v>
      </c>
      <c r="B25" s="666" t="str">
        <f>VLOOKUP($A25,'Min Rent Plan'!$A$14:$I$41,3,FALSE)</f>
        <v>Just Alterations</v>
      </c>
      <c r="C25" s="767" t="str">
        <f>VLOOKUP($A25,'Min Rent Plan'!$A$14:$I$41,7,FALSE)</f>
        <v>1032A</v>
      </c>
      <c r="D25" s="766">
        <f t="shared" si="0"/>
        <v>650</v>
      </c>
      <c r="E25" s="666">
        <f>VLOOKUP($A25,'Min Rent Plan'!$A$14:$I$41,8,FALSE)</f>
        <v>650</v>
      </c>
      <c r="F25" s="766">
        <f>VLOOKUP($A25,'Min Rent Plan'!$A$14:$I$41,9,FALSE)</f>
        <v>3690.92</v>
      </c>
      <c r="H25" s="666" t="s">
        <v>80</v>
      </c>
      <c r="I25" s="666" t="s">
        <v>81</v>
      </c>
      <c r="J25" s="766">
        <v>650</v>
      </c>
      <c r="K25" s="766">
        <v>650</v>
      </c>
      <c r="L25" s="766">
        <v>3549</v>
      </c>
      <c r="M25" s="766"/>
      <c r="N25" s="766" t="s">
        <v>80</v>
      </c>
      <c r="O25" s="766" t="s">
        <v>81</v>
      </c>
      <c r="P25" s="766">
        <v>650</v>
      </c>
      <c r="Q25" s="766">
        <v>650</v>
      </c>
      <c r="R25" s="766">
        <v>3549</v>
      </c>
      <c r="S25" s="766"/>
      <c r="T25" s="766" t="s">
        <v>80</v>
      </c>
      <c r="U25" s="766" t="s">
        <v>81</v>
      </c>
      <c r="V25" s="766">
        <v>650</v>
      </c>
      <c r="W25" s="766">
        <v>650</v>
      </c>
      <c r="X25" s="766">
        <v>3549</v>
      </c>
      <c r="Y25" s="766"/>
      <c r="Z25" s="666" t="s">
        <v>80</v>
      </c>
      <c r="AA25" s="666" t="s">
        <v>81</v>
      </c>
      <c r="AB25" s="766">
        <v>650</v>
      </c>
      <c r="AC25" s="666">
        <v>650</v>
      </c>
      <c r="AD25" s="766">
        <v>3549</v>
      </c>
      <c r="AE25" s="766"/>
      <c r="AF25" s="666" t="s">
        <v>80</v>
      </c>
      <c r="AG25" s="666" t="s">
        <v>81</v>
      </c>
      <c r="AH25" s="766">
        <v>650</v>
      </c>
      <c r="AI25" s="666">
        <v>650</v>
      </c>
      <c r="AJ25" s="766">
        <v>3549</v>
      </c>
      <c r="AK25" s="766"/>
      <c r="AL25" s="766" t="s">
        <v>80</v>
      </c>
      <c r="AM25" s="766" t="s">
        <v>81</v>
      </c>
      <c r="AN25" s="766">
        <v>650</v>
      </c>
      <c r="AO25" s="766">
        <v>650</v>
      </c>
      <c r="AP25" s="766">
        <v>3690.92</v>
      </c>
      <c r="AQ25" s="766"/>
      <c r="AR25" s="766" t="s">
        <v>80</v>
      </c>
      <c r="AS25" s="766" t="s">
        <v>81</v>
      </c>
      <c r="AT25" s="766">
        <v>650</v>
      </c>
      <c r="AU25" s="766">
        <v>650</v>
      </c>
      <c r="AV25" s="766">
        <v>3690.92</v>
      </c>
      <c r="AW25" s="766"/>
      <c r="AX25" s="766" t="s">
        <v>80</v>
      </c>
      <c r="AY25" s="766" t="s">
        <v>81</v>
      </c>
      <c r="AZ25" s="766">
        <v>650</v>
      </c>
      <c r="BA25" s="766">
        <v>650</v>
      </c>
      <c r="BB25" s="766">
        <v>3690.92</v>
      </c>
      <c r="BC25" s="766"/>
      <c r="BD25" s="766" t="s">
        <v>80</v>
      </c>
      <c r="BE25" s="766" t="s">
        <v>81</v>
      </c>
      <c r="BF25" s="766">
        <v>650</v>
      </c>
      <c r="BG25" s="766">
        <v>650</v>
      </c>
      <c r="BH25" s="766">
        <v>3690.92</v>
      </c>
      <c r="BI25" s="766"/>
      <c r="BJ25" s="766" t="s">
        <v>80</v>
      </c>
      <c r="BK25" s="766" t="s">
        <v>81</v>
      </c>
      <c r="BL25" s="766">
        <v>650</v>
      </c>
      <c r="BM25" s="766">
        <v>650</v>
      </c>
      <c r="BN25" s="766">
        <v>3690.92</v>
      </c>
      <c r="BO25" s="766"/>
      <c r="BP25" s="766" t="s">
        <v>80</v>
      </c>
      <c r="BQ25" s="766" t="s">
        <v>81</v>
      </c>
      <c r="BR25" s="766">
        <v>650</v>
      </c>
      <c r="BS25" s="766">
        <v>650</v>
      </c>
      <c r="BT25" s="766">
        <v>3690.92</v>
      </c>
      <c r="BU25" s="766"/>
      <c r="BV25" s="766" t="s">
        <v>80</v>
      </c>
      <c r="BW25" s="766" t="s">
        <v>81</v>
      </c>
      <c r="BX25" s="766">
        <v>650</v>
      </c>
      <c r="BY25" s="766">
        <v>650</v>
      </c>
      <c r="BZ25" s="766">
        <v>3690.92</v>
      </c>
    </row>
    <row r="26" spans="1:78">
      <c r="A26" s="666">
        <v>5</v>
      </c>
      <c r="B26" s="666" t="str">
        <f>VLOOKUP($A26,'Min Rent Plan'!$A$14:$I$41,3,FALSE)</f>
        <v>Pacific Coast Floral</v>
      </c>
      <c r="C26" s="767" t="str">
        <f>VLOOKUP($A26,'Min Rent Plan'!$A$14:$I$41,7,FALSE)</f>
        <v>1072</v>
      </c>
      <c r="D26" s="766">
        <f t="shared" si="0"/>
        <v>1080</v>
      </c>
      <c r="E26" s="666">
        <f>VLOOKUP($A26,'Min Rent Plan'!$A$14:$I$41,8,FALSE)</f>
        <v>1080</v>
      </c>
      <c r="F26" s="766">
        <f>VLOOKUP($A26,'Min Rent Plan'!$A$14:$I$41,9,FALSE)</f>
        <v>4825.8500000000004</v>
      </c>
      <c r="H26" s="666" t="s">
        <v>83</v>
      </c>
      <c r="I26" s="666" t="s">
        <v>84</v>
      </c>
      <c r="J26" s="766">
        <v>1080</v>
      </c>
      <c r="K26" s="766">
        <v>1080</v>
      </c>
      <c r="L26" s="766">
        <v>4860</v>
      </c>
      <c r="M26" s="766"/>
      <c r="N26" s="766" t="s">
        <v>83</v>
      </c>
      <c r="O26" s="766" t="s">
        <v>84</v>
      </c>
      <c r="P26" s="766">
        <v>1080</v>
      </c>
      <c r="Q26" s="766">
        <v>1080</v>
      </c>
      <c r="R26" s="766">
        <v>4860</v>
      </c>
      <c r="S26" s="766"/>
      <c r="T26" s="766" t="s">
        <v>83</v>
      </c>
      <c r="U26" s="766" t="s">
        <v>84</v>
      </c>
      <c r="V26" s="766">
        <v>1080</v>
      </c>
      <c r="W26" s="766">
        <v>1080</v>
      </c>
      <c r="X26" s="766">
        <v>4860</v>
      </c>
      <c r="Y26" s="766"/>
      <c r="Z26" s="666" t="s">
        <v>83</v>
      </c>
      <c r="AA26" s="666" t="s">
        <v>84</v>
      </c>
      <c r="AB26" s="766">
        <v>1080</v>
      </c>
      <c r="AC26" s="666">
        <v>1080</v>
      </c>
      <c r="AD26" s="766">
        <v>4860</v>
      </c>
      <c r="AE26" s="766"/>
      <c r="AF26" s="666" t="s">
        <v>83</v>
      </c>
      <c r="AG26" s="666" t="s">
        <v>84</v>
      </c>
      <c r="AH26" s="766">
        <v>1080</v>
      </c>
      <c r="AI26" s="666">
        <v>1080</v>
      </c>
      <c r="AJ26" s="766">
        <f>2430+1215</f>
        <v>3645</v>
      </c>
      <c r="AK26" s="766"/>
      <c r="AL26" s="766" t="s">
        <v>83</v>
      </c>
      <c r="AM26" s="766" t="s">
        <v>84</v>
      </c>
      <c r="AN26" s="766">
        <v>1080</v>
      </c>
      <c r="AO26" s="766">
        <v>1080</v>
      </c>
      <c r="AP26" s="766">
        <f>2430+1215</f>
        <v>3645</v>
      </c>
      <c r="AQ26" s="766"/>
      <c r="AR26" s="766" t="s">
        <v>83</v>
      </c>
      <c r="AS26" s="766" t="s">
        <v>84</v>
      </c>
      <c r="AT26" s="766">
        <v>1080</v>
      </c>
      <c r="AU26" s="766">
        <v>1080</v>
      </c>
      <c r="AV26" s="766">
        <v>4860</v>
      </c>
      <c r="AW26" s="766"/>
      <c r="AX26" s="766" t="s">
        <v>83</v>
      </c>
      <c r="AY26" s="766" t="s">
        <v>84</v>
      </c>
      <c r="AZ26" s="766">
        <v>1080</v>
      </c>
      <c r="BA26" s="766">
        <v>1080</v>
      </c>
      <c r="BB26" s="766">
        <v>4860</v>
      </c>
      <c r="BC26" s="766"/>
      <c r="BD26" s="766" t="s">
        <v>83</v>
      </c>
      <c r="BE26" s="766" t="s">
        <v>84</v>
      </c>
      <c r="BF26" s="766">
        <v>1080</v>
      </c>
      <c r="BG26" s="766">
        <v>1080</v>
      </c>
      <c r="BH26" s="766">
        <v>4860</v>
      </c>
      <c r="BI26" s="766"/>
      <c r="BJ26" s="766" t="s">
        <v>83</v>
      </c>
      <c r="BK26" s="766" t="s">
        <v>84</v>
      </c>
      <c r="BL26" s="766">
        <v>1080</v>
      </c>
      <c r="BM26" s="766">
        <v>1080</v>
      </c>
      <c r="BN26" s="766">
        <f>2430+2430*0.5</f>
        <v>3645</v>
      </c>
      <c r="BO26" s="766"/>
      <c r="BP26" s="766" t="s">
        <v>83</v>
      </c>
      <c r="BQ26" s="766" t="s">
        <v>84</v>
      </c>
      <c r="BR26" s="766">
        <v>1080</v>
      </c>
      <c r="BS26" s="766">
        <v>1080</v>
      </c>
      <c r="BT26" s="766">
        <f>2430+2430*0.5</f>
        <v>3645</v>
      </c>
      <c r="BU26" s="766"/>
      <c r="BV26" s="766" t="s">
        <v>83</v>
      </c>
      <c r="BW26" s="766" t="s">
        <v>84</v>
      </c>
      <c r="BX26" s="766">
        <v>1080</v>
      </c>
      <c r="BY26" s="766">
        <v>1080</v>
      </c>
      <c r="BZ26" s="766">
        <f>2430+2430*0.5</f>
        <v>3645</v>
      </c>
    </row>
    <row r="27" spans="1:78">
      <c r="A27" s="666">
        <v>6</v>
      </c>
      <c r="B27" s="666" t="str">
        <f>VLOOKUP($A27,'Min Rent Plan'!$A$14:$I$41,3,FALSE)</f>
        <v xml:space="preserve">Photo Lab - The </v>
      </c>
      <c r="C27" s="767" t="str">
        <f>VLOOKUP($A27,'Min Rent Plan'!$A$14:$I$41,7,FALSE)</f>
        <v>1048</v>
      </c>
      <c r="D27" s="766">
        <f t="shared" si="0"/>
        <v>0</v>
      </c>
      <c r="E27" s="666">
        <f>VLOOKUP($A27,'Min Rent Plan'!$A$14:$I$41,8,FALSE)</f>
        <v>900</v>
      </c>
      <c r="F27" s="766">
        <f>VLOOKUP($A27,'Min Rent Plan'!$A$14:$I$41,9,FALSE)</f>
        <v>-875</v>
      </c>
      <c r="H27" s="666" t="s">
        <v>87</v>
      </c>
      <c r="I27" s="666" t="s">
        <v>88</v>
      </c>
      <c r="J27" s="766">
        <v>900</v>
      </c>
      <c r="K27" s="766">
        <v>900</v>
      </c>
      <c r="L27" s="766">
        <v>2475</v>
      </c>
      <c r="M27" s="766"/>
      <c r="N27" s="797" t="s">
        <v>87</v>
      </c>
      <c r="O27" s="766" t="s">
        <v>88</v>
      </c>
      <c r="P27" s="766">
        <v>900</v>
      </c>
      <c r="Q27" s="766">
        <v>900</v>
      </c>
      <c r="R27" s="766">
        <v>2475</v>
      </c>
      <c r="S27" s="766"/>
      <c r="T27" s="766" t="s">
        <v>87</v>
      </c>
      <c r="U27" s="766" t="s">
        <v>88</v>
      </c>
      <c r="V27" s="766">
        <v>900</v>
      </c>
      <c r="W27" s="766">
        <v>900</v>
      </c>
      <c r="X27" s="766">
        <v>2475</v>
      </c>
      <c r="Y27" s="766"/>
      <c r="Z27" s="666" t="s">
        <v>87</v>
      </c>
      <c r="AA27" s="666" t="s">
        <v>88</v>
      </c>
      <c r="AB27" s="766">
        <v>900</v>
      </c>
      <c r="AC27" s="666">
        <v>900</v>
      </c>
      <c r="AD27" s="766">
        <v>2475</v>
      </c>
      <c r="AE27" s="766"/>
      <c r="AF27" s="666" t="s">
        <v>87</v>
      </c>
      <c r="AG27" s="666" t="s">
        <v>88</v>
      </c>
      <c r="AH27" s="766">
        <v>900</v>
      </c>
      <c r="AI27" s="666">
        <v>900</v>
      </c>
      <c r="AJ27" s="766">
        <v>2475</v>
      </c>
      <c r="AK27" s="766"/>
      <c r="AL27" s="766" t="s">
        <v>87</v>
      </c>
      <c r="AM27" s="766" t="s">
        <v>88</v>
      </c>
      <c r="AN27" s="766">
        <v>900</v>
      </c>
      <c r="AO27" s="766">
        <v>900</v>
      </c>
      <c r="AP27" s="766">
        <v>2475</v>
      </c>
      <c r="AQ27" s="766"/>
      <c r="AR27" s="766" t="s">
        <v>87</v>
      </c>
      <c r="AS27" s="766" t="s">
        <v>88</v>
      </c>
      <c r="AT27" s="766">
        <v>900</v>
      </c>
      <c r="AU27" s="766">
        <v>900</v>
      </c>
      <c r="AV27" s="766">
        <v>4950</v>
      </c>
      <c r="AW27" s="766"/>
      <c r="AX27" s="766" t="s">
        <v>87</v>
      </c>
      <c r="AY27" s="766" t="s">
        <v>88</v>
      </c>
      <c r="AZ27" s="766">
        <v>900</v>
      </c>
      <c r="BA27" s="766">
        <v>900</v>
      </c>
      <c r="BB27" s="766">
        <v>4950</v>
      </c>
      <c r="BC27" s="766"/>
      <c r="BD27" s="766" t="s">
        <v>87</v>
      </c>
      <c r="BE27" s="766" t="s">
        <v>88</v>
      </c>
      <c r="BF27" s="766">
        <v>900</v>
      </c>
      <c r="BG27" s="766">
        <v>900</v>
      </c>
      <c r="BH27" s="766">
        <v>4950</v>
      </c>
      <c r="BI27" s="766"/>
      <c r="BJ27" s="766" t="s">
        <v>87</v>
      </c>
      <c r="BK27" s="766" t="s">
        <v>88</v>
      </c>
      <c r="BL27" s="766">
        <v>900</v>
      </c>
      <c r="BM27" s="766">
        <v>900</v>
      </c>
      <c r="BN27" s="766">
        <v>4950</v>
      </c>
      <c r="BO27" s="766"/>
      <c r="BP27" s="766" t="s">
        <v>87</v>
      </c>
      <c r="BQ27" s="766" t="s">
        <v>88</v>
      </c>
      <c r="BR27" s="766">
        <v>900</v>
      </c>
      <c r="BS27" s="766">
        <v>900</v>
      </c>
      <c r="BT27" s="766">
        <v>4950</v>
      </c>
      <c r="BU27" s="766"/>
      <c r="BV27" s="766" t="s">
        <v>87</v>
      </c>
      <c r="BW27" s="766" t="s">
        <v>88</v>
      </c>
      <c r="BX27" s="766">
        <v>900</v>
      </c>
      <c r="BY27" s="766">
        <v>900</v>
      </c>
      <c r="BZ27" s="766">
        <f>5100/2</f>
        <v>2550</v>
      </c>
    </row>
    <row r="28" spans="1:78">
      <c r="A28" s="666">
        <v>7</v>
      </c>
      <c r="B28" s="666" t="str">
        <f>VLOOKUP($A28,'Min Rent Plan'!$A$14:$I$41,3,FALSE)</f>
        <v>Salon "L"</v>
      </c>
      <c r="C28" s="767" t="str">
        <f>VLOOKUP($A28,'Min Rent Plan'!$A$14:$I$41,7,FALSE)</f>
        <v>1040</v>
      </c>
      <c r="D28" s="766">
        <f t="shared" si="0"/>
        <v>1500</v>
      </c>
      <c r="E28" s="666">
        <f>VLOOKUP($A28,'Min Rent Plan'!$A$14:$I$41,8,FALSE)</f>
        <v>1500</v>
      </c>
      <c r="F28" s="766">
        <f>VLOOKUP($A28,'Min Rent Plan'!$A$14:$I$41,9,FALSE)</f>
        <v>6468.75</v>
      </c>
      <c r="H28" s="666" t="s">
        <v>91</v>
      </c>
      <c r="I28" s="666" t="s">
        <v>92</v>
      </c>
      <c r="J28" s="766">
        <v>1500</v>
      </c>
      <c r="K28" s="766">
        <v>1500</v>
      </c>
      <c r="L28" s="766">
        <v>6250</v>
      </c>
      <c r="M28" s="766"/>
      <c r="N28" s="766" t="s">
        <v>91</v>
      </c>
      <c r="O28" s="766" t="s">
        <v>92</v>
      </c>
      <c r="P28" s="766">
        <v>1500</v>
      </c>
      <c r="Q28" s="766">
        <v>1500</v>
      </c>
      <c r="R28" s="766">
        <v>6250</v>
      </c>
      <c r="S28" s="766"/>
      <c r="T28" s="766" t="s">
        <v>91</v>
      </c>
      <c r="U28" s="766" t="s">
        <v>92</v>
      </c>
      <c r="V28" s="766">
        <v>1500</v>
      </c>
      <c r="W28" s="766">
        <v>1500</v>
      </c>
      <c r="X28" s="766">
        <v>6468.75</v>
      </c>
      <c r="Y28" s="766"/>
      <c r="Z28" s="666" t="s">
        <v>91</v>
      </c>
      <c r="AA28" s="666" t="s">
        <v>92</v>
      </c>
      <c r="AB28" s="766">
        <v>1500</v>
      </c>
      <c r="AC28" s="666">
        <v>1500</v>
      </c>
      <c r="AD28" s="766">
        <v>6468.75</v>
      </c>
      <c r="AE28" s="766"/>
      <c r="AF28" s="666" t="s">
        <v>91</v>
      </c>
      <c r="AG28" s="666" t="s">
        <v>92</v>
      </c>
      <c r="AH28" s="766">
        <v>1500</v>
      </c>
      <c r="AI28" s="666">
        <v>1500</v>
      </c>
      <c r="AJ28" s="766">
        <v>3800</v>
      </c>
      <c r="AK28" s="766"/>
      <c r="AL28" s="766" t="s">
        <v>91</v>
      </c>
      <c r="AM28" s="766" t="s">
        <v>92</v>
      </c>
      <c r="AN28" s="766">
        <v>1500</v>
      </c>
      <c r="AO28" s="766">
        <v>1500</v>
      </c>
      <c r="AP28" s="766">
        <v>3125</v>
      </c>
      <c r="AQ28" s="766"/>
      <c r="AR28" s="766" t="s">
        <v>91</v>
      </c>
      <c r="AS28" s="766" t="s">
        <v>92</v>
      </c>
      <c r="AT28" s="766">
        <v>1500</v>
      </c>
      <c r="AU28" s="766">
        <v>1500</v>
      </c>
      <c r="AV28" s="766">
        <v>6468.75</v>
      </c>
      <c r="AW28" s="766"/>
      <c r="AX28" s="766" t="s">
        <v>91</v>
      </c>
      <c r="AY28" s="766" t="s">
        <v>92</v>
      </c>
      <c r="AZ28" s="766">
        <v>1500</v>
      </c>
      <c r="BA28" s="766">
        <v>1500</v>
      </c>
      <c r="BB28" s="766">
        <v>6468.75</v>
      </c>
      <c r="BC28" s="766"/>
      <c r="BD28" s="766" t="s">
        <v>91</v>
      </c>
      <c r="BE28" s="766" t="s">
        <v>92</v>
      </c>
      <c r="BF28" s="766">
        <v>1500</v>
      </c>
      <c r="BG28" s="766">
        <v>1500</v>
      </c>
      <c r="BH28" s="766">
        <v>6468.75</v>
      </c>
      <c r="BI28" s="766"/>
      <c r="BJ28" s="766" t="s">
        <v>91</v>
      </c>
      <c r="BK28" s="766" t="s">
        <v>92</v>
      </c>
      <c r="BL28" s="766">
        <v>1500</v>
      </c>
      <c r="BM28" s="766">
        <v>1500</v>
      </c>
      <c r="BN28" s="766">
        <v>6468.75</v>
      </c>
      <c r="BO28" s="766"/>
      <c r="BP28" s="766" t="s">
        <v>91</v>
      </c>
      <c r="BQ28" s="766" t="s">
        <v>92</v>
      </c>
      <c r="BR28" s="766">
        <v>1500</v>
      </c>
      <c r="BS28" s="766">
        <v>1500</v>
      </c>
      <c r="BT28" s="766">
        <v>6468.75</v>
      </c>
      <c r="BU28" s="766"/>
      <c r="BV28" s="766" t="s">
        <v>91</v>
      </c>
      <c r="BW28" s="766" t="s">
        <v>92</v>
      </c>
      <c r="BX28" s="766">
        <v>1500</v>
      </c>
      <c r="BY28" s="766">
        <v>1500</v>
      </c>
      <c r="BZ28" s="766">
        <v>6468.75</v>
      </c>
    </row>
    <row r="29" spans="1:78">
      <c r="A29" s="666">
        <v>8</v>
      </c>
      <c r="B29" s="666" t="str">
        <f>VLOOKUP($A29,'Min Rent Plan'!$A$14:$I$41,3,FALSE)</f>
        <v>Sapori Restaurant Italiano</v>
      </c>
      <c r="C29" s="767" t="str">
        <f>VLOOKUP($A29,'Min Rent Plan'!$A$14:$I$41,7,FALSE)</f>
        <v>1080</v>
      </c>
      <c r="D29" s="766">
        <f t="shared" si="0"/>
        <v>2742</v>
      </c>
      <c r="E29" s="666">
        <f>VLOOKUP($A29,'Min Rent Plan'!$A$14:$I$41,8,FALSE)</f>
        <v>2742</v>
      </c>
      <c r="F29" s="766">
        <f>VLOOKUP($A29,'Min Rent Plan'!$A$14:$I$41,9,FALSE)</f>
        <v>11425</v>
      </c>
      <c r="H29" s="666" t="s">
        <v>95</v>
      </c>
      <c r="I29" s="666" t="s">
        <v>96</v>
      </c>
      <c r="J29" s="766">
        <v>2742</v>
      </c>
      <c r="K29" s="766">
        <v>2742</v>
      </c>
      <c r="L29" s="766">
        <v>12770.87</v>
      </c>
      <c r="M29" s="766"/>
      <c r="N29" s="766" t="s">
        <v>95</v>
      </c>
      <c r="O29" s="766" t="s">
        <v>96</v>
      </c>
      <c r="P29" s="766">
        <v>2742</v>
      </c>
      <c r="Q29" s="766">
        <v>2742</v>
      </c>
      <c r="R29" s="766">
        <v>12770.87</v>
      </c>
      <c r="S29" s="766"/>
      <c r="T29" s="766" t="s">
        <v>95</v>
      </c>
      <c r="U29" s="766" t="s">
        <v>96</v>
      </c>
      <c r="V29" s="766">
        <v>2742</v>
      </c>
      <c r="W29" s="766">
        <v>2742</v>
      </c>
      <c r="X29" s="766">
        <v>12770.87</v>
      </c>
      <c r="Y29" s="766"/>
      <c r="Z29" s="666" t="s">
        <v>95</v>
      </c>
      <c r="AA29" s="666" t="s">
        <v>96</v>
      </c>
      <c r="AB29" s="766">
        <v>2742</v>
      </c>
      <c r="AC29" s="666">
        <v>2742</v>
      </c>
      <c r="AD29" s="766">
        <v>12770.87</v>
      </c>
      <c r="AE29" s="766"/>
      <c r="AF29" s="666" t="s">
        <v>95</v>
      </c>
      <c r="AG29" s="666" t="s">
        <v>96</v>
      </c>
      <c r="AH29" s="766">
        <v>2742</v>
      </c>
      <c r="AI29" s="666">
        <v>2742</v>
      </c>
      <c r="AJ29" s="766">
        <v>12770.87</v>
      </c>
      <c r="AK29" s="766"/>
      <c r="AL29" s="797" t="s">
        <v>95</v>
      </c>
      <c r="AM29" s="766" t="s">
        <v>96</v>
      </c>
      <c r="AN29" s="766">
        <v>2742</v>
      </c>
      <c r="AO29" s="766">
        <v>2742</v>
      </c>
      <c r="AP29" s="766">
        <v>12770.87</v>
      </c>
      <c r="AQ29" s="766"/>
      <c r="AR29" s="797" t="s">
        <v>95</v>
      </c>
      <c r="AS29" s="766" t="s">
        <v>96</v>
      </c>
      <c r="AT29" s="766">
        <v>2742</v>
      </c>
      <c r="AU29" s="766">
        <v>2742</v>
      </c>
      <c r="AV29" s="766">
        <v>11425</v>
      </c>
      <c r="AW29" s="766"/>
      <c r="AX29" s="766" t="s">
        <v>95</v>
      </c>
      <c r="AY29" s="766" t="s">
        <v>96</v>
      </c>
      <c r="AZ29" s="766">
        <v>2742</v>
      </c>
      <c r="BA29" s="766">
        <v>2742</v>
      </c>
      <c r="BB29" s="766">
        <v>11425</v>
      </c>
      <c r="BC29" s="766"/>
      <c r="BD29" s="766" t="s">
        <v>95</v>
      </c>
      <c r="BE29" s="766" t="s">
        <v>96</v>
      </c>
      <c r="BF29" s="766">
        <v>2742</v>
      </c>
      <c r="BG29" s="766">
        <v>2742</v>
      </c>
      <c r="BH29" s="766">
        <v>11425</v>
      </c>
      <c r="BI29" s="766"/>
      <c r="BJ29" s="766" t="s">
        <v>95</v>
      </c>
      <c r="BK29" s="766" t="s">
        <v>96</v>
      </c>
      <c r="BL29" s="766">
        <v>2742</v>
      </c>
      <c r="BM29" s="766">
        <v>2742</v>
      </c>
      <c r="BN29" s="766">
        <v>11425</v>
      </c>
      <c r="BO29" s="766"/>
      <c r="BP29" s="766" t="s">
        <v>95</v>
      </c>
      <c r="BQ29" s="766" t="s">
        <v>96</v>
      </c>
      <c r="BR29" s="766">
        <v>2742</v>
      </c>
      <c r="BS29" s="766">
        <v>2742</v>
      </c>
      <c r="BT29" s="766">
        <v>11425</v>
      </c>
      <c r="BU29" s="766"/>
      <c r="BV29" s="766" t="s">
        <v>95</v>
      </c>
      <c r="BW29" s="766" t="s">
        <v>96</v>
      </c>
      <c r="BX29" s="766">
        <v>2742</v>
      </c>
      <c r="BY29" s="766">
        <v>2742</v>
      </c>
      <c r="BZ29" s="766">
        <v>11425</v>
      </c>
    </row>
    <row r="30" spans="1:78">
      <c r="A30" s="666">
        <v>9</v>
      </c>
      <c r="B30" s="666" t="str">
        <f>VLOOKUP($A30,'Min Rent Plan'!$A$14:$I$41,3,FALSE)</f>
        <v>Sapori Restaurant Italiano-Patio</v>
      </c>
      <c r="C30" s="767" t="str">
        <f>VLOOKUP($A30,'Min Rent Plan'!$A$14:$I$41,7,FALSE)</f>
        <v>1080A</v>
      </c>
      <c r="D30" s="766">
        <f t="shared" si="0"/>
        <v>1309</v>
      </c>
      <c r="E30" s="666">
        <f>VLOOKUP($A30,'Min Rent Plan'!$A$14:$I$41,8,FALSE)</f>
        <v>1309</v>
      </c>
      <c r="F30" s="766">
        <f>VLOOKUP($A30,'Min Rent Plan'!$A$14:$I$41,9,FALSE)</f>
        <v>1E-4</v>
      </c>
      <c r="H30" s="666" t="s">
        <v>98</v>
      </c>
      <c r="I30" s="666" t="s">
        <v>99</v>
      </c>
      <c r="J30" s="766">
        <v>1309</v>
      </c>
      <c r="K30" s="766">
        <v>1309</v>
      </c>
      <c r="L30" s="766">
        <v>1E-4</v>
      </c>
      <c r="M30" s="766"/>
      <c r="N30" s="766" t="s">
        <v>98</v>
      </c>
      <c r="O30" s="766" t="s">
        <v>99</v>
      </c>
      <c r="P30" s="766">
        <v>1309</v>
      </c>
      <c r="Q30" s="766">
        <v>1309</v>
      </c>
      <c r="R30" s="766">
        <v>1E-4</v>
      </c>
      <c r="S30" s="766"/>
      <c r="T30" s="766" t="s">
        <v>98</v>
      </c>
      <c r="U30" s="766" t="s">
        <v>99</v>
      </c>
      <c r="V30" s="766">
        <v>1309</v>
      </c>
      <c r="W30" s="766">
        <v>1309</v>
      </c>
      <c r="X30" s="766">
        <v>1E-4</v>
      </c>
      <c r="Y30" s="766"/>
      <c r="Z30" s="666" t="s">
        <v>98</v>
      </c>
      <c r="AA30" s="666" t="s">
        <v>99</v>
      </c>
      <c r="AB30" s="766">
        <v>1309</v>
      </c>
      <c r="AC30" s="666">
        <v>1309</v>
      </c>
      <c r="AD30" s="766">
        <v>1E-4</v>
      </c>
      <c r="AE30" s="766"/>
      <c r="AF30" s="666" t="s">
        <v>98</v>
      </c>
      <c r="AG30" s="666" t="s">
        <v>99</v>
      </c>
      <c r="AH30" s="766">
        <v>1309</v>
      </c>
      <c r="AI30" s="666">
        <v>1309</v>
      </c>
      <c r="AJ30" s="766">
        <v>1E-4</v>
      </c>
      <c r="AK30" s="766"/>
      <c r="AL30" s="766" t="s">
        <v>98</v>
      </c>
      <c r="AM30" s="766" t="s">
        <v>99</v>
      </c>
      <c r="AN30" s="766">
        <v>1309</v>
      </c>
      <c r="AO30" s="766">
        <v>1309</v>
      </c>
      <c r="AP30" s="766">
        <v>1E-4</v>
      </c>
      <c r="AQ30" s="766"/>
      <c r="AR30" s="766" t="s">
        <v>98</v>
      </c>
      <c r="AS30" s="766" t="s">
        <v>99</v>
      </c>
      <c r="AT30" s="766">
        <v>1309</v>
      </c>
      <c r="AU30" s="766">
        <v>1309</v>
      </c>
      <c r="AV30" s="766">
        <v>1E-4</v>
      </c>
      <c r="AW30" s="766"/>
      <c r="AX30" s="766" t="s">
        <v>98</v>
      </c>
      <c r="AY30" s="766" t="s">
        <v>99</v>
      </c>
      <c r="AZ30" s="766">
        <v>1309</v>
      </c>
      <c r="BA30" s="766">
        <v>1309</v>
      </c>
      <c r="BB30" s="766">
        <v>1E-4</v>
      </c>
      <c r="BC30" s="766"/>
      <c r="BD30" s="766" t="s">
        <v>98</v>
      </c>
      <c r="BE30" s="766" t="s">
        <v>99</v>
      </c>
      <c r="BF30" s="766">
        <v>1309</v>
      </c>
      <c r="BG30" s="766">
        <v>1309</v>
      </c>
      <c r="BH30" s="766">
        <v>1E-4</v>
      </c>
      <c r="BI30" s="766"/>
      <c r="BJ30" s="766" t="s">
        <v>98</v>
      </c>
      <c r="BK30" s="766" t="s">
        <v>99</v>
      </c>
      <c r="BL30" s="766">
        <v>1309</v>
      </c>
      <c r="BM30" s="766">
        <v>1309</v>
      </c>
      <c r="BN30" s="766">
        <v>1E-4</v>
      </c>
      <c r="BO30" s="766"/>
      <c r="BP30" s="766" t="s">
        <v>98</v>
      </c>
      <c r="BQ30" s="766" t="s">
        <v>99</v>
      </c>
      <c r="BR30" s="766">
        <v>1309</v>
      </c>
      <c r="BS30" s="766">
        <v>1309</v>
      </c>
      <c r="BT30" s="766">
        <v>1E-4</v>
      </c>
      <c r="BU30" s="766"/>
      <c r="BV30" s="766" t="s">
        <v>98</v>
      </c>
      <c r="BW30" s="766" t="s">
        <v>99</v>
      </c>
      <c r="BX30" s="766">
        <v>1309</v>
      </c>
      <c r="BY30" s="766">
        <v>1309</v>
      </c>
      <c r="BZ30" s="766">
        <v>1E-4</v>
      </c>
    </row>
    <row r="31" spans="1:78">
      <c r="A31" s="666">
        <v>10</v>
      </c>
      <c r="B31" s="666" t="str">
        <f>VLOOKUP($A31,'Min Rent Plan'!$A$14:$I$41,3,FALSE)</f>
        <v>Vacant</v>
      </c>
      <c r="C31" s="767" t="str">
        <f>VLOOKUP($A31,'Min Rent Plan'!$A$14:$I$41,7,FALSE)</f>
        <v>1024</v>
      </c>
      <c r="D31" s="766">
        <f t="shared" si="0"/>
        <v>0</v>
      </c>
      <c r="E31" s="666">
        <f>VLOOKUP($A31,'Min Rent Plan'!$A$14:$I$41,8,FALSE)</f>
        <v>1200</v>
      </c>
      <c r="F31" s="766">
        <f>VLOOKUP($A31,'Min Rent Plan'!$A$14:$I$41,9,FALSE)</f>
        <v>0</v>
      </c>
      <c r="H31" s="666" t="s">
        <v>100</v>
      </c>
      <c r="I31" s="666" t="s">
        <v>101</v>
      </c>
      <c r="J31" s="766">
        <v>0</v>
      </c>
      <c r="K31" s="766">
        <v>1200</v>
      </c>
      <c r="L31" s="766">
        <v>0</v>
      </c>
      <c r="M31" s="766"/>
      <c r="N31" s="766" t="s">
        <v>100</v>
      </c>
      <c r="O31" s="766" t="s">
        <v>101</v>
      </c>
      <c r="P31" s="766">
        <v>0</v>
      </c>
      <c r="Q31" s="766">
        <v>1200</v>
      </c>
      <c r="R31" s="766">
        <v>0</v>
      </c>
      <c r="S31" s="766"/>
      <c r="T31" s="766" t="s">
        <v>100</v>
      </c>
      <c r="U31" s="766" t="s">
        <v>101</v>
      </c>
      <c r="V31" s="766">
        <v>0</v>
      </c>
      <c r="W31" s="766">
        <v>1200</v>
      </c>
      <c r="X31" s="766">
        <v>0</v>
      </c>
      <c r="Y31" s="766"/>
      <c r="Z31" s="666" t="s">
        <v>100</v>
      </c>
      <c r="AA31" s="666" t="s">
        <v>101</v>
      </c>
      <c r="AB31" s="766">
        <v>0</v>
      </c>
      <c r="AC31" s="666">
        <v>1200</v>
      </c>
      <c r="AD31" s="766">
        <v>0</v>
      </c>
      <c r="AE31" s="766"/>
      <c r="AF31" s="666" t="s">
        <v>100</v>
      </c>
      <c r="AG31" s="666" t="s">
        <v>101</v>
      </c>
      <c r="AH31" s="766">
        <v>0</v>
      </c>
      <c r="AI31" s="666">
        <v>1200</v>
      </c>
      <c r="AJ31" s="766">
        <v>0</v>
      </c>
      <c r="AK31" s="766"/>
      <c r="AL31" s="766" t="s">
        <v>100</v>
      </c>
      <c r="AM31" s="766" t="s">
        <v>101</v>
      </c>
      <c r="AN31" s="766">
        <v>0</v>
      </c>
      <c r="AO31" s="766">
        <v>1200</v>
      </c>
      <c r="AP31" s="766">
        <v>0</v>
      </c>
      <c r="AQ31" s="766"/>
      <c r="AR31" s="766" t="s">
        <v>100</v>
      </c>
      <c r="AS31" s="766" t="s">
        <v>101</v>
      </c>
      <c r="AT31" s="766">
        <v>0</v>
      </c>
      <c r="AU31" s="766">
        <v>1200</v>
      </c>
      <c r="AV31" s="766">
        <v>0</v>
      </c>
      <c r="AW31" s="766"/>
      <c r="AX31" s="766" t="s">
        <v>100</v>
      </c>
      <c r="AY31" s="766" t="s">
        <v>101</v>
      </c>
      <c r="AZ31" s="766">
        <v>0</v>
      </c>
      <c r="BA31" s="766">
        <v>1200</v>
      </c>
      <c r="BB31" s="766">
        <v>0</v>
      </c>
      <c r="BC31" s="766"/>
      <c r="BD31" s="766" t="s">
        <v>100</v>
      </c>
      <c r="BE31" s="766" t="s">
        <v>101</v>
      </c>
      <c r="BF31" s="766">
        <v>0</v>
      </c>
      <c r="BG31" s="766">
        <v>1200</v>
      </c>
      <c r="BH31" s="766">
        <v>0</v>
      </c>
      <c r="BI31" s="766"/>
      <c r="BJ31" s="766" t="s">
        <v>100</v>
      </c>
      <c r="BK31" s="766" t="s">
        <v>101</v>
      </c>
      <c r="BL31" s="766">
        <v>0</v>
      </c>
      <c r="BM31" s="766">
        <v>1200</v>
      </c>
      <c r="BN31" s="766">
        <v>0</v>
      </c>
      <c r="BO31" s="766"/>
      <c r="BP31" s="766" t="s">
        <v>100</v>
      </c>
      <c r="BQ31" s="766" t="s">
        <v>101</v>
      </c>
      <c r="BR31" s="766">
        <v>0</v>
      </c>
      <c r="BS31" s="766">
        <v>1200</v>
      </c>
      <c r="BT31" s="766">
        <v>0</v>
      </c>
      <c r="BU31" s="766"/>
      <c r="BV31" s="766" t="s">
        <v>100</v>
      </c>
      <c r="BW31" s="766" t="s">
        <v>101</v>
      </c>
      <c r="BX31" s="766">
        <v>0</v>
      </c>
      <c r="BY31" s="766">
        <v>1200</v>
      </c>
      <c r="BZ31" s="766">
        <v>0</v>
      </c>
    </row>
    <row r="32" spans="1:78" hidden="1">
      <c r="C32" s="767"/>
      <c r="E32" s="666"/>
      <c r="J32" s="766"/>
      <c r="K32" s="766"/>
      <c r="L32" s="766"/>
      <c r="M32" s="766"/>
      <c r="N32" s="797"/>
      <c r="O32" s="766"/>
      <c r="P32" s="766"/>
      <c r="Q32" s="766"/>
      <c r="R32" s="766"/>
      <c r="S32" s="766"/>
      <c r="T32" s="797"/>
      <c r="U32" s="766"/>
      <c r="V32" s="798"/>
      <c r="W32" s="798"/>
      <c r="X32" s="766"/>
      <c r="Y32" s="766"/>
      <c r="AB32" s="766"/>
      <c r="AC32" s="767"/>
      <c r="AD32" s="766"/>
      <c r="AE32" s="766"/>
      <c r="AH32" s="766"/>
      <c r="AI32" s="767"/>
      <c r="AJ32" s="766"/>
      <c r="AK32" s="766"/>
      <c r="AL32" s="766"/>
      <c r="AM32" s="766"/>
      <c r="AN32" s="766"/>
      <c r="AO32" s="772"/>
      <c r="AP32" s="766"/>
      <c r="AQ32" s="766"/>
      <c r="AR32" s="766"/>
      <c r="AS32" s="766"/>
      <c r="AT32" s="766"/>
      <c r="AU32" s="772"/>
      <c r="AV32" s="766"/>
      <c r="AW32" s="766"/>
      <c r="AX32" s="766"/>
      <c r="AY32" s="766"/>
      <c r="AZ32" s="766"/>
      <c r="BA32" s="772"/>
      <c r="BB32" s="766"/>
      <c r="BC32" s="766"/>
      <c r="BD32" s="766"/>
      <c r="BE32" s="766"/>
      <c r="BF32" s="766"/>
      <c r="BG32" s="772"/>
      <c r="BH32" s="766"/>
      <c r="BI32" s="766"/>
      <c r="BJ32" s="766"/>
      <c r="BK32" s="766"/>
      <c r="BL32" s="766"/>
      <c r="BM32" s="772"/>
      <c r="BN32" s="766"/>
      <c r="BO32" s="766"/>
      <c r="BP32" s="766"/>
      <c r="BQ32" s="766"/>
      <c r="BR32" s="766"/>
      <c r="BS32" s="772"/>
      <c r="BT32" s="766"/>
      <c r="BU32" s="766"/>
      <c r="BV32" s="766"/>
      <c r="BW32" s="766"/>
      <c r="BX32" s="766"/>
      <c r="BY32" s="772"/>
      <c r="BZ32" s="766"/>
    </row>
    <row r="33" spans="2:78" hidden="1">
      <c r="BP33" s="797"/>
      <c r="BQ33" s="766"/>
      <c r="BR33" s="766"/>
      <c r="BS33" s="766"/>
      <c r="BT33" s="766"/>
      <c r="BU33" s="766"/>
      <c r="BV33" s="766"/>
      <c r="BW33" s="766"/>
      <c r="BX33" s="766"/>
      <c r="BY33" s="766"/>
      <c r="BZ33" s="766"/>
    </row>
    <row r="34" spans="2:78" hidden="1">
      <c r="BP34" s="766"/>
      <c r="BQ34" s="766"/>
      <c r="BR34" s="766"/>
      <c r="BS34" s="766"/>
      <c r="BT34" s="766"/>
      <c r="BU34" s="766"/>
      <c r="BV34" s="797"/>
      <c r="BW34" s="766"/>
      <c r="BX34" s="766"/>
      <c r="BY34" s="766"/>
      <c r="BZ34" s="766"/>
    </row>
    <row r="35" spans="2:78" hidden="1">
      <c r="BP35" s="766"/>
      <c r="BQ35" s="766"/>
      <c r="BR35" s="766"/>
      <c r="BS35" s="766"/>
      <c r="BT35" s="766"/>
      <c r="BU35" s="766"/>
      <c r="BV35" s="797"/>
      <c r="BW35" s="766"/>
      <c r="BX35" s="766"/>
      <c r="BY35" s="766"/>
      <c r="BZ35" s="766"/>
    </row>
    <row r="36" spans="2:78" hidden="1">
      <c r="BP36" s="766"/>
      <c r="BQ36" s="766"/>
      <c r="BR36" s="766"/>
      <c r="BS36" s="772"/>
      <c r="BT36" s="766"/>
      <c r="BU36" s="766"/>
      <c r="BV36" s="766"/>
      <c r="BW36" s="766"/>
      <c r="BX36" s="766"/>
      <c r="BY36" s="772"/>
      <c r="BZ36" s="766"/>
    </row>
    <row r="37" spans="2:78" hidden="1">
      <c r="BP37" s="766"/>
      <c r="BQ37" s="766"/>
      <c r="BR37" s="766"/>
      <c r="BS37" s="766"/>
      <c r="BT37" s="766"/>
      <c r="BU37" s="766"/>
      <c r="BV37" s="797"/>
      <c r="BW37" s="766"/>
      <c r="BX37" s="766"/>
      <c r="BY37" s="766"/>
      <c r="BZ37" s="766"/>
    </row>
    <row r="38" spans="2:78" hidden="1">
      <c r="BP38" s="797"/>
      <c r="BQ38" s="766"/>
      <c r="BR38" s="766"/>
      <c r="BS38" s="766"/>
      <c r="BT38" s="766"/>
      <c r="BU38" s="766"/>
      <c r="BV38" s="766"/>
      <c r="BW38" s="766"/>
      <c r="BX38" s="766"/>
      <c r="BY38" s="766"/>
      <c r="BZ38" s="766"/>
    </row>
    <row r="39" spans="2:78" hidden="1">
      <c r="BP39" s="766"/>
      <c r="BQ39" s="766"/>
      <c r="BR39" s="766"/>
      <c r="BS39" s="766"/>
      <c r="BT39" s="766"/>
      <c r="BU39" s="766"/>
      <c r="BV39" s="766"/>
      <c r="BW39" s="766"/>
      <c r="BX39" s="766"/>
      <c r="BY39" s="766"/>
      <c r="BZ39" s="766"/>
    </row>
    <row r="40" spans="2:78" hidden="1">
      <c r="BP40" s="766"/>
      <c r="BQ40" s="766"/>
      <c r="BR40" s="766"/>
      <c r="BS40" s="766"/>
      <c r="BT40" s="766"/>
      <c r="BU40" s="766"/>
      <c r="BV40" s="766"/>
      <c r="BW40" s="766"/>
      <c r="BX40" s="766"/>
      <c r="BY40" s="766"/>
      <c r="BZ40" s="766"/>
    </row>
    <row r="41" spans="2:78" hidden="1">
      <c r="BP41" s="766"/>
      <c r="BQ41" s="766"/>
      <c r="BR41" s="766"/>
      <c r="BS41" s="772"/>
      <c r="BT41" s="766"/>
      <c r="BU41" s="766"/>
      <c r="BV41" s="766"/>
      <c r="BW41" s="766"/>
      <c r="BX41" s="766"/>
      <c r="BY41" s="772"/>
      <c r="BZ41" s="766"/>
    </row>
    <row r="42" spans="2:78" hidden="1">
      <c r="BP42" s="766"/>
      <c r="BQ42" s="766"/>
      <c r="BR42" s="766"/>
      <c r="BS42" s="766"/>
      <c r="BT42" s="766"/>
      <c r="BU42" s="766"/>
      <c r="BV42" s="766"/>
      <c r="BW42" s="766"/>
      <c r="BX42" s="766"/>
      <c r="BY42" s="766"/>
      <c r="BZ42" s="766"/>
    </row>
    <row r="43" spans="2:78" hidden="1">
      <c r="BP43" s="766"/>
      <c r="BQ43" s="766"/>
      <c r="BR43" s="766"/>
      <c r="BS43" s="766"/>
      <c r="BT43" s="766"/>
      <c r="BU43" s="766"/>
      <c r="BV43" s="766"/>
      <c r="BW43" s="766"/>
      <c r="BX43" s="766"/>
      <c r="BY43" s="766"/>
      <c r="BZ43" s="766"/>
    </row>
    <row r="44" spans="2:78" hidden="1">
      <c r="BP44" s="766"/>
      <c r="BQ44" s="766"/>
      <c r="BR44" s="766"/>
      <c r="BS44" s="766"/>
      <c r="BT44" s="766"/>
      <c r="BU44" s="766"/>
      <c r="BV44" s="766"/>
      <c r="BW44" s="766"/>
      <c r="BX44" s="766"/>
      <c r="BY44" s="766"/>
      <c r="BZ44" s="766"/>
    </row>
    <row r="45" spans="2:78" hidden="1">
      <c r="BP45" s="766"/>
      <c r="BQ45" s="766"/>
      <c r="BR45" s="766"/>
      <c r="BS45" s="766"/>
      <c r="BT45" s="766"/>
      <c r="BU45" s="766"/>
      <c r="BV45" s="766"/>
      <c r="BW45" s="766"/>
      <c r="BX45" s="766"/>
      <c r="BY45" s="766"/>
      <c r="BZ45" s="766"/>
    </row>
    <row r="46" spans="2:78">
      <c r="BP46" s="766"/>
      <c r="BQ46" s="766"/>
      <c r="BR46" s="766"/>
      <c r="BS46" s="799"/>
      <c r="BT46" s="766"/>
      <c r="BU46" s="766"/>
      <c r="BV46" s="766"/>
      <c r="BW46" s="766"/>
      <c r="BX46" s="766"/>
      <c r="BY46" s="766"/>
      <c r="BZ46" s="766"/>
    </row>
    <row r="47" spans="2:78">
      <c r="BP47" s="766"/>
      <c r="BQ47" s="766"/>
      <c r="BR47" s="766"/>
      <c r="BS47" s="799"/>
      <c r="BT47" s="766"/>
      <c r="BU47" s="766"/>
      <c r="BV47" s="766"/>
      <c r="BW47" s="766"/>
      <c r="BX47" s="766"/>
      <c r="BY47" s="766"/>
      <c r="BZ47" s="766"/>
    </row>
    <row r="48" spans="2:78">
      <c r="BP48" s="766"/>
      <c r="BQ48" s="766"/>
      <c r="BR48" s="766"/>
      <c r="BS48" s="766"/>
      <c r="BT48" s="766"/>
      <c r="BU48" s="766"/>
      <c r="BV48" s="766"/>
      <c r="BW48" s="766"/>
      <c r="BX48" s="766"/>
      <c r="BY48" s="766"/>
      <c r="BZ48" s="766"/>
    </row>
    <row r="49" spans="2:78">
      <c r="J49" s="766"/>
      <c r="K49" s="766"/>
      <c r="L49" s="766"/>
      <c r="M49" s="766"/>
      <c r="N49" s="766"/>
      <c r="O49" s="766"/>
      <c r="P49" s="766"/>
      <c r="Q49" s="766"/>
      <c r="R49" s="766"/>
      <c r="S49" s="766"/>
      <c r="T49" s="766"/>
      <c r="U49" s="766"/>
      <c r="V49" s="766"/>
      <c r="W49" s="766"/>
      <c r="X49" s="766"/>
      <c r="Y49" s="766"/>
      <c r="Z49" s="766"/>
      <c r="AA49" s="766"/>
      <c r="AB49" s="766"/>
      <c r="AC49" s="766"/>
      <c r="AD49" s="766"/>
      <c r="AE49" s="766"/>
      <c r="AF49" s="766"/>
      <c r="AG49" s="766"/>
      <c r="AH49" s="766"/>
      <c r="AI49" s="766"/>
      <c r="AJ49" s="766"/>
      <c r="AK49" s="766"/>
      <c r="AL49" s="766"/>
      <c r="AM49" s="766"/>
      <c r="AN49" s="766"/>
      <c r="AO49" s="766"/>
      <c r="AP49" s="766"/>
      <c r="AQ49" s="766"/>
      <c r="AR49" s="766"/>
      <c r="AS49" s="766"/>
      <c r="AT49" s="766"/>
      <c r="AU49" s="766"/>
      <c r="AV49" s="766"/>
      <c r="AW49" s="766"/>
      <c r="AX49" s="766"/>
      <c r="AY49" s="766"/>
      <c r="AZ49" s="766"/>
      <c r="BA49" s="766"/>
      <c r="BB49" s="766"/>
      <c r="BC49" s="766"/>
      <c r="BD49" s="766"/>
      <c r="BE49" s="766"/>
      <c r="BF49" s="766"/>
      <c r="BG49" s="766"/>
      <c r="BH49" s="766"/>
      <c r="BI49" s="766"/>
      <c r="BJ49" s="766"/>
      <c r="BK49" s="766"/>
      <c r="BL49" s="766"/>
      <c r="BM49" s="766"/>
      <c r="BN49" s="766"/>
      <c r="BO49" s="766"/>
      <c r="BP49" s="766"/>
      <c r="BQ49" s="766"/>
      <c r="BR49" s="766"/>
      <c r="BS49" s="766"/>
      <c r="BT49" s="766"/>
      <c r="BU49" s="766"/>
      <c r="BV49" s="766"/>
      <c r="BW49" s="766"/>
      <c r="BX49" s="766"/>
      <c r="BY49" s="766"/>
      <c r="BZ49" s="766"/>
    </row>
    <row r="50" spans="2:78" s="800" customFormat="1" ht="13">
      <c r="H50" s="666"/>
      <c r="I50" s="666"/>
      <c r="J50" s="766"/>
      <c r="K50" s="766"/>
      <c r="L50" s="766"/>
      <c r="M50" s="766"/>
      <c r="N50" s="766"/>
      <c r="O50" s="766"/>
      <c r="P50" s="766"/>
      <c r="Q50" s="766"/>
      <c r="R50" s="766"/>
      <c r="S50" s="801"/>
      <c r="Y50" s="801"/>
      <c r="AE50" s="801"/>
      <c r="AK50" s="801"/>
      <c r="AQ50" s="801"/>
      <c r="AW50" s="801"/>
      <c r="BC50" s="801"/>
      <c r="BI50" s="801"/>
      <c r="BO50" s="801"/>
      <c r="BU50" s="801"/>
    </row>
    <row r="51" spans="2:78" ht="13">
      <c r="B51" s="800" t="s">
        <v>147</v>
      </c>
      <c r="C51" s="800"/>
      <c r="D51" s="801">
        <f>SUM(D22:D48)</f>
        <v>11156</v>
      </c>
      <c r="E51" s="801">
        <f>SUM(E22:E48)</f>
        <v>13256</v>
      </c>
      <c r="F51" s="801">
        <f>SUM(F22:F48)</f>
        <v>49286.700099999995</v>
      </c>
      <c r="H51" s="800" t="s">
        <v>147</v>
      </c>
      <c r="I51" s="800"/>
      <c r="J51" s="801">
        <f>SUM(J22:J50)</f>
        <v>12056</v>
      </c>
      <c r="K51" s="801">
        <f>SUM(K22:K50)</f>
        <v>13256</v>
      </c>
      <c r="L51" s="801">
        <f>SUM(L22:L50)</f>
        <v>53201.0501</v>
      </c>
      <c r="M51" s="801"/>
      <c r="N51" s="801" t="s">
        <v>147</v>
      </c>
      <c r="O51" s="801"/>
      <c r="P51" s="801">
        <f>SUM(P22:P50)</f>
        <v>12056</v>
      </c>
      <c r="Q51" s="801">
        <f>SUM(Q22:Q50)</f>
        <v>13256</v>
      </c>
      <c r="R51" s="801">
        <f>SUM(R22:R50)</f>
        <v>53201.0501</v>
      </c>
      <c r="S51" s="766"/>
      <c r="T51" s="801" t="s">
        <v>147</v>
      </c>
      <c r="U51" s="801"/>
      <c r="V51" s="801">
        <f>SUM(V22:V48)</f>
        <v>12056</v>
      </c>
      <c r="W51" s="801">
        <f>SUM(W22:W48)</f>
        <v>13256</v>
      </c>
      <c r="X51" s="801">
        <f>SUM(X22:X48)</f>
        <v>53419.8001</v>
      </c>
      <c r="Y51" s="766"/>
      <c r="Z51" s="801" t="s">
        <v>147</v>
      </c>
      <c r="AA51" s="801"/>
      <c r="AB51" s="801">
        <f>SUM(AB22:AB48)</f>
        <v>12056</v>
      </c>
      <c r="AC51" s="801">
        <f>SUM(AC22:AC48)</f>
        <v>13256</v>
      </c>
      <c r="AD51" s="801">
        <f>SUM(AD22:AD48)</f>
        <v>53419.8001</v>
      </c>
      <c r="AE51" s="766"/>
      <c r="AF51" s="801" t="s">
        <v>147</v>
      </c>
      <c r="AG51" s="801"/>
      <c r="AH51" s="801">
        <f>SUM(AH22:AH48)</f>
        <v>12056</v>
      </c>
      <c r="AI51" s="801">
        <f>SUM(AI22:AI48)</f>
        <v>13256</v>
      </c>
      <c r="AJ51" s="801">
        <f>SUM(AJ22:AJ48)</f>
        <v>49536.0501</v>
      </c>
      <c r="AK51" s="766"/>
      <c r="AL51" s="801" t="s">
        <v>147</v>
      </c>
      <c r="AM51" s="801"/>
      <c r="AN51" s="801">
        <f>SUM(AN22:AN48)</f>
        <v>12056</v>
      </c>
      <c r="AO51" s="801">
        <f>SUM(AO22:AO48)</f>
        <v>13256</v>
      </c>
      <c r="AP51" s="801">
        <f>SUM(AP22:AP48)</f>
        <v>49002.970099999999</v>
      </c>
      <c r="AQ51" s="766"/>
      <c r="AR51" s="801" t="s">
        <v>147</v>
      </c>
      <c r="AS51" s="801"/>
      <c r="AT51" s="801">
        <f>SUM(AT22:AT48)</f>
        <v>12056</v>
      </c>
      <c r="AU51" s="801">
        <f>SUM(AU22:AU48)</f>
        <v>13256</v>
      </c>
      <c r="AV51" s="801">
        <f>SUM(AV22:AV48)</f>
        <v>54690.850099999996</v>
      </c>
      <c r="AW51" s="766"/>
      <c r="AX51" s="801" t="s">
        <v>147</v>
      </c>
      <c r="AY51" s="801"/>
      <c r="AZ51" s="801">
        <f>SUM(AZ22:AZ48)</f>
        <v>12056</v>
      </c>
      <c r="BA51" s="801">
        <f>SUM(BA22:BA48)</f>
        <v>13256</v>
      </c>
      <c r="BB51" s="801">
        <f>SUM(BB22:BB48)</f>
        <v>54690.850099999996</v>
      </c>
      <c r="BC51" s="766"/>
      <c r="BD51" s="801" t="s">
        <v>147</v>
      </c>
      <c r="BE51" s="801"/>
      <c r="BF51" s="801">
        <f>SUM(BF22:BF48)</f>
        <v>12056</v>
      </c>
      <c r="BG51" s="801">
        <f>SUM(BG22:BG48)</f>
        <v>13256</v>
      </c>
      <c r="BH51" s="801">
        <f>SUM(BH22:BH48)</f>
        <v>54690.850099999996</v>
      </c>
      <c r="BI51" s="766"/>
      <c r="BJ51" s="801" t="s">
        <v>147</v>
      </c>
      <c r="BK51" s="801"/>
      <c r="BL51" s="801">
        <f>SUM(BL22:BL48)</f>
        <v>12056</v>
      </c>
      <c r="BM51" s="801">
        <f>SUM(BM22:BM48)</f>
        <v>13256</v>
      </c>
      <c r="BN51" s="801">
        <f>SUM(BN22:BN48)</f>
        <v>53475.850099999996</v>
      </c>
      <c r="BO51" s="766"/>
      <c r="BP51" s="801" t="s">
        <v>147</v>
      </c>
      <c r="BQ51" s="801"/>
      <c r="BR51" s="801">
        <f>SUM(BR22:BR48)</f>
        <v>12056</v>
      </c>
      <c r="BS51" s="801">
        <f>SUM(BS22:BS48)</f>
        <v>13256</v>
      </c>
      <c r="BT51" s="801">
        <f>SUM(BT22:BT48)</f>
        <v>53475.850099999996</v>
      </c>
      <c r="BU51" s="766"/>
      <c r="BV51" s="801" t="s">
        <v>147</v>
      </c>
      <c r="BW51" s="801"/>
      <c r="BX51" s="801">
        <f>SUM(BX22:BX48)</f>
        <v>12056</v>
      </c>
      <c r="BY51" s="801">
        <f>SUM(BY22:BY48)</f>
        <v>13256</v>
      </c>
      <c r="BZ51" s="801">
        <f>SUM(BZ22:BZ48)</f>
        <v>51530.850099999996</v>
      </c>
    </row>
    <row r="52" spans="2:78">
      <c r="M52" s="766"/>
      <c r="N52" s="766"/>
      <c r="O52" s="766"/>
      <c r="P52" s="766"/>
      <c r="Q52" s="766"/>
      <c r="R52" s="766"/>
      <c r="S52" s="766"/>
      <c r="T52" s="797"/>
      <c r="U52" s="766"/>
      <c r="V52" s="766"/>
      <c r="W52" s="766"/>
      <c r="X52" s="766"/>
      <c r="Y52" s="766"/>
      <c r="Z52" s="766"/>
      <c r="AA52" s="766"/>
      <c r="AB52" s="766"/>
      <c r="AC52" s="766"/>
      <c r="AD52" s="766"/>
      <c r="AE52" s="766"/>
      <c r="AF52" s="766"/>
      <c r="AG52" s="766"/>
      <c r="AH52" s="766"/>
      <c r="AI52" s="766"/>
      <c r="AJ52" s="766"/>
      <c r="AK52" s="766"/>
      <c r="AL52" s="766"/>
      <c r="AM52" s="766"/>
      <c r="AN52" s="766"/>
      <c r="AO52" s="766"/>
      <c r="AP52" s="766"/>
      <c r="AQ52" s="766"/>
      <c r="AR52" s="766"/>
      <c r="AS52" s="766"/>
      <c r="AT52" s="766"/>
      <c r="AU52" s="766"/>
      <c r="AV52" s="766"/>
      <c r="AW52" s="766"/>
      <c r="AX52" s="766"/>
      <c r="AY52" s="766"/>
      <c r="AZ52" s="766"/>
      <c r="BA52" s="766"/>
      <c r="BB52" s="766"/>
      <c r="BC52" s="766"/>
      <c r="BD52" s="766"/>
      <c r="BE52" s="766"/>
      <c r="BF52" s="766"/>
      <c r="BG52" s="766"/>
      <c r="BH52" s="766"/>
      <c r="BI52" s="766"/>
      <c r="BJ52" s="797"/>
      <c r="BK52" s="766"/>
      <c r="BL52" s="766"/>
      <c r="BM52" s="766"/>
      <c r="BN52" s="766"/>
      <c r="BO52" s="766"/>
      <c r="BP52" s="797"/>
      <c r="BQ52" s="766"/>
      <c r="BR52" s="766"/>
      <c r="BS52" s="766"/>
      <c r="BT52" s="766"/>
      <c r="BU52" s="766"/>
      <c r="BV52" s="797"/>
      <c r="BW52" s="766"/>
      <c r="BX52" s="766"/>
      <c r="BY52" s="766"/>
      <c r="BZ52" s="766"/>
    </row>
    <row r="53" spans="2:78">
      <c r="J53" s="766"/>
      <c r="K53" s="766"/>
      <c r="L53" s="766"/>
      <c r="M53" s="766"/>
      <c r="N53" s="797"/>
      <c r="O53" s="766"/>
      <c r="P53" s="766"/>
      <c r="Q53" s="766"/>
      <c r="R53" s="766"/>
      <c r="S53" s="766"/>
      <c r="T53" s="797"/>
      <c r="U53" s="766"/>
      <c r="V53" s="766"/>
      <c r="W53" s="766"/>
      <c r="X53" s="766"/>
      <c r="Y53" s="766"/>
      <c r="Z53" s="797"/>
      <c r="AA53" s="766"/>
      <c r="AB53" s="766"/>
      <c r="AC53" s="766"/>
      <c r="AD53" s="766"/>
      <c r="AE53" s="766"/>
      <c r="AF53" s="797"/>
      <c r="AG53" s="766"/>
      <c r="AH53" s="766"/>
      <c r="AI53" s="766"/>
      <c r="AJ53" s="766"/>
      <c r="AK53" s="766"/>
      <c r="AL53" s="797"/>
      <c r="AM53" s="766"/>
      <c r="AN53" s="766"/>
      <c r="AO53" s="766"/>
      <c r="AP53" s="766"/>
      <c r="AQ53" s="766"/>
      <c r="AR53" s="797"/>
      <c r="AS53" s="766"/>
      <c r="AT53" s="766"/>
      <c r="AU53" s="766"/>
      <c r="AV53" s="766"/>
      <c r="AW53" s="766"/>
      <c r="AX53" s="766"/>
      <c r="AY53" s="766"/>
      <c r="AZ53" s="766"/>
      <c r="BA53" s="766"/>
      <c r="BB53" s="766"/>
      <c r="BC53" s="766"/>
      <c r="BD53" s="766"/>
      <c r="BE53" s="766"/>
      <c r="BF53" s="766"/>
      <c r="BG53" s="766"/>
      <c r="BH53" s="766"/>
      <c r="BI53" s="766"/>
      <c r="BJ53" s="766"/>
      <c r="BK53" s="766"/>
      <c r="BL53" s="766"/>
      <c r="BM53" s="766"/>
      <c r="BN53" s="766"/>
      <c r="BO53" s="766"/>
      <c r="BP53" s="797"/>
      <c r="BQ53" s="766"/>
      <c r="BR53" s="766"/>
      <c r="BS53" s="766"/>
      <c r="BT53" s="766"/>
      <c r="BU53" s="766"/>
      <c r="BV53" s="797"/>
      <c r="BW53" s="766"/>
      <c r="BX53" s="766"/>
      <c r="BY53" s="766"/>
      <c r="BZ53" s="766"/>
    </row>
    <row r="54" spans="2:78">
      <c r="B54" s="666" t="s">
        <v>153</v>
      </c>
      <c r="J54" s="766"/>
      <c r="K54" s="766"/>
      <c r="L54" s="766"/>
      <c r="M54" s="766"/>
      <c r="N54" s="797"/>
      <c r="O54" s="766"/>
      <c r="P54" s="766"/>
      <c r="Q54" s="766"/>
      <c r="R54" s="766"/>
      <c r="S54" s="766"/>
      <c r="T54" s="797"/>
      <c r="U54" s="766"/>
      <c r="V54" s="766"/>
      <c r="W54" s="766"/>
      <c r="X54" s="766"/>
      <c r="Y54" s="766"/>
      <c r="Z54" s="797"/>
      <c r="AA54" s="766"/>
      <c r="AB54" s="766"/>
      <c r="AC54" s="766"/>
      <c r="AD54" s="766"/>
      <c r="AE54" s="766"/>
      <c r="AF54" s="797"/>
      <c r="AG54" s="766"/>
      <c r="AH54" s="766"/>
      <c r="AI54" s="766"/>
      <c r="AJ54" s="766"/>
      <c r="AK54" s="766"/>
      <c r="AL54" s="797"/>
      <c r="AM54" s="766"/>
      <c r="AN54" s="766"/>
      <c r="AO54" s="766"/>
      <c r="AP54" s="766"/>
      <c r="AQ54" s="766"/>
      <c r="AR54" s="797"/>
      <c r="AS54" s="766"/>
      <c r="AT54" s="766"/>
      <c r="AU54" s="766"/>
      <c r="AV54" s="766"/>
      <c r="AW54" s="766"/>
      <c r="AX54" s="766"/>
      <c r="AY54" s="766"/>
      <c r="AZ54" s="766"/>
      <c r="BA54" s="766"/>
      <c r="BB54" s="766"/>
      <c r="BC54" s="766"/>
      <c r="BD54" s="766"/>
      <c r="BE54" s="766"/>
      <c r="BF54" s="766"/>
      <c r="BG54" s="766"/>
      <c r="BH54" s="766"/>
      <c r="BI54" s="766"/>
      <c r="BJ54" s="766"/>
      <c r="BK54" s="766"/>
      <c r="BL54" s="766"/>
      <c r="BM54" s="766"/>
      <c r="BN54" s="766"/>
      <c r="BO54" s="766"/>
      <c r="BP54" s="797"/>
      <c r="BQ54" s="766"/>
      <c r="BR54" s="766"/>
      <c r="BS54" s="766"/>
      <c r="BT54" s="766"/>
      <c r="BU54" s="766"/>
      <c r="BV54" s="797"/>
      <c r="BW54" s="766"/>
      <c r="BX54" s="766"/>
      <c r="BY54" s="766"/>
      <c r="BZ54" s="766"/>
    </row>
    <row r="55" spans="2:78">
      <c r="B55" s="666" t="s">
        <v>154</v>
      </c>
      <c r="J55" s="766"/>
      <c r="K55" s="766"/>
      <c r="L55" s="766"/>
      <c r="M55" s="766"/>
      <c r="N55" s="797"/>
      <c r="O55" s="766"/>
      <c r="P55" s="766"/>
      <c r="Q55" s="766"/>
      <c r="R55" s="766"/>
      <c r="S55" s="766"/>
      <c r="T55" s="766"/>
      <c r="U55" s="766"/>
      <c r="V55" s="766"/>
      <c r="W55" s="766"/>
      <c r="X55" s="766"/>
      <c r="Y55" s="766"/>
      <c r="Z55" s="797"/>
      <c r="AA55" s="766"/>
      <c r="AB55" s="766"/>
      <c r="AC55" s="766"/>
      <c r="AD55" s="766"/>
      <c r="AE55" s="766"/>
      <c r="AF55" s="797"/>
      <c r="AG55" s="766"/>
      <c r="AH55" s="766"/>
      <c r="AI55" s="766"/>
      <c r="AJ55" s="766"/>
      <c r="AK55" s="766"/>
      <c r="AL55" s="766"/>
      <c r="AM55" s="766"/>
      <c r="AN55" s="766"/>
      <c r="AO55" s="766"/>
      <c r="AP55" s="766"/>
      <c r="AQ55" s="766"/>
      <c r="AR55" s="797"/>
      <c r="AS55" s="766"/>
      <c r="AT55" s="766"/>
      <c r="AU55" s="766"/>
      <c r="AV55" s="766"/>
      <c r="AW55" s="766"/>
      <c r="AX55" s="766"/>
      <c r="AY55" s="766"/>
      <c r="AZ55" s="766"/>
      <c r="BA55" s="766"/>
      <c r="BB55" s="766"/>
      <c r="BC55" s="766"/>
      <c r="BD55" s="766"/>
      <c r="BE55" s="766"/>
      <c r="BF55" s="766"/>
      <c r="BG55" s="766"/>
      <c r="BH55" s="766"/>
      <c r="BI55" s="766"/>
      <c r="BJ55" s="766"/>
      <c r="BK55" s="766"/>
      <c r="BL55" s="766"/>
      <c r="BM55" s="766"/>
      <c r="BN55" s="766"/>
      <c r="BO55" s="766"/>
      <c r="BP55" s="766"/>
      <c r="BQ55" s="766"/>
      <c r="BR55" s="766"/>
      <c r="BS55" s="766"/>
      <c r="BT55" s="766"/>
      <c r="BU55" s="766"/>
      <c r="BV55" s="766"/>
      <c r="BW55" s="766"/>
      <c r="BX55" s="766"/>
      <c r="BY55" s="766"/>
      <c r="BZ55" s="766"/>
    </row>
    <row r="56" spans="2:78">
      <c r="B56" s="678" t="s">
        <v>155</v>
      </c>
      <c r="J56" s="766"/>
      <c r="K56" s="766"/>
      <c r="L56" s="766"/>
      <c r="M56" s="766"/>
      <c r="N56" s="766"/>
      <c r="O56" s="766"/>
      <c r="P56" s="766"/>
      <c r="Q56" s="766"/>
      <c r="R56" s="766"/>
      <c r="S56" s="766"/>
      <c r="T56" s="766"/>
      <c r="U56" s="766"/>
      <c r="V56" s="766"/>
      <c r="W56" s="766"/>
      <c r="X56" s="766"/>
      <c r="Y56" s="766"/>
      <c r="Z56" s="797"/>
      <c r="AA56" s="766"/>
      <c r="AB56" s="766"/>
      <c r="AC56" s="766"/>
      <c r="AD56" s="766"/>
      <c r="AE56" s="766"/>
      <c r="AF56" s="797"/>
      <c r="AG56" s="766"/>
      <c r="AH56" s="766"/>
      <c r="AI56" s="766"/>
      <c r="AJ56" s="766"/>
      <c r="AK56" s="766"/>
      <c r="AL56" s="766"/>
      <c r="AM56" s="766"/>
      <c r="AN56" s="766"/>
      <c r="AO56" s="766"/>
      <c r="AP56" s="766"/>
      <c r="AQ56" s="766"/>
      <c r="AR56" s="797"/>
      <c r="AS56" s="766"/>
      <c r="AT56" s="766"/>
      <c r="AU56" s="766"/>
      <c r="AV56" s="766"/>
      <c r="AW56" s="766"/>
      <c r="AX56" s="766"/>
      <c r="AY56" s="766"/>
      <c r="AZ56" s="766"/>
      <c r="BA56" s="766"/>
      <c r="BB56" s="766"/>
      <c r="BC56" s="766"/>
      <c r="BD56" s="766"/>
      <c r="BE56" s="766"/>
      <c r="BF56" s="766"/>
      <c r="BG56" s="766"/>
      <c r="BH56" s="766"/>
      <c r="BI56" s="766"/>
      <c r="BJ56" s="766"/>
      <c r="BK56" s="766"/>
      <c r="BL56" s="766"/>
      <c r="BM56" s="766"/>
      <c r="BN56" s="766"/>
      <c r="BO56" s="766"/>
      <c r="BP56" s="766"/>
      <c r="BQ56" s="766"/>
      <c r="BR56" s="766"/>
      <c r="BS56" s="766"/>
      <c r="BT56" s="766"/>
      <c r="BU56" s="766"/>
      <c r="BV56" s="766"/>
      <c r="BW56" s="766"/>
      <c r="BX56" s="766"/>
      <c r="BY56" s="766"/>
      <c r="BZ56" s="766"/>
    </row>
    <row r="57" spans="2:78">
      <c r="J57" s="766"/>
      <c r="K57" s="766"/>
      <c r="L57" s="766"/>
      <c r="M57" s="766"/>
      <c r="N57" s="766"/>
      <c r="O57" s="766"/>
      <c r="P57" s="766"/>
      <c r="Q57" s="766"/>
      <c r="R57" s="766"/>
      <c r="S57" s="766"/>
      <c r="T57" s="766"/>
      <c r="U57" s="766"/>
      <c r="V57" s="766"/>
      <c r="W57" s="766"/>
      <c r="X57" s="766"/>
      <c r="Y57" s="766"/>
      <c r="Z57" s="797"/>
      <c r="AA57" s="766"/>
      <c r="AB57" s="766"/>
      <c r="AC57" s="766"/>
      <c r="AD57" s="766"/>
      <c r="AE57" s="766"/>
      <c r="AF57" s="766"/>
      <c r="AG57" s="766"/>
      <c r="AH57" s="766"/>
      <c r="AI57" s="766"/>
      <c r="AJ57" s="766"/>
      <c r="AK57" s="766"/>
      <c r="AL57" s="766"/>
      <c r="AM57" s="766"/>
      <c r="AN57" s="766"/>
      <c r="AO57" s="766"/>
      <c r="AP57" s="766"/>
      <c r="AQ57" s="766"/>
      <c r="AR57" s="766"/>
      <c r="AS57" s="766"/>
      <c r="AT57" s="766"/>
      <c r="AU57" s="766"/>
      <c r="AV57" s="766"/>
      <c r="AW57" s="766"/>
      <c r="AX57" s="766"/>
      <c r="AY57" s="766"/>
      <c r="AZ57" s="766"/>
      <c r="BA57" s="766"/>
      <c r="BB57" s="766"/>
      <c r="BC57" s="766"/>
      <c r="BD57" s="766"/>
      <c r="BE57" s="766"/>
      <c r="BF57" s="766"/>
      <c r="BG57" s="766"/>
      <c r="BH57" s="766"/>
      <c r="BI57" s="766"/>
      <c r="BJ57" s="766"/>
      <c r="BK57" s="766"/>
      <c r="BL57" s="766"/>
      <c r="BM57" s="766"/>
      <c r="BN57" s="766"/>
      <c r="BO57" s="766"/>
      <c r="BP57" s="766"/>
      <c r="BQ57" s="766"/>
      <c r="BR57" s="766"/>
      <c r="BS57" s="766"/>
      <c r="BT57" s="766"/>
      <c r="BU57" s="766"/>
      <c r="BV57" s="766"/>
      <c r="BW57" s="766"/>
      <c r="BX57" s="766"/>
      <c r="BY57" s="766"/>
      <c r="BZ57" s="766"/>
    </row>
    <row r="58" spans="2:78">
      <c r="J58" s="766"/>
      <c r="K58" s="766"/>
      <c r="L58" s="766"/>
      <c r="M58" s="766"/>
      <c r="N58" s="766"/>
      <c r="O58" s="766"/>
      <c r="P58" s="766"/>
      <c r="Q58" s="766"/>
      <c r="R58" s="766"/>
      <c r="S58" s="766"/>
      <c r="T58" s="766"/>
      <c r="U58" s="766"/>
      <c r="V58" s="766"/>
      <c r="W58" s="766"/>
      <c r="X58" s="766"/>
      <c r="Y58" s="766"/>
      <c r="Z58" s="797"/>
      <c r="AA58" s="766"/>
      <c r="AB58" s="766"/>
      <c r="AC58" s="766"/>
      <c r="AD58" s="766"/>
      <c r="AE58" s="766"/>
      <c r="AF58" s="766"/>
      <c r="AG58" s="766"/>
      <c r="AH58" s="766"/>
      <c r="AI58" s="766"/>
      <c r="AJ58" s="766"/>
      <c r="AK58" s="766"/>
      <c r="AL58" s="766"/>
      <c r="AM58" s="766"/>
      <c r="AN58" s="766"/>
      <c r="AO58" s="766"/>
      <c r="AP58" s="766"/>
      <c r="AQ58" s="766"/>
      <c r="AR58" s="766"/>
      <c r="AS58" s="766"/>
      <c r="AT58" s="766"/>
      <c r="AU58" s="766"/>
      <c r="AV58" s="766"/>
      <c r="AW58" s="766"/>
      <c r="AX58" s="766"/>
      <c r="AY58" s="766"/>
      <c r="AZ58" s="766"/>
      <c r="BA58" s="766"/>
      <c r="BB58" s="766"/>
      <c r="BC58" s="766"/>
      <c r="BD58" s="766"/>
      <c r="BE58" s="766"/>
      <c r="BF58" s="766"/>
      <c r="BG58" s="766"/>
      <c r="BH58" s="766"/>
      <c r="BI58" s="766"/>
      <c r="BJ58" s="766"/>
      <c r="BK58" s="766"/>
      <c r="BL58" s="766"/>
      <c r="BM58" s="766"/>
      <c r="BN58" s="766"/>
      <c r="BO58" s="766"/>
      <c r="BP58" s="766"/>
      <c r="BQ58" s="766"/>
      <c r="BR58" s="766"/>
      <c r="BS58" s="766"/>
      <c r="BT58" s="766"/>
      <c r="BU58" s="766"/>
      <c r="BV58" s="766"/>
      <c r="BW58" s="766"/>
      <c r="BX58" s="766"/>
      <c r="BY58" s="766"/>
      <c r="BZ58" s="766"/>
    </row>
    <row r="59" spans="2:78">
      <c r="J59" s="766"/>
      <c r="K59" s="766"/>
      <c r="L59" s="766"/>
      <c r="M59" s="766"/>
      <c r="N59" s="766"/>
      <c r="O59" s="766"/>
      <c r="P59" s="766"/>
      <c r="Q59" s="766"/>
      <c r="R59" s="766"/>
      <c r="S59" s="766"/>
      <c r="T59" s="766"/>
      <c r="U59" s="766"/>
      <c r="V59" s="766"/>
      <c r="W59" s="766"/>
      <c r="X59" s="766"/>
      <c r="Y59" s="766"/>
      <c r="Z59" s="766"/>
      <c r="AA59" s="766"/>
      <c r="AB59" s="766"/>
      <c r="AC59" s="766"/>
      <c r="AD59" s="766"/>
      <c r="AE59" s="766"/>
      <c r="AF59" s="766"/>
      <c r="AG59" s="766"/>
      <c r="AH59" s="766"/>
      <c r="AI59" s="766"/>
      <c r="AJ59" s="766"/>
      <c r="AK59" s="766"/>
      <c r="AL59" s="766"/>
      <c r="AM59" s="766"/>
      <c r="AN59" s="766"/>
      <c r="AO59" s="766"/>
      <c r="AP59" s="766"/>
      <c r="AQ59" s="766"/>
      <c r="AR59" s="766"/>
      <c r="AS59" s="766"/>
      <c r="AT59" s="766"/>
      <c r="AU59" s="766"/>
      <c r="AV59" s="766"/>
      <c r="AW59" s="766"/>
      <c r="AX59" s="766"/>
      <c r="AY59" s="766"/>
      <c r="AZ59" s="766"/>
      <c r="BA59" s="766"/>
      <c r="BB59" s="766"/>
      <c r="BC59" s="766"/>
      <c r="BD59" s="766"/>
      <c r="BE59" s="766"/>
      <c r="BF59" s="766"/>
      <c r="BG59" s="766"/>
      <c r="BH59" s="766"/>
      <c r="BI59" s="766"/>
      <c r="BJ59" s="766"/>
      <c r="BK59" s="766"/>
      <c r="BL59" s="766"/>
      <c r="BM59" s="766"/>
      <c r="BN59" s="766"/>
      <c r="BO59" s="766"/>
      <c r="BP59" s="766"/>
      <c r="BQ59" s="766"/>
      <c r="BR59" s="766"/>
      <c r="BS59" s="766"/>
      <c r="BT59" s="766"/>
      <c r="BU59" s="766"/>
      <c r="BV59" s="766"/>
      <c r="BW59" s="766"/>
      <c r="BX59" s="766"/>
      <c r="BY59" s="766"/>
      <c r="BZ59" s="766"/>
    </row>
    <row r="60" spans="2:78">
      <c r="J60" s="766"/>
      <c r="K60" s="766"/>
      <c r="L60" s="766"/>
      <c r="M60" s="766"/>
      <c r="N60" s="766"/>
      <c r="O60" s="766"/>
      <c r="P60" s="766"/>
      <c r="Q60" s="766"/>
      <c r="R60" s="766"/>
      <c r="S60" s="766"/>
      <c r="T60" s="766"/>
      <c r="U60" s="766"/>
      <c r="V60" s="766"/>
      <c r="W60" s="766"/>
      <c r="X60" s="766"/>
      <c r="Y60" s="766"/>
      <c r="Z60" s="766"/>
      <c r="AA60" s="766"/>
      <c r="AB60" s="766"/>
      <c r="AC60" s="766"/>
      <c r="AD60" s="766"/>
      <c r="AE60" s="766"/>
      <c r="AF60" s="766"/>
      <c r="AG60" s="766"/>
      <c r="AH60" s="766"/>
      <c r="AI60" s="766"/>
      <c r="AJ60" s="766"/>
      <c r="AK60" s="766"/>
      <c r="AL60" s="766"/>
      <c r="AM60" s="766"/>
      <c r="AN60" s="766"/>
      <c r="AO60" s="766"/>
      <c r="AP60" s="766"/>
      <c r="AQ60" s="766"/>
      <c r="AR60" s="766"/>
      <c r="AS60" s="766"/>
      <c r="AT60" s="766"/>
      <c r="AU60" s="766"/>
      <c r="AV60" s="766"/>
      <c r="AW60" s="766"/>
      <c r="AX60" s="766"/>
      <c r="AY60" s="766"/>
      <c r="AZ60" s="766"/>
      <c r="BA60" s="766"/>
      <c r="BB60" s="766"/>
      <c r="BC60" s="766"/>
      <c r="BD60" s="766"/>
      <c r="BE60" s="766"/>
      <c r="BF60" s="766"/>
      <c r="BG60" s="766"/>
      <c r="BH60" s="766"/>
      <c r="BI60" s="766"/>
      <c r="BJ60" s="766"/>
      <c r="BK60" s="766"/>
      <c r="BL60" s="766"/>
      <c r="BM60" s="766"/>
      <c r="BN60" s="766"/>
      <c r="BO60" s="766"/>
      <c r="BP60" s="766"/>
      <c r="BQ60" s="766"/>
      <c r="BR60" s="766"/>
      <c r="BS60" s="766"/>
      <c r="BT60" s="766"/>
      <c r="BU60" s="766"/>
      <c r="BV60" s="766"/>
      <c r="BW60" s="766"/>
      <c r="BX60" s="766"/>
      <c r="BY60" s="766"/>
      <c r="BZ60" s="766"/>
    </row>
    <row r="61" spans="2:78" ht="13">
      <c r="H61" s="800" t="s">
        <v>156</v>
      </c>
      <c r="J61" s="766">
        <v>0</v>
      </c>
      <c r="K61" s="766">
        <v>0</v>
      </c>
      <c r="L61" s="766">
        <v>0</v>
      </c>
      <c r="M61" s="766"/>
      <c r="N61" s="800" t="s">
        <v>156</v>
      </c>
      <c r="P61" s="766">
        <v>0</v>
      </c>
      <c r="Q61" s="766">
        <v>0</v>
      </c>
      <c r="R61" s="766">
        <v>0</v>
      </c>
      <c r="S61" s="800"/>
      <c r="T61" s="800" t="s">
        <v>156</v>
      </c>
      <c r="V61" s="766">
        <v>0</v>
      </c>
      <c r="W61" s="766">
        <v>0</v>
      </c>
      <c r="X61" s="766">
        <v>0</v>
      </c>
      <c r="Y61" s="766"/>
      <c r="Z61" s="800" t="s">
        <v>156</v>
      </c>
      <c r="AB61" s="766">
        <v>0</v>
      </c>
      <c r="AC61" s="766">
        <v>0</v>
      </c>
      <c r="AD61" s="766">
        <v>0</v>
      </c>
      <c r="AE61" s="766"/>
      <c r="AF61" s="800" t="s">
        <v>156</v>
      </c>
      <c r="AH61" s="766">
        <v>0</v>
      </c>
      <c r="AI61" s="766">
        <v>0</v>
      </c>
      <c r="AJ61" s="766">
        <v>0</v>
      </c>
      <c r="AK61" s="766"/>
      <c r="AL61" s="800" t="s">
        <v>156</v>
      </c>
      <c r="AN61" s="766">
        <v>0</v>
      </c>
      <c r="AO61" s="766">
        <v>0</v>
      </c>
      <c r="AP61" s="766">
        <v>0</v>
      </c>
      <c r="AQ61" s="766"/>
      <c r="AR61" s="800" t="s">
        <v>156</v>
      </c>
      <c r="AT61" s="766">
        <v>0</v>
      </c>
      <c r="AU61" s="766">
        <v>0</v>
      </c>
      <c r="AV61" s="766">
        <v>0</v>
      </c>
      <c r="AW61" s="766"/>
      <c r="AX61" s="800" t="s">
        <v>156</v>
      </c>
      <c r="AZ61" s="766">
        <v>0</v>
      </c>
      <c r="BA61" s="766">
        <v>0</v>
      </c>
      <c r="BB61" s="766">
        <v>0</v>
      </c>
      <c r="BC61" s="766"/>
      <c r="BD61" s="800" t="s">
        <v>156</v>
      </c>
      <c r="BF61" s="766">
        <v>0</v>
      </c>
      <c r="BG61" s="766">
        <v>0</v>
      </c>
      <c r="BH61" s="766">
        <v>0</v>
      </c>
      <c r="BI61" s="766"/>
      <c r="BJ61" s="800" t="s">
        <v>156</v>
      </c>
      <c r="BL61" s="766">
        <v>0</v>
      </c>
      <c r="BM61" s="766">
        <v>0</v>
      </c>
      <c r="BN61" s="766">
        <v>0</v>
      </c>
      <c r="BO61" s="766"/>
      <c r="BP61" s="800" t="s">
        <v>156</v>
      </c>
      <c r="BR61" s="766">
        <v>0</v>
      </c>
      <c r="BS61" s="766">
        <v>0</v>
      </c>
      <c r="BT61" s="766">
        <v>0</v>
      </c>
      <c r="BU61" s="766"/>
      <c r="BV61" s="800" t="s">
        <v>156</v>
      </c>
      <c r="BX61" s="766">
        <v>0</v>
      </c>
      <c r="BY61" s="766">
        <v>0</v>
      </c>
      <c r="BZ61" s="766">
        <v>0</v>
      </c>
    </row>
    <row r="62" spans="2:78" ht="13">
      <c r="H62" s="800"/>
      <c r="J62" s="766">
        <v>0</v>
      </c>
      <c r="K62" s="766">
        <v>0</v>
      </c>
      <c r="L62" s="766">
        <v>0</v>
      </c>
      <c r="M62" s="766"/>
      <c r="N62" s="800"/>
      <c r="P62" s="766">
        <v>0</v>
      </c>
      <c r="Q62" s="766">
        <v>0</v>
      </c>
      <c r="R62" s="766">
        <v>0</v>
      </c>
      <c r="S62" s="800"/>
      <c r="T62" s="800"/>
      <c r="V62" s="766">
        <v>0</v>
      </c>
      <c r="W62" s="766">
        <v>0</v>
      </c>
      <c r="X62" s="766">
        <v>0</v>
      </c>
      <c r="Y62" s="766"/>
      <c r="Z62" s="800"/>
      <c r="AB62" s="766">
        <v>0</v>
      </c>
      <c r="AC62" s="766">
        <v>0</v>
      </c>
      <c r="AD62" s="766">
        <v>0</v>
      </c>
      <c r="AE62" s="766"/>
      <c r="AF62" s="666" t="s">
        <v>157</v>
      </c>
      <c r="AH62" s="766">
        <v>0</v>
      </c>
      <c r="AI62" s="766">
        <v>0</v>
      </c>
      <c r="AJ62" s="766">
        <f>-4860*4+2430*4+1215*4</f>
        <v>-4860</v>
      </c>
      <c r="AK62" s="766"/>
      <c r="AL62" s="797" t="s">
        <v>158</v>
      </c>
      <c r="AN62" s="766">
        <v>0</v>
      </c>
      <c r="AO62" s="766">
        <v>0</v>
      </c>
      <c r="AP62" s="766">
        <v>184.39</v>
      </c>
      <c r="AQ62" s="766"/>
      <c r="AR62" s="797" t="s">
        <v>159</v>
      </c>
      <c r="AT62" s="766">
        <v>0</v>
      </c>
      <c r="AU62" s="766">
        <v>0</v>
      </c>
      <c r="AV62" s="766">
        <v>2771.57</v>
      </c>
      <c r="AW62" s="766"/>
      <c r="AX62" s="800"/>
      <c r="AZ62" s="766">
        <v>0</v>
      </c>
      <c r="BA62" s="766">
        <v>0</v>
      </c>
      <c r="BB62" s="766">
        <v>0</v>
      </c>
      <c r="BC62" s="766"/>
      <c r="BD62" s="800"/>
      <c r="BF62" s="766">
        <v>0</v>
      </c>
      <c r="BG62" s="766">
        <v>0</v>
      </c>
      <c r="BH62" s="766">
        <v>0</v>
      </c>
      <c r="BI62" s="766"/>
      <c r="BJ62" s="797" t="s">
        <v>160</v>
      </c>
      <c r="BL62" s="766">
        <v>0</v>
      </c>
      <c r="BM62" s="766">
        <v>0</v>
      </c>
      <c r="BN62" s="766">
        <f>(-2217.4+428.4-1621.2)*0.5</f>
        <v>-1705.1</v>
      </c>
      <c r="BO62" s="766"/>
      <c r="BP62" s="912" t="s">
        <v>161</v>
      </c>
      <c r="BR62" s="766">
        <v>0</v>
      </c>
      <c r="BS62" s="766">
        <v>0</v>
      </c>
      <c r="BT62" s="766">
        <f>(3492.4-3645)*0.5</f>
        <v>-76.299999999999955</v>
      </c>
      <c r="BU62" s="766"/>
      <c r="BV62" s="962" t="s">
        <v>162</v>
      </c>
      <c r="BX62" s="766">
        <v>0</v>
      </c>
      <c r="BY62" s="766">
        <v>0</v>
      </c>
      <c r="BZ62" s="766">
        <f>(2744.2+2430-3645)*0.5</f>
        <v>764.59999999999991</v>
      </c>
    </row>
    <row r="63" spans="2:78" ht="13">
      <c r="H63" s="800"/>
      <c r="J63" s="766">
        <v>0</v>
      </c>
      <c r="K63" s="766">
        <v>0</v>
      </c>
      <c r="L63" s="766">
        <v>0</v>
      </c>
      <c r="M63" s="766"/>
      <c r="N63" s="800"/>
      <c r="P63" s="766">
        <v>0</v>
      </c>
      <c r="Q63" s="766">
        <v>0</v>
      </c>
      <c r="R63" s="766">
        <v>0</v>
      </c>
      <c r="S63" s="800"/>
      <c r="T63" s="800"/>
      <c r="V63" s="766">
        <v>0</v>
      </c>
      <c r="W63" s="766">
        <v>0</v>
      </c>
      <c r="X63" s="766">
        <v>0</v>
      </c>
      <c r="Y63" s="766"/>
      <c r="Z63" s="800"/>
      <c r="AB63" s="766">
        <v>0</v>
      </c>
      <c r="AC63" s="766">
        <v>0</v>
      </c>
      <c r="AD63" s="766">
        <v>0</v>
      </c>
      <c r="AE63" s="766"/>
      <c r="AF63" s="666" t="s">
        <v>163</v>
      </c>
      <c r="AH63" s="766">
        <v>0</v>
      </c>
      <c r="AI63" s="766">
        <v>0</v>
      </c>
      <c r="AJ63" s="766">
        <f>-6250-6468.75*2+3828.66+3542.52+3394.57</f>
        <v>-8421.75</v>
      </c>
      <c r="AK63" s="766"/>
      <c r="AL63" s="797" t="s">
        <v>164</v>
      </c>
      <c r="AN63" s="766">
        <v>0</v>
      </c>
      <c r="AO63" s="766">
        <v>0</v>
      </c>
      <c r="AP63" s="766">
        <v>14434.25</v>
      </c>
      <c r="AQ63" s="766"/>
      <c r="AR63" s="800"/>
      <c r="AT63" s="766">
        <v>0</v>
      </c>
      <c r="AU63" s="766">
        <v>0</v>
      </c>
      <c r="AV63" s="766">
        <v>0</v>
      </c>
      <c r="AW63" s="766"/>
      <c r="AX63" s="800"/>
      <c r="AZ63" s="766">
        <v>0</v>
      </c>
      <c r="BA63" s="766">
        <v>0</v>
      </c>
      <c r="BB63" s="766">
        <v>0</v>
      </c>
      <c r="BC63" s="766"/>
      <c r="BD63" s="800"/>
      <c r="BF63" s="766">
        <v>0</v>
      </c>
      <c r="BG63" s="766">
        <v>0</v>
      </c>
      <c r="BH63" s="766">
        <v>0</v>
      </c>
      <c r="BI63" s="766"/>
      <c r="BJ63" s="800"/>
      <c r="BL63" s="766">
        <v>0</v>
      </c>
      <c r="BM63" s="766">
        <v>0</v>
      </c>
      <c r="BN63" s="766">
        <v>0</v>
      </c>
      <c r="BO63" s="766"/>
      <c r="BP63" s="800"/>
      <c r="BR63" s="766">
        <v>0</v>
      </c>
      <c r="BS63" s="766">
        <v>0</v>
      </c>
      <c r="BT63" s="766">
        <v>0</v>
      </c>
      <c r="BU63" s="766"/>
      <c r="BV63" s="962" t="s">
        <v>165</v>
      </c>
      <c r="BX63" s="766">
        <v>0</v>
      </c>
      <c r="BY63" s="766">
        <v>0</v>
      </c>
      <c r="BZ63" s="766">
        <f>(2475-4950)*3</f>
        <v>-7425</v>
      </c>
    </row>
    <row r="64" spans="2:78" ht="13">
      <c r="H64" s="800"/>
      <c r="J64" s="766">
        <v>0</v>
      </c>
      <c r="K64" s="766">
        <v>0</v>
      </c>
      <c r="L64" s="766">
        <v>0</v>
      </c>
      <c r="M64" s="766"/>
      <c r="N64" s="800"/>
      <c r="P64" s="766">
        <v>0</v>
      </c>
      <c r="Q64" s="766">
        <v>0</v>
      </c>
      <c r="R64" s="766">
        <v>0</v>
      </c>
      <c r="S64" s="800"/>
      <c r="T64" s="800"/>
      <c r="V64" s="766">
        <v>0</v>
      </c>
      <c r="W64" s="766">
        <v>0</v>
      </c>
      <c r="X64" s="766">
        <v>0</v>
      </c>
      <c r="Y64" s="766"/>
      <c r="Z64" s="800"/>
      <c r="AB64" s="766">
        <v>0</v>
      </c>
      <c r="AC64" s="766">
        <v>0</v>
      </c>
      <c r="AD64" s="766">
        <v>0</v>
      </c>
      <c r="AE64" s="766"/>
      <c r="AH64" s="766">
        <v>0</v>
      </c>
      <c r="AI64" s="766">
        <v>0</v>
      </c>
      <c r="AJ64" s="766">
        <v>0</v>
      </c>
      <c r="AK64" s="766"/>
      <c r="AL64" s="800"/>
      <c r="AN64" s="766">
        <v>0</v>
      </c>
      <c r="AO64" s="766">
        <v>0</v>
      </c>
      <c r="AP64" s="766">
        <v>0</v>
      </c>
      <c r="AQ64" s="766"/>
      <c r="AR64" s="800"/>
      <c r="AT64" s="766">
        <v>0</v>
      </c>
      <c r="AU64" s="766">
        <v>0</v>
      </c>
      <c r="AV64" s="766">
        <v>0</v>
      </c>
      <c r="AW64" s="766"/>
      <c r="AX64" s="800"/>
      <c r="AZ64" s="766">
        <v>0</v>
      </c>
      <c r="BA64" s="766">
        <v>0</v>
      </c>
      <c r="BB64" s="766">
        <v>0</v>
      </c>
      <c r="BC64" s="766"/>
      <c r="BD64" s="800"/>
      <c r="BF64" s="766">
        <v>0</v>
      </c>
      <c r="BG64" s="766">
        <v>0</v>
      </c>
      <c r="BH64" s="766">
        <v>0</v>
      </c>
      <c r="BI64" s="766"/>
      <c r="BJ64" s="800"/>
      <c r="BL64" s="766">
        <v>0</v>
      </c>
      <c r="BM64" s="766">
        <v>0</v>
      </c>
      <c r="BN64" s="766">
        <v>0</v>
      </c>
      <c r="BO64" s="766"/>
      <c r="BP64" s="800"/>
      <c r="BR64" s="766">
        <v>0</v>
      </c>
      <c r="BS64" s="766">
        <v>0</v>
      </c>
      <c r="BT64" s="766">
        <v>0</v>
      </c>
      <c r="BU64" s="766"/>
      <c r="BV64" s="800"/>
      <c r="BX64" s="766">
        <v>0</v>
      </c>
      <c r="BY64" s="766">
        <v>0</v>
      </c>
      <c r="BZ64" s="766">
        <v>0</v>
      </c>
    </row>
    <row r="65" spans="8:78" ht="13">
      <c r="H65" s="800"/>
      <c r="J65" s="766">
        <v>0</v>
      </c>
      <c r="K65" s="766">
        <v>0</v>
      </c>
      <c r="L65" s="766">
        <v>0</v>
      </c>
      <c r="M65" s="766"/>
      <c r="N65" s="800"/>
      <c r="P65" s="766">
        <v>0</v>
      </c>
      <c r="Q65" s="766">
        <v>0</v>
      </c>
      <c r="R65" s="766">
        <v>0</v>
      </c>
      <c r="S65" s="800"/>
      <c r="T65" s="800"/>
      <c r="V65" s="766">
        <v>0</v>
      </c>
      <c r="W65" s="766">
        <v>0</v>
      </c>
      <c r="X65" s="766">
        <v>0</v>
      </c>
      <c r="Y65" s="766"/>
      <c r="Z65" s="800"/>
      <c r="AB65" s="766">
        <v>0</v>
      </c>
      <c r="AC65" s="766">
        <v>0</v>
      </c>
      <c r="AD65" s="766">
        <v>0</v>
      </c>
      <c r="AE65" s="766"/>
      <c r="AF65" s="800"/>
      <c r="AH65" s="766">
        <v>0</v>
      </c>
      <c r="AI65" s="766">
        <v>0</v>
      </c>
      <c r="AJ65" s="766">
        <v>0</v>
      </c>
      <c r="AK65" s="766"/>
      <c r="AL65" s="800"/>
      <c r="AN65" s="766">
        <v>0</v>
      </c>
      <c r="AO65" s="766">
        <v>0</v>
      </c>
      <c r="AP65" s="766">
        <v>0</v>
      </c>
      <c r="AQ65" s="766"/>
      <c r="AR65" s="800"/>
      <c r="AT65" s="766">
        <v>0</v>
      </c>
      <c r="AU65" s="766">
        <v>0</v>
      </c>
      <c r="AV65" s="766">
        <v>0</v>
      </c>
      <c r="AW65" s="766"/>
      <c r="AX65" s="800"/>
      <c r="AZ65" s="766">
        <v>0</v>
      </c>
      <c r="BA65" s="766">
        <v>0</v>
      </c>
      <c r="BB65" s="766">
        <v>0</v>
      </c>
      <c r="BC65" s="766"/>
      <c r="BD65" s="800"/>
      <c r="BF65" s="766">
        <v>0</v>
      </c>
      <c r="BG65" s="766">
        <v>0</v>
      </c>
      <c r="BH65" s="766">
        <v>0</v>
      </c>
      <c r="BI65" s="766"/>
      <c r="BJ65" s="800"/>
      <c r="BL65" s="766">
        <v>0</v>
      </c>
      <c r="BM65" s="766">
        <v>0</v>
      </c>
      <c r="BN65" s="766">
        <v>0</v>
      </c>
      <c r="BO65" s="766"/>
      <c r="BP65" s="800"/>
      <c r="BR65" s="766">
        <v>0</v>
      </c>
      <c r="BS65" s="766">
        <v>0</v>
      </c>
      <c r="BT65" s="766">
        <v>0</v>
      </c>
      <c r="BU65" s="766"/>
      <c r="BV65" s="800"/>
      <c r="BX65" s="766">
        <v>0</v>
      </c>
      <c r="BY65" s="766">
        <v>0</v>
      </c>
      <c r="BZ65" s="766">
        <v>0</v>
      </c>
    </row>
    <row r="66" spans="8:78" ht="13">
      <c r="H66" s="800" t="s">
        <v>166</v>
      </c>
      <c r="J66" s="766">
        <f>SUM(J61:J65)</f>
        <v>0</v>
      </c>
      <c r="K66" s="766">
        <f>SUM(K61:K65)</f>
        <v>0</v>
      </c>
      <c r="L66" s="766">
        <f>SUM(L61:L65)</f>
        <v>0</v>
      </c>
      <c r="M66" s="766"/>
      <c r="N66" s="800" t="s">
        <v>166</v>
      </c>
      <c r="P66" s="766">
        <f>SUM(P61:P65)</f>
        <v>0</v>
      </c>
      <c r="Q66" s="766">
        <f>SUM(Q61:Q65)</f>
        <v>0</v>
      </c>
      <c r="R66" s="766">
        <f>SUM(R61:R65)</f>
        <v>0</v>
      </c>
      <c r="S66" s="800"/>
      <c r="T66" s="800" t="s">
        <v>166</v>
      </c>
      <c r="V66" s="766">
        <f>SUM(V61:V65)</f>
        <v>0</v>
      </c>
      <c r="W66" s="766">
        <f>SUM(W61:W65)</f>
        <v>0</v>
      </c>
      <c r="X66" s="766">
        <f>SUM(X61:X65)</f>
        <v>0</v>
      </c>
      <c r="Y66" s="766"/>
      <c r="Z66" s="800" t="s">
        <v>166</v>
      </c>
      <c r="AB66" s="766">
        <f>SUM(AB61:AB65)</f>
        <v>0</v>
      </c>
      <c r="AC66" s="766">
        <f>SUM(AC61:AC65)</f>
        <v>0</v>
      </c>
      <c r="AD66" s="766">
        <f>SUM(AD61:AD65)</f>
        <v>0</v>
      </c>
      <c r="AE66" s="766"/>
      <c r="AF66" s="800" t="s">
        <v>166</v>
      </c>
      <c r="AH66" s="766">
        <f>SUM(AH61:AH65)</f>
        <v>0</v>
      </c>
      <c r="AI66" s="766">
        <f>SUM(AI61:AI65)</f>
        <v>0</v>
      </c>
      <c r="AJ66" s="766">
        <f>SUM(AJ61:AJ65)</f>
        <v>-13281.75</v>
      </c>
      <c r="AK66" s="766"/>
      <c r="AL66" s="800" t="s">
        <v>166</v>
      </c>
      <c r="AN66" s="766">
        <f>SUM(AN61:AN65)</f>
        <v>0</v>
      </c>
      <c r="AO66" s="766">
        <f>SUM(AO61:AO65)</f>
        <v>0</v>
      </c>
      <c r="AP66" s="766">
        <f>SUM(AP61:AP65)</f>
        <v>14618.64</v>
      </c>
      <c r="AQ66" s="766"/>
      <c r="AR66" s="800" t="s">
        <v>166</v>
      </c>
      <c r="AT66" s="766">
        <f>SUM(AT61:AT65)</f>
        <v>0</v>
      </c>
      <c r="AU66" s="766">
        <f>SUM(AU61:AU65)</f>
        <v>0</v>
      </c>
      <c r="AV66" s="766">
        <f>SUM(AV61:AV65)</f>
        <v>2771.57</v>
      </c>
      <c r="AW66" s="766"/>
      <c r="AX66" s="800" t="s">
        <v>166</v>
      </c>
      <c r="AZ66" s="766">
        <f>SUM(AZ61:AZ65)</f>
        <v>0</v>
      </c>
      <c r="BA66" s="766">
        <f>SUM(BA61:BA65)</f>
        <v>0</v>
      </c>
      <c r="BB66" s="766">
        <f>SUM(BB61:BB65)</f>
        <v>0</v>
      </c>
      <c r="BC66" s="766"/>
      <c r="BD66" s="800" t="s">
        <v>166</v>
      </c>
      <c r="BF66" s="766">
        <f>SUM(BF61:BF65)</f>
        <v>0</v>
      </c>
      <c r="BG66" s="766">
        <f>SUM(BG61:BG65)</f>
        <v>0</v>
      </c>
      <c r="BH66" s="766">
        <f>SUM(BH61:BH65)</f>
        <v>0</v>
      </c>
      <c r="BI66" s="766"/>
      <c r="BJ66" s="800" t="s">
        <v>166</v>
      </c>
      <c r="BL66" s="766">
        <f>SUM(BL61:BL65)</f>
        <v>0</v>
      </c>
      <c r="BM66" s="766">
        <f>SUM(BM61:BM65)</f>
        <v>0</v>
      </c>
      <c r="BN66" s="766">
        <f>SUM(BN61:BN65)</f>
        <v>-1705.1</v>
      </c>
      <c r="BO66" s="766"/>
      <c r="BP66" s="800" t="s">
        <v>166</v>
      </c>
      <c r="BR66" s="766">
        <f>SUM(BR61:BR65)</f>
        <v>0</v>
      </c>
      <c r="BS66" s="766">
        <f>SUM(BS61:BS65)</f>
        <v>0</v>
      </c>
      <c r="BT66" s="766">
        <f>SUM(BT61:BT65)</f>
        <v>-76.299999999999955</v>
      </c>
      <c r="BU66" s="766"/>
      <c r="BV66" s="800" t="s">
        <v>166</v>
      </c>
      <c r="BX66" s="766">
        <f>SUM(BX61:BX65)</f>
        <v>0</v>
      </c>
      <c r="BY66" s="766">
        <f>SUM(BY61:BY65)</f>
        <v>0</v>
      </c>
      <c r="BZ66" s="766">
        <f>SUM(BZ61:BZ65)</f>
        <v>-6660.4</v>
      </c>
    </row>
    <row r="67" spans="8:78">
      <c r="J67" s="766"/>
      <c r="K67" s="766"/>
      <c r="L67" s="766"/>
      <c r="M67" s="766"/>
      <c r="N67" s="766"/>
      <c r="O67" s="766"/>
      <c r="P67" s="766"/>
      <c r="Q67" s="766"/>
      <c r="R67" s="766"/>
      <c r="S67" s="766"/>
      <c r="T67" s="766"/>
      <c r="U67" s="766"/>
      <c r="V67" s="766"/>
      <c r="W67" s="766"/>
      <c r="X67" s="766"/>
      <c r="Y67" s="766"/>
      <c r="Z67" s="766"/>
      <c r="AA67" s="766"/>
      <c r="AB67" s="766"/>
      <c r="AC67" s="766"/>
      <c r="AD67" s="766"/>
      <c r="AE67" s="766"/>
      <c r="AF67" s="766"/>
      <c r="AG67" s="766"/>
      <c r="AH67" s="766"/>
      <c r="AI67" s="766"/>
      <c r="AJ67" s="766"/>
      <c r="AK67" s="766"/>
      <c r="AL67" s="766"/>
      <c r="AM67" s="766"/>
      <c r="AN67" s="766"/>
      <c r="AO67" s="766"/>
      <c r="AP67" s="766"/>
      <c r="AQ67" s="766"/>
      <c r="AR67" s="766"/>
      <c r="AS67" s="766"/>
      <c r="AT67" s="766"/>
      <c r="AU67" s="766"/>
      <c r="AV67" s="766"/>
      <c r="AW67" s="766"/>
      <c r="AX67" s="766"/>
      <c r="AY67" s="766"/>
      <c r="AZ67" s="766"/>
      <c r="BA67" s="766"/>
      <c r="BB67" s="766"/>
      <c r="BC67" s="766"/>
      <c r="BD67" s="766"/>
      <c r="BE67" s="766"/>
      <c r="BF67" s="766"/>
      <c r="BG67" s="766"/>
      <c r="BH67" s="766"/>
      <c r="BI67" s="766"/>
      <c r="BJ67" s="766"/>
      <c r="BK67" s="766"/>
      <c r="BL67" s="766"/>
      <c r="BM67" s="766"/>
      <c r="BN67" s="766"/>
      <c r="BO67" s="766"/>
      <c r="BP67" s="766"/>
      <c r="BQ67" s="766"/>
      <c r="BR67" s="766"/>
      <c r="BS67" s="766"/>
      <c r="BT67" s="766"/>
      <c r="BU67" s="766"/>
      <c r="BV67" s="766"/>
      <c r="BW67" s="766"/>
      <c r="BX67" s="766"/>
      <c r="BY67" s="766"/>
      <c r="BZ67" s="766"/>
    </row>
  </sheetData>
  <mergeCells count="39">
    <mergeCell ref="BV21:BZ21"/>
    <mergeCell ref="B21:F21"/>
    <mergeCell ref="AX21:BB21"/>
    <mergeCell ref="BD21:BH21"/>
    <mergeCell ref="BJ21:BN21"/>
    <mergeCell ref="BP21:BT21"/>
    <mergeCell ref="BR11:BS11"/>
    <mergeCell ref="BX11:BY11"/>
    <mergeCell ref="D11:E11"/>
    <mergeCell ref="H21:L21"/>
    <mergeCell ref="N21:R21"/>
    <mergeCell ref="T21:X21"/>
    <mergeCell ref="Z21:AD21"/>
    <mergeCell ref="AF21:AJ21"/>
    <mergeCell ref="AL21:AP21"/>
    <mergeCell ref="AR21:AV21"/>
    <mergeCell ref="AT11:AU11"/>
    <mergeCell ref="AZ11:BA11"/>
    <mergeCell ref="BF11:BG11"/>
    <mergeCell ref="BL11:BM11"/>
    <mergeCell ref="V11:W11"/>
    <mergeCell ref="AB11:AC11"/>
    <mergeCell ref="AR10:AV10"/>
    <mergeCell ref="BV10:BZ10"/>
    <mergeCell ref="AX10:BB10"/>
    <mergeCell ref="BD10:BH10"/>
    <mergeCell ref="BJ10:BN10"/>
    <mergeCell ref="BP10:BT10"/>
    <mergeCell ref="Z10:AD10"/>
    <mergeCell ref="AF10:AJ10"/>
    <mergeCell ref="AL10:AP10"/>
    <mergeCell ref="P11:Q11"/>
    <mergeCell ref="AH11:AI11"/>
    <mergeCell ref="AN11:AO11"/>
    <mergeCell ref="B10:F10"/>
    <mergeCell ref="H10:L10"/>
    <mergeCell ref="N10:R10"/>
    <mergeCell ref="J11:K11"/>
    <mergeCell ref="T10:X10"/>
  </mergeCells>
  <phoneticPr fontId="0" type="noConversion"/>
  <conditionalFormatting sqref="L22:L28 R22:R28 AP22:AP44 BB22:BB44 BH22:BH44 BN22:BN44 BT22:BT44 BZ22:BZ44 X22:X47 AD22:AD47 AJ22:AJ47 AV22:AV47 L32:L37 R32:R37 BN47">
    <cfRule type="cellIs" dxfId="17" priority="1" stopIfTrue="1" operator="notEqual">
      <formula>$F22</formula>
    </cfRule>
    <cfRule type="cellIs" dxfId="16" priority="2" stopIfTrue="1" operator="notEqual">
      <formula>F22</formula>
    </cfRule>
  </conditionalFormatting>
  <conditionalFormatting sqref="L29:L30 R29:R30">
    <cfRule type="cellIs" dxfId="15" priority="3" stopIfTrue="1" operator="notEqual">
      <formula>$F30</formula>
    </cfRule>
    <cfRule type="cellIs" dxfId="14" priority="4" stopIfTrue="1" operator="notEqual">
      <formula>F30</formula>
    </cfRule>
  </conditionalFormatting>
  <conditionalFormatting sqref="L31 R31">
    <cfRule type="cellIs" dxfId="13" priority="5" stopIfTrue="1" operator="notEqual">
      <formula>$F29</formula>
    </cfRule>
    <cfRule type="cellIs" dxfId="12" priority="6" stopIfTrue="1" operator="notEqual">
      <formula>F29</formula>
    </cfRule>
  </conditionalFormatting>
  <conditionalFormatting sqref="L38:L45">
    <cfRule type="cellIs" dxfId="11" priority="7" stopIfTrue="1" operator="notEqual">
      <formula>$F37</formula>
    </cfRule>
    <cfRule type="cellIs" dxfId="10" priority="8" stopIfTrue="1" operator="notEqual">
      <formula>F37</formula>
    </cfRule>
  </conditionalFormatting>
  <conditionalFormatting sqref="R38:R45">
    <cfRule type="cellIs" dxfId="9" priority="9" stopIfTrue="1" operator="notEqual">
      <formula>$F37</formula>
    </cfRule>
    <cfRule type="cellIs" dxfId="8" priority="10" stopIfTrue="1" operator="notEqual">
      <formula>L38</formula>
    </cfRule>
  </conditionalFormatting>
  <pageMargins left="0.75" right="0.75" top="1" bottom="1" header="0.5" footer="0.5"/>
  <pageSetup scale="76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pageSetUpPr fitToPage="1"/>
  </sheetPr>
  <dimension ref="A1:W46"/>
  <sheetViews>
    <sheetView zoomScaleNormal="100" workbookViewId="0">
      <selection activeCell="B18" sqref="B18"/>
    </sheetView>
  </sheetViews>
  <sheetFormatPr defaultColWidth="9.1796875" defaultRowHeight="12.5"/>
  <cols>
    <col min="1" max="1" width="24.26953125" style="802" customWidth="1"/>
    <col min="2" max="6" width="9.1796875" style="802"/>
    <col min="7" max="7" width="10" style="802" customWidth="1"/>
    <col min="8" max="8" width="10" style="802" hidden="1" customWidth="1"/>
    <col min="9" max="9" width="10.7265625" style="802" customWidth="1"/>
    <col min="10" max="10" width="9.81640625" style="802" customWidth="1"/>
    <col min="11" max="11" width="10" style="802" customWidth="1"/>
    <col min="12" max="12" width="9.7265625" style="802" customWidth="1"/>
    <col min="13" max="13" width="2.81640625" style="802" customWidth="1"/>
    <col min="14" max="17" width="9.1796875" style="802"/>
    <col min="18" max="19" width="10" style="802" customWidth="1"/>
    <col min="20" max="20" width="10.7265625" style="802" customWidth="1"/>
    <col min="21" max="21" width="9.81640625" style="802" customWidth="1"/>
    <col min="22" max="22" width="10" style="802" customWidth="1"/>
    <col min="23" max="120" width="9.1796875" style="802"/>
    <col min="121" max="123" width="0" style="802" hidden="1" customWidth="1"/>
    <col min="124" max="16384" width="9.1796875" style="802"/>
  </cols>
  <sheetData>
    <row r="1" spans="1:23" ht="13" thickBot="1"/>
    <row r="2" spans="1:23" ht="18">
      <c r="A2" s="1165" t="s">
        <v>167</v>
      </c>
      <c r="B2" s="1166"/>
      <c r="C2" s="1166"/>
      <c r="D2" s="1166"/>
      <c r="E2" s="1166"/>
      <c r="F2" s="1166"/>
      <c r="G2" s="1166"/>
      <c r="H2" s="1166"/>
      <c r="I2" s="1166"/>
      <c r="J2" s="1166"/>
      <c r="K2" s="1166"/>
      <c r="L2" s="1166"/>
      <c r="M2" s="1166"/>
      <c r="N2" s="1166"/>
      <c r="O2" s="1166"/>
      <c r="P2" s="1166"/>
      <c r="Q2" s="1166"/>
      <c r="R2" s="1166"/>
      <c r="S2" s="1166"/>
      <c r="T2" s="1166"/>
      <c r="U2" s="1166"/>
      <c r="V2" s="1166"/>
      <c r="W2" s="1167"/>
    </row>
    <row r="3" spans="1:23" ht="18">
      <c r="A3" s="1168" t="s">
        <v>168</v>
      </c>
      <c r="B3" s="1169"/>
      <c r="C3" s="1169"/>
      <c r="D3" s="1169"/>
      <c r="E3" s="1169"/>
      <c r="F3" s="1169"/>
      <c r="G3" s="1169"/>
      <c r="H3" s="1169"/>
      <c r="I3" s="1169"/>
      <c r="J3" s="1169"/>
      <c r="K3" s="1169"/>
      <c r="L3" s="1169"/>
      <c r="M3" s="1169"/>
      <c r="N3" s="1169"/>
      <c r="O3" s="1169"/>
      <c r="P3" s="1169"/>
      <c r="Q3" s="1169"/>
      <c r="R3" s="1169"/>
      <c r="S3" s="1169"/>
      <c r="T3" s="1169"/>
      <c r="U3" s="1169"/>
      <c r="V3" s="1169"/>
      <c r="W3" s="1170"/>
    </row>
    <row r="4" spans="1:23" ht="18.5" thickBot="1">
      <c r="A4" s="1171" t="s">
        <v>169</v>
      </c>
      <c r="B4" s="1172"/>
      <c r="C4" s="1172"/>
      <c r="D4" s="1172"/>
      <c r="E4" s="1172"/>
      <c r="F4" s="1172"/>
      <c r="G4" s="1172"/>
      <c r="H4" s="1172"/>
      <c r="I4" s="1172"/>
      <c r="J4" s="1172"/>
      <c r="K4" s="1172"/>
      <c r="L4" s="1172"/>
      <c r="M4" s="1172"/>
      <c r="N4" s="1172"/>
      <c r="O4" s="1172"/>
      <c r="P4" s="1172"/>
      <c r="Q4" s="1172"/>
      <c r="R4" s="1172"/>
      <c r="S4" s="1172"/>
      <c r="T4" s="1172"/>
      <c r="U4" s="1172"/>
      <c r="V4" s="1172"/>
      <c r="W4" s="1173"/>
    </row>
    <row r="7" spans="1:23" ht="13" thickBot="1"/>
    <row r="8" spans="1:23" ht="13.5" thickBot="1">
      <c r="C8" s="1162" t="s">
        <v>14</v>
      </c>
      <c r="D8" s="1163"/>
      <c r="E8" s="1163"/>
      <c r="F8" s="1163"/>
      <c r="G8" s="1163"/>
      <c r="H8" s="1163"/>
      <c r="I8" s="1163"/>
      <c r="J8" s="1163"/>
      <c r="K8" s="1163"/>
      <c r="L8" s="1164"/>
      <c r="N8" s="1162" t="s">
        <v>31</v>
      </c>
      <c r="O8" s="1163"/>
      <c r="P8" s="1163"/>
      <c r="Q8" s="1163"/>
      <c r="R8" s="1163"/>
      <c r="S8" s="1163"/>
      <c r="T8" s="1163"/>
      <c r="U8" s="1163"/>
      <c r="V8" s="1163"/>
      <c r="W8" s="1164"/>
    </row>
    <row r="9" spans="1:23" ht="13">
      <c r="C9" s="803"/>
      <c r="D9" s="804"/>
      <c r="E9" s="805"/>
      <c r="F9" s="804"/>
      <c r="G9" s="805"/>
      <c r="H9" s="806"/>
      <c r="I9" s="807" t="s">
        <v>170</v>
      </c>
      <c r="J9" s="805"/>
      <c r="K9" s="808" t="s">
        <v>170</v>
      </c>
      <c r="L9" s="805"/>
      <c r="N9" s="803"/>
      <c r="O9" s="804"/>
      <c r="P9" s="805"/>
      <c r="Q9" s="804"/>
      <c r="R9" s="805"/>
      <c r="S9" s="806"/>
      <c r="T9" s="807" t="s">
        <v>170</v>
      </c>
      <c r="U9" s="805"/>
      <c r="V9" s="808" t="s">
        <v>170</v>
      </c>
      <c r="W9" s="805"/>
    </row>
    <row r="10" spans="1:23" ht="13.5" thickBot="1">
      <c r="C10" s="809" t="s">
        <v>64</v>
      </c>
      <c r="D10" s="810" t="s">
        <v>65</v>
      </c>
      <c r="E10" s="811" t="s">
        <v>66</v>
      </c>
      <c r="F10" s="810" t="s">
        <v>122</v>
      </c>
      <c r="G10" s="811" t="s">
        <v>66</v>
      </c>
      <c r="H10" s="812"/>
      <c r="I10" s="813" t="s">
        <v>61</v>
      </c>
      <c r="J10" s="811" t="s">
        <v>66</v>
      </c>
      <c r="K10" s="812" t="s">
        <v>171</v>
      </c>
      <c r="L10" s="811" t="s">
        <v>66</v>
      </c>
      <c r="N10" s="809" t="s">
        <v>64</v>
      </c>
      <c r="O10" s="810" t="s">
        <v>65</v>
      </c>
      <c r="P10" s="811" t="s">
        <v>66</v>
      </c>
      <c r="Q10" s="810" t="s">
        <v>122</v>
      </c>
      <c r="R10" s="811" t="s">
        <v>66</v>
      </c>
      <c r="S10" s="812"/>
      <c r="T10" s="813" t="s">
        <v>61</v>
      </c>
      <c r="U10" s="811" t="s">
        <v>66</v>
      </c>
      <c r="V10" s="812" t="s">
        <v>171</v>
      </c>
      <c r="W10" s="811" t="s">
        <v>66</v>
      </c>
    </row>
    <row r="11" spans="1:23">
      <c r="C11" s="814"/>
      <c r="D11" s="814"/>
      <c r="E11" s="815"/>
      <c r="F11" s="814"/>
      <c r="G11" s="815"/>
      <c r="H11" s="816"/>
      <c r="I11" s="814"/>
      <c r="J11" s="815"/>
      <c r="K11" s="816"/>
      <c r="L11" s="815"/>
      <c r="N11" s="817"/>
      <c r="O11" s="814"/>
      <c r="P11" s="815"/>
      <c r="Q11" s="814"/>
      <c r="R11" s="815"/>
      <c r="S11" s="816"/>
      <c r="T11" s="814"/>
      <c r="U11" s="815"/>
      <c r="V11" s="814"/>
      <c r="W11" s="815"/>
    </row>
    <row r="12" spans="1:23" ht="13">
      <c r="A12" s="818" t="s">
        <v>25</v>
      </c>
      <c r="C12" s="819">
        <f>HLOOKUP($C$20,'Min Rent Plan'!$N$1:$DO$8,8)</f>
        <v>51.291489814200389</v>
      </c>
      <c r="D12" s="820">
        <f>VLOOKUP($A12,inlinerateb,$C$20+2,FALSE)</f>
        <v>59.5926026598272</v>
      </c>
      <c r="E12" s="821">
        <f>($C12-D12)/D12</f>
        <v>-0.13929770600911831</v>
      </c>
      <c r="F12" s="820">
        <f>VLOOKUP($A12,inlineratef,$C$20+2,FALSE)</f>
        <v>53.932299999999998</v>
      </c>
      <c r="G12" s="821">
        <f>($C12-F12)/F12</f>
        <v>-4.8965280282865904E-2</v>
      </c>
      <c r="H12" s="819">
        <v>50.12</v>
      </c>
      <c r="I12" s="819">
        <f>IF(C20=1,+H12,HLOOKUP($C$20-1,'Min Rent Plan'!$N$1:$DO$8,8))</f>
        <v>53.227455308560053</v>
      </c>
      <c r="J12" s="821">
        <f>($C12-I12)/I12</f>
        <v>-3.6371558308336438E-2</v>
      </c>
      <c r="K12" s="820">
        <f>VLOOKUP($A12,inlineratepy,$C$20+2,FALSE)</f>
        <v>50.123092236230924</v>
      </c>
      <c r="L12" s="821">
        <f>($C12-K12)/K12</f>
        <v>2.3310564568977281E-2</v>
      </c>
      <c r="N12" s="819">
        <f>HLOOKUP($C$20+0.2,'Min Rent Plan'!$N$1:$DO$8,8)</f>
        <v>52.256343828798933</v>
      </c>
      <c r="O12" s="820">
        <f>VLOOKUP($A12,inlinerateb,$C$20+14,FALSE)</f>
        <v>59.096943904126562</v>
      </c>
      <c r="P12" s="821">
        <f>($N12-O12)/O12</f>
        <v>-0.11575217978149917</v>
      </c>
      <c r="Q12" s="820">
        <f>VLOOKUP($A12,inlineratef,$C$20+14,FALSE)</f>
        <v>52.999099999999999</v>
      </c>
      <c r="R12" s="821">
        <f>($N12-Q12)/Q12</f>
        <v>-1.4014505363318731E-2</v>
      </c>
      <c r="S12" s="819">
        <v>50.12</v>
      </c>
      <c r="T12" s="819">
        <f>IF(C20=1,+S12,HLOOKUP($C$20-1+0.2,'Min Rent Plan'!$N$1:$DO$8,8))</f>
        <v>52.946736239971045</v>
      </c>
      <c r="U12" s="821">
        <f>($N12-T12)/T12</f>
        <v>-1.3039376176900494E-2</v>
      </c>
      <c r="V12" s="820">
        <f>VLOOKUP($A12,inlineratepy,$C$20+14,FALSE)</f>
        <v>52.377133375474088</v>
      </c>
      <c r="W12" s="821">
        <f>($N12-V12)/V12</f>
        <v>-2.3061503921807912E-3</v>
      </c>
    </row>
    <row r="13" spans="1:23">
      <c r="C13" s="31"/>
      <c r="D13" s="822"/>
      <c r="E13" s="823"/>
      <c r="F13" s="822"/>
      <c r="G13" s="823"/>
      <c r="I13" s="31"/>
      <c r="J13" s="823"/>
      <c r="L13" s="823"/>
      <c r="N13" s="31"/>
      <c r="O13" s="822"/>
      <c r="P13" s="824"/>
      <c r="Q13" s="822"/>
      <c r="R13" s="824"/>
      <c r="T13" s="31"/>
      <c r="U13" s="824"/>
      <c r="V13" s="822"/>
      <c r="W13" s="823"/>
    </row>
    <row r="14" spans="1:23" ht="13">
      <c r="A14" s="825" t="s">
        <v>172</v>
      </c>
      <c r="B14" s="1020"/>
      <c r="C14" s="826">
        <f>HLOOKUP($C$20,'Min Rent Plan'!$N$1:$DO$8,7)</f>
        <v>0.90947495473747741</v>
      </c>
      <c r="D14" s="827">
        <f>VLOOKUP($A14,inlineoccb,$C$20+2,FALSE)</f>
        <v>0.87561443874471945</v>
      </c>
      <c r="E14" s="824">
        <f>+$C14-D14</f>
        <v>3.3860515992757967E-2</v>
      </c>
      <c r="F14" s="827">
        <f>VLOOKUP($A14,inlineoccf,$C$20+2,FALSE)</f>
        <v>1</v>
      </c>
      <c r="G14" s="824">
        <f>+$C14-F14</f>
        <v>-9.0525045262522585E-2</v>
      </c>
      <c r="H14" s="826">
        <v>0.90900000000000003</v>
      </c>
      <c r="I14" s="826">
        <f>IF(C20=1,H14,HLOOKUP($C$20-1,'Min Rent Plan'!$N$1:$DO$8,7))</f>
        <v>0.90947495473747741</v>
      </c>
      <c r="J14" s="824">
        <f>+$C14-I14</f>
        <v>0</v>
      </c>
      <c r="K14" s="828" t="s">
        <v>26</v>
      </c>
      <c r="L14" s="829" t="s">
        <v>26</v>
      </c>
      <c r="M14" s="1020"/>
      <c r="N14" s="826">
        <f>HLOOKUP($C$20+0.2,'Min Rent Plan'!$N$1:$DO$8,7)</f>
        <v>0.90947495473747741</v>
      </c>
      <c r="O14" s="827">
        <f>VLOOKUP($A14,inlineoccb,$C$20+14,FALSE)</f>
        <v>0.83789566988533504</v>
      </c>
      <c r="P14" s="824">
        <f>+$N14-O14</f>
        <v>7.1579284852142377E-2</v>
      </c>
      <c r="Q14" s="827">
        <f>VLOOKUP($A14,inlineoccf,$C$20+14,FALSE)</f>
        <v>0.92500000000000004</v>
      </c>
      <c r="R14" s="824">
        <f>+$N14-Q14</f>
        <v>-1.552504526252263E-2</v>
      </c>
      <c r="S14" s="826">
        <v>0.90900000000000003</v>
      </c>
      <c r="T14" s="826">
        <f>IF(C20=1,S14,HLOOKUP($C$20-1+0.2,'Min Rent Plan'!$N$1:$DO$8,7))</f>
        <v>0.90947495473747741</v>
      </c>
      <c r="U14" s="824">
        <f>+$N14-T14</f>
        <v>0</v>
      </c>
      <c r="V14" s="830" t="s">
        <v>26</v>
      </c>
      <c r="W14" s="829" t="s">
        <v>26</v>
      </c>
    </row>
    <row r="15" spans="1:23">
      <c r="B15" s="1020"/>
      <c r="C15" s="31"/>
      <c r="D15" s="822"/>
      <c r="E15" s="823"/>
      <c r="F15" s="822"/>
      <c r="G15" s="823"/>
      <c r="H15" s="31"/>
      <c r="I15" s="31"/>
      <c r="J15" s="823"/>
      <c r="L15" s="823"/>
      <c r="M15" s="1020"/>
      <c r="N15" s="31"/>
      <c r="O15" s="822"/>
      <c r="P15" s="823"/>
      <c r="Q15" s="822"/>
      <c r="R15" s="823"/>
      <c r="S15" s="31"/>
      <c r="T15" s="31"/>
      <c r="U15" s="823"/>
      <c r="V15" s="822"/>
      <c r="W15" s="823"/>
    </row>
    <row r="16" spans="1:23" ht="13.5" thickBot="1">
      <c r="A16" s="825" t="s">
        <v>173</v>
      </c>
      <c r="B16" s="1020"/>
      <c r="C16" s="831">
        <f>HLOOKUP($C$20+0.1,'Min Rent Plan'!$N$1:$DO$8,7)</f>
        <v>0.98135285068295186</v>
      </c>
      <c r="D16" s="832">
        <f>VLOOKUP($A16,overalloccb,$C$20+2,FALSE)</f>
        <v>0.97437796217736539</v>
      </c>
      <c r="E16" s="833">
        <f>+$C16-D16</f>
        <v>6.974888505586474E-3</v>
      </c>
      <c r="F16" s="832">
        <f>VLOOKUP($A16,overalloccf,$C$20+2,FALSE)</f>
        <v>1</v>
      </c>
      <c r="G16" s="833">
        <f>+$C16-F16</f>
        <v>-1.8647149317048139E-2</v>
      </c>
      <c r="H16" s="831">
        <v>0.98099999999999998</v>
      </c>
      <c r="I16" s="831">
        <f>IF(C20=1,H16,HLOOKUP($C$20-1+0.1,'Min Rent Plan'!$N$1:$DO$8,7))</f>
        <v>0.98135285068295186</v>
      </c>
      <c r="J16" s="833">
        <f>+$C16-I16</f>
        <v>0</v>
      </c>
      <c r="K16" s="834" t="s">
        <v>26</v>
      </c>
      <c r="L16" s="835" t="s">
        <v>26</v>
      </c>
      <c r="M16" s="1020"/>
      <c r="N16" s="831">
        <f>HLOOKUP($C$20+0.3,'Min Rent Plan'!$N$1:$DO$8,7)</f>
        <v>0.98135285068295186</v>
      </c>
      <c r="O16" s="832">
        <f>VLOOKUP($A16,overalloccb,$C$20+14,FALSE)</f>
        <v>0.96660831662859559</v>
      </c>
      <c r="P16" s="833">
        <f>+$N16-O16</f>
        <v>1.4744534054356273E-2</v>
      </c>
      <c r="Q16" s="832">
        <f>VLOOKUP($A16,overalloccf,$C$20+14,FALSE)</f>
        <v>0.98399999999999999</v>
      </c>
      <c r="R16" s="833">
        <f>+$N16-Q16</f>
        <v>-2.6471493170481253E-3</v>
      </c>
      <c r="S16" s="831">
        <v>0.98099999999999998</v>
      </c>
      <c r="T16" s="831">
        <f>IF(C20=1,S16,HLOOKUP($C$20-1+0.3,'Min Rent Plan'!$N$1:$DO$8,7))</f>
        <v>0.98135285068295186</v>
      </c>
      <c r="U16" s="833">
        <f>+$N16-T16</f>
        <v>0</v>
      </c>
      <c r="V16" s="836" t="s">
        <v>26</v>
      </c>
      <c r="W16" s="835" t="s">
        <v>26</v>
      </c>
    </row>
    <row r="20" spans="1:12" ht="13">
      <c r="A20" s="818" t="s">
        <v>174</v>
      </c>
      <c r="C20" s="802">
        <v>12</v>
      </c>
    </row>
    <row r="21" spans="1:12" ht="13" thickBot="1"/>
    <row r="22" spans="1:12" customFormat="1" ht="20.25" customHeight="1" thickBot="1">
      <c r="A22" s="837" t="s">
        <v>175</v>
      </c>
      <c r="B22" s="838" t="s">
        <v>129</v>
      </c>
      <c r="C22" s="839" t="s">
        <v>130</v>
      </c>
      <c r="D22" s="1154" t="s">
        <v>176</v>
      </c>
      <c r="E22" s="1154"/>
      <c r="F22" s="1154"/>
      <c r="G22" s="1154"/>
      <c r="H22" s="1154"/>
      <c r="I22" s="1154"/>
      <c r="J22" s="1154"/>
      <c r="K22" s="1154"/>
      <c r="L22" s="1155"/>
    </row>
    <row r="23" spans="1:12" customFormat="1" ht="8.25" customHeight="1">
      <c r="A23" s="840"/>
      <c r="B23" s="841"/>
      <c r="C23" s="32"/>
      <c r="D23" s="1159"/>
      <c r="E23" s="1160"/>
      <c r="F23" s="1160"/>
      <c r="G23" s="1160"/>
      <c r="H23" s="1160"/>
      <c r="I23" s="1160"/>
      <c r="J23" s="1160"/>
      <c r="K23" s="1160"/>
      <c r="L23" s="1161"/>
    </row>
    <row r="24" spans="1:12" customFormat="1" ht="54.75" customHeight="1">
      <c r="A24" s="842" t="s">
        <v>177</v>
      </c>
      <c r="B24" s="843">
        <f>+E12</f>
        <v>-0.13929770600911831</v>
      </c>
      <c r="C24" s="844">
        <f>+P12</f>
        <v>-0.11575217978149917</v>
      </c>
      <c r="D24" s="1147" t="s">
        <v>178</v>
      </c>
      <c r="E24" s="1148"/>
      <c r="F24" s="1148"/>
      <c r="G24" s="1148"/>
      <c r="H24" s="1148"/>
      <c r="I24" s="1148"/>
      <c r="J24" s="1148"/>
      <c r="K24" s="1148"/>
      <c r="L24" s="1149"/>
    </row>
    <row r="25" spans="1:12" customFormat="1" ht="8.25" customHeight="1">
      <c r="A25" s="845"/>
      <c r="B25" s="843"/>
      <c r="C25" s="844"/>
      <c r="D25" s="1150"/>
      <c r="E25" s="1151"/>
      <c r="F25" s="1151"/>
      <c r="G25" s="1151"/>
      <c r="H25" s="1151"/>
      <c r="I25" s="1151"/>
      <c r="J25" s="1151"/>
      <c r="K25" s="1151"/>
      <c r="L25" s="1152"/>
    </row>
    <row r="26" spans="1:12" customFormat="1" ht="27.75" customHeight="1">
      <c r="A26" s="845" t="s">
        <v>179</v>
      </c>
      <c r="B26" s="843">
        <f>+G12</f>
        <v>-4.8965280282865904E-2</v>
      </c>
      <c r="C26" s="846">
        <f>+R12</f>
        <v>-1.4014505363318731E-2</v>
      </c>
      <c r="D26" s="1147" t="s">
        <v>180</v>
      </c>
      <c r="E26" s="1148"/>
      <c r="F26" s="1148"/>
      <c r="G26" s="1148"/>
      <c r="H26" s="1148"/>
      <c r="I26" s="1148"/>
      <c r="J26" s="1148"/>
      <c r="K26" s="1148"/>
      <c r="L26" s="1149"/>
    </row>
    <row r="27" spans="1:12" customFormat="1" ht="8.25" customHeight="1">
      <c r="A27" s="845"/>
      <c r="B27" s="843"/>
      <c r="C27" s="847"/>
      <c r="D27" s="1150"/>
      <c r="E27" s="1151"/>
      <c r="F27" s="1151"/>
      <c r="G27" s="1151"/>
      <c r="H27" s="1151"/>
      <c r="I27" s="1151"/>
      <c r="J27" s="1151"/>
      <c r="K27" s="1151"/>
      <c r="L27" s="1152"/>
    </row>
    <row r="28" spans="1:12" customFormat="1" ht="37.5" customHeight="1">
      <c r="A28" s="845" t="s">
        <v>181</v>
      </c>
      <c r="B28" s="843">
        <f>+J12</f>
        <v>-3.6371558308336438E-2</v>
      </c>
      <c r="C28" s="844">
        <f>+U12</f>
        <v>-1.3039376176900494E-2</v>
      </c>
      <c r="D28" s="1147" t="s">
        <v>182</v>
      </c>
      <c r="E28" s="1148"/>
      <c r="F28" s="1148"/>
      <c r="G28" s="1148"/>
      <c r="H28" s="1148"/>
      <c r="I28" s="1148"/>
      <c r="J28" s="1148"/>
      <c r="K28" s="1148"/>
      <c r="L28" s="1149"/>
    </row>
    <row r="29" spans="1:12" customFormat="1" ht="9.75" customHeight="1">
      <c r="A29" s="845"/>
      <c r="B29" s="843"/>
      <c r="C29" s="847"/>
      <c r="D29" s="1150"/>
      <c r="E29" s="1151"/>
      <c r="F29" s="1151"/>
      <c r="G29" s="1151"/>
      <c r="H29" s="1151"/>
      <c r="I29" s="1151"/>
      <c r="J29" s="1151"/>
      <c r="K29" s="1151"/>
      <c r="L29" s="1152"/>
    </row>
    <row r="30" spans="1:12" customFormat="1" ht="43.5" customHeight="1" thickBot="1">
      <c r="A30" s="848" t="s">
        <v>183</v>
      </c>
      <c r="B30" s="849">
        <f>+L12</f>
        <v>2.3310564568977281E-2</v>
      </c>
      <c r="C30" s="850">
        <f>+W12</f>
        <v>-2.3061503921807912E-3</v>
      </c>
      <c r="D30" s="1147"/>
      <c r="E30" s="1148"/>
      <c r="F30" s="1148"/>
      <c r="G30" s="1148"/>
      <c r="H30" s="1148"/>
      <c r="I30" s="1148"/>
      <c r="J30" s="1148"/>
      <c r="K30" s="1148"/>
      <c r="L30" s="1149"/>
    </row>
    <row r="31" spans="1:12" customFormat="1" ht="15.75" customHeight="1" thickBot="1">
      <c r="A31" s="851"/>
      <c r="B31" s="102"/>
      <c r="C31" s="852"/>
      <c r="D31" s="1153"/>
      <c r="E31" s="1153"/>
      <c r="F31" s="1153"/>
      <c r="G31" s="1153"/>
      <c r="H31" s="1153"/>
      <c r="I31" s="1153"/>
      <c r="J31" s="1153"/>
      <c r="K31" s="1153"/>
      <c r="L31" s="1153"/>
    </row>
    <row r="32" spans="1:12" customFormat="1" ht="21.75" customHeight="1" thickBot="1">
      <c r="A32" s="837" t="s">
        <v>172</v>
      </c>
      <c r="B32" s="838" t="s">
        <v>129</v>
      </c>
      <c r="C32" s="839" t="s">
        <v>130</v>
      </c>
      <c r="D32" s="1154" t="s">
        <v>176</v>
      </c>
      <c r="E32" s="1154"/>
      <c r="F32" s="1154"/>
      <c r="G32" s="1154"/>
      <c r="H32" s="1154"/>
      <c r="I32" s="1154"/>
      <c r="J32" s="1154"/>
      <c r="K32" s="1154"/>
      <c r="L32" s="1155"/>
    </row>
    <row r="33" spans="1:12" s="22" customFormat="1" ht="9.75" customHeight="1">
      <c r="A33" s="853"/>
      <c r="B33" s="30"/>
      <c r="C33" s="854"/>
      <c r="D33" s="1156"/>
      <c r="E33" s="1157"/>
      <c r="F33" s="1157"/>
      <c r="G33" s="1157"/>
      <c r="H33" s="1157"/>
      <c r="I33" s="1157"/>
      <c r="J33" s="1157"/>
      <c r="K33" s="1157"/>
      <c r="L33" s="1158"/>
    </row>
    <row r="34" spans="1:12" customFormat="1" ht="27" customHeight="1">
      <c r="A34" s="842" t="s">
        <v>177</v>
      </c>
      <c r="B34" s="855">
        <f>+E14</f>
        <v>3.3860515992757967E-2</v>
      </c>
      <c r="C34" s="856">
        <f>+P14</f>
        <v>7.1579284852142377E-2</v>
      </c>
      <c r="D34" s="1147" t="s">
        <v>184</v>
      </c>
      <c r="E34" s="1148"/>
      <c r="F34" s="1148"/>
      <c r="G34" s="1148"/>
      <c r="H34" s="1148"/>
      <c r="I34" s="1148"/>
      <c r="J34" s="1148"/>
      <c r="K34" s="1148"/>
      <c r="L34" s="1149"/>
    </row>
    <row r="35" spans="1:12" customFormat="1" ht="9.75" customHeight="1">
      <c r="A35" s="845"/>
      <c r="B35" s="855"/>
      <c r="C35" s="856"/>
      <c r="D35" s="1150"/>
      <c r="E35" s="1151"/>
      <c r="F35" s="1151"/>
      <c r="G35" s="1151"/>
      <c r="H35" s="1151"/>
      <c r="I35" s="1151"/>
      <c r="J35" s="1151"/>
      <c r="K35" s="1151"/>
      <c r="L35" s="1152"/>
    </row>
    <row r="36" spans="1:12" customFormat="1" ht="29.25" customHeight="1">
      <c r="A36" s="845" t="s">
        <v>179</v>
      </c>
      <c r="B36" s="855">
        <f>+G14</f>
        <v>-9.0525045262522585E-2</v>
      </c>
      <c r="C36" s="856">
        <f>+R14</f>
        <v>-1.552504526252263E-2</v>
      </c>
      <c r="D36" s="1147" t="s">
        <v>185</v>
      </c>
      <c r="E36" s="1148"/>
      <c r="F36" s="1148"/>
      <c r="G36" s="1148"/>
      <c r="H36" s="1148"/>
      <c r="I36" s="1148"/>
      <c r="J36" s="1148"/>
      <c r="K36" s="1148"/>
      <c r="L36" s="1149"/>
    </row>
    <row r="37" spans="1:12" customFormat="1" ht="9.75" customHeight="1">
      <c r="A37" s="845"/>
      <c r="B37" s="855"/>
      <c r="C37" s="856"/>
      <c r="D37" s="1150"/>
      <c r="E37" s="1151"/>
      <c r="F37" s="1151"/>
      <c r="G37" s="1151"/>
      <c r="H37" s="1151"/>
      <c r="I37" s="1151"/>
      <c r="J37" s="1151"/>
      <c r="K37" s="1151"/>
      <c r="L37" s="1152"/>
    </row>
    <row r="38" spans="1:12" customFormat="1" ht="21.75" customHeight="1" thickBot="1">
      <c r="A38" s="848" t="s">
        <v>181</v>
      </c>
      <c r="B38" s="857">
        <f>+J14</f>
        <v>0</v>
      </c>
      <c r="C38" s="858">
        <f>+U14</f>
        <v>0</v>
      </c>
      <c r="D38" s="1147"/>
      <c r="E38" s="1148"/>
      <c r="F38" s="1148"/>
      <c r="G38" s="1148"/>
      <c r="H38" s="1148"/>
      <c r="I38" s="1148"/>
      <c r="J38" s="1148"/>
      <c r="K38" s="1148"/>
      <c r="L38" s="1149"/>
    </row>
    <row r="39" spans="1:12" customFormat="1" ht="21.75" customHeight="1" thickBot="1">
      <c r="A39" s="851"/>
      <c r="B39" s="855"/>
      <c r="C39" s="859"/>
      <c r="D39" s="1153"/>
      <c r="E39" s="1153"/>
      <c r="F39" s="1153"/>
      <c r="G39" s="1153"/>
      <c r="H39" s="1153"/>
      <c r="I39" s="1153"/>
      <c r="J39" s="1153"/>
      <c r="K39" s="1153"/>
      <c r="L39" s="1153"/>
    </row>
    <row r="40" spans="1:12" customFormat="1" ht="21.75" customHeight="1" thickBot="1">
      <c r="A40" s="837" t="s">
        <v>173</v>
      </c>
      <c r="B40" s="838" t="s">
        <v>129</v>
      </c>
      <c r="C40" s="839" t="s">
        <v>130</v>
      </c>
      <c r="D40" s="1154" t="s">
        <v>176</v>
      </c>
      <c r="E40" s="1154"/>
      <c r="F40" s="1154"/>
      <c r="G40" s="1154"/>
      <c r="H40" s="1154"/>
      <c r="I40" s="1154"/>
      <c r="J40" s="1154"/>
      <c r="K40" s="1154"/>
      <c r="L40" s="1155"/>
    </row>
    <row r="41" spans="1:12" s="22" customFormat="1" ht="9.75" customHeight="1">
      <c r="A41" s="853"/>
      <c r="B41" s="860"/>
      <c r="C41" s="854"/>
      <c r="D41" s="1156"/>
      <c r="E41" s="1157"/>
      <c r="F41" s="1157"/>
      <c r="G41" s="1157"/>
      <c r="H41" s="1157"/>
      <c r="I41" s="1157"/>
      <c r="J41" s="1157"/>
      <c r="K41" s="1157"/>
      <c r="L41" s="1158"/>
    </row>
    <row r="42" spans="1:12" customFormat="1" ht="25.5" customHeight="1">
      <c r="A42" s="842" t="s">
        <v>177</v>
      </c>
      <c r="B42" s="855">
        <f>+E16</f>
        <v>6.974888505586474E-3</v>
      </c>
      <c r="C42" s="856">
        <f>+P16</f>
        <v>1.4744534054356273E-2</v>
      </c>
      <c r="D42" s="1147"/>
      <c r="E42" s="1148"/>
      <c r="F42" s="1148"/>
      <c r="G42" s="1148"/>
      <c r="H42" s="1148"/>
      <c r="I42" s="1148"/>
      <c r="J42" s="1148"/>
      <c r="K42" s="1148"/>
      <c r="L42" s="1149"/>
    </row>
    <row r="43" spans="1:12" customFormat="1" ht="9.75" customHeight="1">
      <c r="A43" s="845"/>
      <c r="B43" s="855"/>
      <c r="C43" s="861"/>
      <c r="D43" s="1150"/>
      <c r="E43" s="1151"/>
      <c r="F43" s="1151"/>
      <c r="G43" s="1151"/>
      <c r="H43" s="1151"/>
      <c r="I43" s="1151"/>
      <c r="J43" s="1151"/>
      <c r="K43" s="1151"/>
      <c r="L43" s="1152"/>
    </row>
    <row r="44" spans="1:12" customFormat="1" ht="30.75" customHeight="1">
      <c r="A44" s="845" t="s">
        <v>179</v>
      </c>
      <c r="B44" s="855">
        <f>+G16</f>
        <v>-1.8647149317048139E-2</v>
      </c>
      <c r="C44" s="856">
        <f>+R16</f>
        <v>-2.6471493170481253E-3</v>
      </c>
      <c r="D44" s="1147"/>
      <c r="E44" s="1148"/>
      <c r="F44" s="1148"/>
      <c r="G44" s="1148"/>
      <c r="H44" s="1148"/>
      <c r="I44" s="1148"/>
      <c r="J44" s="1148"/>
      <c r="K44" s="1148"/>
      <c r="L44" s="1149"/>
    </row>
    <row r="45" spans="1:12" customFormat="1" ht="9.75" customHeight="1">
      <c r="A45" s="845"/>
      <c r="B45" s="855"/>
      <c r="C45" s="861"/>
      <c r="D45" s="1150"/>
      <c r="E45" s="1151"/>
      <c r="F45" s="1151"/>
      <c r="G45" s="1151"/>
      <c r="H45" s="1151"/>
      <c r="I45" s="1151"/>
      <c r="J45" s="1151"/>
      <c r="K45" s="1151"/>
      <c r="L45" s="1152"/>
    </row>
    <row r="46" spans="1:12" customFormat="1" ht="25" customHeight="1" thickBot="1">
      <c r="A46" s="848" t="s">
        <v>181</v>
      </c>
      <c r="B46" s="857">
        <f>+J16</f>
        <v>0</v>
      </c>
      <c r="C46" s="858">
        <f>+U16</f>
        <v>0</v>
      </c>
      <c r="D46" s="1145"/>
      <c r="E46" s="1145"/>
      <c r="F46" s="1145"/>
      <c r="G46" s="1145"/>
      <c r="H46" s="1145"/>
      <c r="I46" s="1145"/>
      <c r="J46" s="1145"/>
      <c r="K46" s="1145"/>
      <c r="L46" s="1146"/>
    </row>
  </sheetData>
  <mergeCells count="30">
    <mergeCell ref="C8:L8"/>
    <mergeCell ref="N8:W8"/>
    <mergeCell ref="A2:W2"/>
    <mergeCell ref="A3:W3"/>
    <mergeCell ref="A4:W4"/>
    <mergeCell ref="D22:L22"/>
    <mergeCell ref="D23:L23"/>
    <mergeCell ref="D24:L24"/>
    <mergeCell ref="D25:L25"/>
    <mergeCell ref="D26:L26"/>
    <mergeCell ref="D27:L27"/>
    <mergeCell ref="D28:L28"/>
    <mergeCell ref="D29:L29"/>
    <mergeCell ref="D30:L30"/>
    <mergeCell ref="D31:L31"/>
    <mergeCell ref="D32:L32"/>
    <mergeCell ref="D33:L33"/>
    <mergeCell ref="D34:L34"/>
    <mergeCell ref="D35:L35"/>
    <mergeCell ref="D36:L36"/>
    <mergeCell ref="D37:L37"/>
    <mergeCell ref="D38:L38"/>
    <mergeCell ref="D39:L39"/>
    <mergeCell ref="D40:L40"/>
    <mergeCell ref="D41:L41"/>
    <mergeCell ref="D46:L46"/>
    <mergeCell ref="D42:L42"/>
    <mergeCell ref="D43:L43"/>
    <mergeCell ref="D44:L44"/>
    <mergeCell ref="D45:L45"/>
  </mergeCells>
  <phoneticPr fontId="0" type="noConversion"/>
  <conditionalFormatting sqref="E12 G12 J12 P12:P14 R12:R14 U12:U14 E14 G14 J14 E16 G16 J16 P16 R16 U16 B24:C29 C31 B34:C39 B42:C46">
    <cfRule type="cellIs" dxfId="7" priority="1" stopIfTrue="1" operator="greaterThan">
      <formula>0.0299</formula>
    </cfRule>
    <cfRule type="cellIs" dxfId="6" priority="2" stopIfTrue="1" operator="lessThan">
      <formula>-0.0299</formula>
    </cfRule>
  </conditionalFormatting>
  <conditionalFormatting sqref="L12 W12 B30:C30">
    <cfRule type="cellIs" dxfId="5" priority="3" stopIfTrue="1" operator="greaterThan">
      <formula>0.0699</formula>
    </cfRule>
    <cfRule type="cellIs" dxfId="4" priority="4" stopIfTrue="1" operator="lessThan">
      <formula>-0.0299</formula>
    </cfRule>
  </conditionalFormatting>
  <pageMargins left="0.32" right="0.39" top="0.67" bottom="1" header="0.5" footer="0.5"/>
  <pageSetup scale="6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2:P75"/>
  <sheetViews>
    <sheetView workbookViewId="0">
      <selection activeCell="H64" sqref="H64"/>
    </sheetView>
  </sheetViews>
  <sheetFormatPr defaultRowHeight="12.5"/>
  <cols>
    <col min="1" max="1" width="14" customWidth="1"/>
    <col min="2" max="2" width="21.7265625" customWidth="1"/>
    <col min="3" max="3" width="3.7265625" customWidth="1"/>
    <col min="4" max="4" width="8.7265625" customWidth="1"/>
    <col min="5" max="5" width="7.7265625" customWidth="1"/>
    <col min="6" max="7" width="8.7265625" customWidth="1"/>
    <col min="8" max="9" width="7.7265625" customWidth="1"/>
    <col min="10" max="10" width="8.7265625" customWidth="1"/>
    <col min="11" max="11" width="7.7265625" customWidth="1"/>
    <col min="12" max="12" width="8.7265625" customWidth="1"/>
    <col min="13" max="14" width="7.7265625" customWidth="1"/>
    <col min="15" max="15" width="8.7265625" customWidth="1"/>
    <col min="16" max="16" width="9.7265625" customWidth="1"/>
  </cols>
  <sheetData>
    <row r="2" spans="1:16" ht="14.5">
      <c r="A2" s="953" t="s">
        <v>186</v>
      </c>
      <c r="B2" s="952"/>
      <c r="C2" s="952"/>
      <c r="D2" s="952"/>
      <c r="E2" s="952"/>
      <c r="F2" s="954" t="s">
        <v>187</v>
      </c>
      <c r="G2" s="952"/>
      <c r="H2" s="952"/>
      <c r="I2" s="952"/>
      <c r="J2" s="952"/>
      <c r="K2" s="952"/>
      <c r="L2" s="952"/>
      <c r="M2" s="952"/>
      <c r="N2" s="952"/>
      <c r="O2" s="954" t="s">
        <v>188</v>
      </c>
      <c r="P2" s="954">
        <v>1</v>
      </c>
    </row>
    <row r="3" spans="1:16" ht="14.5">
      <c r="A3" s="952"/>
      <c r="B3" s="952"/>
      <c r="C3" s="952"/>
      <c r="D3" s="952"/>
      <c r="E3" s="952"/>
      <c r="F3" s="955">
        <v>39995</v>
      </c>
      <c r="G3" s="952"/>
      <c r="H3" s="954" t="s">
        <v>189</v>
      </c>
      <c r="I3" s="955">
        <v>40359</v>
      </c>
      <c r="J3" s="952"/>
      <c r="K3" s="952"/>
      <c r="L3" s="952"/>
      <c r="M3" s="952"/>
      <c r="N3" s="952"/>
      <c r="O3" s="954" t="s">
        <v>190</v>
      </c>
      <c r="P3" s="956">
        <v>40353.427916666697</v>
      </c>
    </row>
    <row r="4" spans="1:16" ht="14.5">
      <c r="A4" s="952"/>
      <c r="B4" s="952"/>
      <c r="C4" s="952"/>
      <c r="D4" s="952"/>
      <c r="E4" s="952"/>
      <c r="F4" s="952"/>
      <c r="G4" s="952"/>
      <c r="H4" s="952"/>
      <c r="I4" s="952"/>
      <c r="J4" s="952"/>
      <c r="K4" s="952"/>
      <c r="L4" s="952"/>
      <c r="M4" s="952"/>
      <c r="N4" s="952"/>
      <c r="O4" s="954" t="s">
        <v>191</v>
      </c>
      <c r="P4" s="957">
        <v>40353.427916666697</v>
      </c>
    </row>
    <row r="5" spans="1:16" ht="14.5">
      <c r="A5" s="952"/>
      <c r="B5" s="952"/>
      <c r="C5" s="952"/>
      <c r="D5" s="952"/>
      <c r="E5" s="952"/>
      <c r="F5" s="952"/>
      <c r="G5" s="952"/>
      <c r="H5" s="952"/>
      <c r="I5" s="952"/>
      <c r="J5" s="952"/>
      <c r="K5" s="952"/>
      <c r="L5" s="952"/>
      <c r="M5" s="952"/>
      <c r="N5" s="952"/>
      <c r="O5" s="952"/>
      <c r="P5" s="952"/>
    </row>
    <row r="6" spans="1:16" ht="14.5">
      <c r="A6" s="952"/>
      <c r="B6" s="952"/>
      <c r="C6" s="952"/>
      <c r="D6" s="952"/>
      <c r="E6" s="952"/>
      <c r="F6" s="952"/>
      <c r="G6" s="952"/>
      <c r="H6" s="952"/>
      <c r="I6" s="952"/>
      <c r="J6" s="952"/>
      <c r="K6" s="952"/>
      <c r="L6" s="952"/>
      <c r="M6" s="952"/>
      <c r="N6" s="952"/>
      <c r="O6" s="952"/>
      <c r="P6" s="952"/>
    </row>
    <row r="7" spans="1:16" ht="14.5">
      <c r="A7" s="952"/>
      <c r="B7" s="952"/>
      <c r="C7" s="952"/>
      <c r="D7" s="952"/>
      <c r="E7" s="952"/>
      <c r="F7" s="952"/>
      <c r="G7" s="952"/>
      <c r="H7" s="952"/>
      <c r="I7" s="952"/>
      <c r="J7" s="952"/>
      <c r="K7" s="952"/>
      <c r="L7" s="952"/>
      <c r="M7" s="952"/>
      <c r="N7" s="952"/>
      <c r="O7" s="952"/>
      <c r="P7" s="952"/>
    </row>
    <row r="8" spans="1:16" ht="14.5">
      <c r="A8" s="954" t="s">
        <v>192</v>
      </c>
      <c r="B8" s="954" t="s">
        <v>193</v>
      </c>
      <c r="C8" s="952"/>
      <c r="D8" s="958">
        <v>39995</v>
      </c>
      <c r="E8" s="958">
        <v>40026</v>
      </c>
      <c r="F8" s="958" t="s">
        <v>34</v>
      </c>
      <c r="G8" s="958" t="s">
        <v>36</v>
      </c>
      <c r="H8" s="958" t="s">
        <v>38</v>
      </c>
      <c r="I8" s="958" t="s">
        <v>40</v>
      </c>
      <c r="J8" s="958" t="s">
        <v>42</v>
      </c>
      <c r="K8" s="958" t="s">
        <v>44</v>
      </c>
      <c r="L8" s="958" t="s">
        <v>46</v>
      </c>
      <c r="M8" s="958" t="s">
        <v>48</v>
      </c>
      <c r="N8" s="958" t="s">
        <v>50</v>
      </c>
      <c r="O8" s="958" t="s">
        <v>194</v>
      </c>
      <c r="P8" s="954" t="s">
        <v>147</v>
      </c>
    </row>
    <row r="9" spans="1:16" ht="14.5">
      <c r="A9" s="952"/>
      <c r="B9" s="952"/>
      <c r="C9" s="952"/>
      <c r="D9" s="952"/>
      <c r="E9" s="952"/>
      <c r="F9" s="952"/>
      <c r="G9" s="952"/>
      <c r="H9" s="952"/>
      <c r="I9" s="952"/>
      <c r="J9" s="952"/>
      <c r="K9" s="952"/>
      <c r="L9" s="952"/>
      <c r="M9" s="952"/>
      <c r="N9" s="952"/>
      <c r="O9" s="952"/>
      <c r="P9" s="952"/>
    </row>
    <row r="10" spans="1:16" ht="14.5">
      <c r="A10" s="959" t="s">
        <v>167</v>
      </c>
      <c r="B10" s="952"/>
      <c r="C10" s="952"/>
      <c r="D10" s="952"/>
      <c r="E10" s="952"/>
      <c r="F10" s="952"/>
      <c r="G10" s="952"/>
      <c r="H10" s="952"/>
      <c r="I10" s="952"/>
      <c r="J10" s="952"/>
      <c r="K10" s="952"/>
      <c r="L10" s="952"/>
      <c r="M10" s="952"/>
      <c r="N10" s="952"/>
      <c r="O10" s="952"/>
      <c r="P10" s="952"/>
    </row>
    <row r="11" spans="1:16" ht="14.5">
      <c r="A11" s="952"/>
      <c r="B11" s="952"/>
      <c r="C11" s="952"/>
      <c r="D11" s="952"/>
      <c r="E11" s="952"/>
      <c r="F11" s="952"/>
      <c r="G11" s="952"/>
      <c r="H11" s="952"/>
      <c r="I11" s="952"/>
      <c r="J11" s="952"/>
      <c r="K11" s="952"/>
      <c r="L11" s="952"/>
      <c r="M11" s="952"/>
      <c r="N11" s="952"/>
      <c r="O11" s="952"/>
      <c r="P11" s="952"/>
    </row>
    <row r="12" spans="1:16" ht="14.5">
      <c r="A12" s="952"/>
      <c r="B12" s="952"/>
      <c r="C12" s="952"/>
      <c r="D12" s="952"/>
      <c r="E12" s="952"/>
      <c r="F12" s="952"/>
      <c r="G12" s="952"/>
      <c r="H12" s="952"/>
      <c r="I12" s="952"/>
      <c r="J12" s="952"/>
      <c r="K12" s="952"/>
      <c r="L12" s="952"/>
      <c r="M12" s="952"/>
      <c r="N12" s="952"/>
      <c r="O12" s="952"/>
      <c r="P12" s="952"/>
    </row>
    <row r="13" spans="1:16">
      <c r="A13" s="954" t="s">
        <v>69</v>
      </c>
      <c r="B13" s="953" t="s">
        <v>70</v>
      </c>
      <c r="C13" s="954" t="s">
        <v>195</v>
      </c>
      <c r="D13" s="960">
        <v>11388.75</v>
      </c>
      <c r="E13" s="960">
        <v>11388.75</v>
      </c>
      <c r="F13" s="960">
        <v>11388.75</v>
      </c>
      <c r="G13" s="960">
        <v>11388.75</v>
      </c>
      <c r="H13" s="960">
        <v>11388.75</v>
      </c>
      <c r="I13" s="960">
        <v>11388.75</v>
      </c>
      <c r="J13" s="960">
        <v>11388.75</v>
      </c>
      <c r="K13" s="960">
        <v>11388.75</v>
      </c>
      <c r="L13" s="960">
        <v>11388.75</v>
      </c>
      <c r="M13" s="960">
        <v>11388.75</v>
      </c>
      <c r="N13" s="960">
        <v>11388.75</v>
      </c>
      <c r="O13" s="960">
        <v>11843.75</v>
      </c>
      <c r="P13" s="960">
        <v>137120</v>
      </c>
    </row>
    <row r="14" spans="1:16" ht="14.5">
      <c r="A14" s="952"/>
      <c r="B14" s="952"/>
      <c r="C14" s="953" t="s">
        <v>196</v>
      </c>
      <c r="D14" s="960">
        <v>11388.75</v>
      </c>
      <c r="E14" s="960">
        <v>11388.75</v>
      </c>
      <c r="F14" s="960">
        <v>11388.75</v>
      </c>
      <c r="G14" s="960">
        <v>11388.75</v>
      </c>
      <c r="H14" s="960">
        <v>11388.75</v>
      </c>
      <c r="I14" s="960">
        <v>11388.75</v>
      </c>
      <c r="J14" s="960">
        <v>11388.75</v>
      </c>
      <c r="K14" s="960">
        <v>11388.75</v>
      </c>
      <c r="L14" s="960">
        <v>11388.75</v>
      </c>
      <c r="M14" s="960">
        <v>11388.75</v>
      </c>
      <c r="N14" s="960">
        <v>11388.75</v>
      </c>
      <c r="O14" s="960">
        <v>11843.75</v>
      </c>
      <c r="P14" s="952"/>
    </row>
    <row r="15" spans="1:16" ht="14.5">
      <c r="A15" s="952"/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952"/>
      <c r="O15" s="952"/>
      <c r="P15" s="952"/>
    </row>
    <row r="16" spans="1:16">
      <c r="A16" s="954" t="s">
        <v>105</v>
      </c>
      <c r="B16" s="953" t="s">
        <v>106</v>
      </c>
      <c r="C16" s="954" t="s">
        <v>195</v>
      </c>
      <c r="D16" s="960">
        <v>10000</v>
      </c>
      <c r="E16" s="960">
        <v>10000</v>
      </c>
      <c r="F16" s="960">
        <v>10000</v>
      </c>
      <c r="G16" s="960">
        <v>10000</v>
      </c>
      <c r="H16" s="960">
        <v>10000</v>
      </c>
      <c r="I16" s="960">
        <v>10000</v>
      </c>
      <c r="J16" s="960">
        <v>10000</v>
      </c>
      <c r="K16" s="960">
        <v>10000</v>
      </c>
      <c r="L16" s="960">
        <v>10000</v>
      </c>
      <c r="M16" s="960">
        <v>10000</v>
      </c>
      <c r="N16" s="960">
        <v>10000</v>
      </c>
      <c r="O16" s="960">
        <v>10000</v>
      </c>
      <c r="P16" s="960">
        <v>120000</v>
      </c>
    </row>
    <row r="17" spans="1:16" ht="14.5">
      <c r="A17" s="952"/>
      <c r="B17" s="952"/>
      <c r="C17" s="953" t="s">
        <v>197</v>
      </c>
      <c r="D17" s="960">
        <v>10000</v>
      </c>
      <c r="E17" s="960">
        <v>10000</v>
      </c>
      <c r="F17" s="960">
        <v>10000</v>
      </c>
      <c r="G17" s="960">
        <v>10000</v>
      </c>
      <c r="H17" s="960">
        <v>10000</v>
      </c>
      <c r="I17" s="960">
        <v>10000</v>
      </c>
      <c r="J17" s="960">
        <v>10000</v>
      </c>
      <c r="K17" s="960">
        <v>10000</v>
      </c>
      <c r="L17" s="960">
        <v>10000</v>
      </c>
      <c r="M17" s="960">
        <v>10000</v>
      </c>
      <c r="N17" s="960">
        <v>0</v>
      </c>
      <c r="O17" s="960">
        <v>0</v>
      </c>
      <c r="P17" s="952"/>
    </row>
    <row r="18" spans="1:16" ht="14.5">
      <c r="A18" s="952"/>
      <c r="B18" s="952"/>
      <c r="C18" s="953" t="s">
        <v>196</v>
      </c>
      <c r="D18" s="960">
        <v>0</v>
      </c>
      <c r="E18" s="960">
        <v>0</v>
      </c>
      <c r="F18" s="960">
        <v>0</v>
      </c>
      <c r="G18" s="960">
        <v>0</v>
      </c>
      <c r="H18" s="960">
        <v>0</v>
      </c>
      <c r="I18" s="960">
        <v>0</v>
      </c>
      <c r="J18" s="960">
        <v>0</v>
      </c>
      <c r="K18" s="960">
        <v>0</v>
      </c>
      <c r="L18" s="960">
        <v>0</v>
      </c>
      <c r="M18" s="960">
        <v>0</v>
      </c>
      <c r="N18" s="960">
        <v>10000</v>
      </c>
      <c r="O18" s="960">
        <v>10000</v>
      </c>
      <c r="P18" s="952"/>
    </row>
    <row r="19" spans="1:16" ht="14.5">
      <c r="A19" s="952"/>
      <c r="B19" s="952"/>
      <c r="C19" s="952"/>
      <c r="D19" s="952"/>
      <c r="E19" s="952"/>
      <c r="F19" s="952"/>
      <c r="G19" s="952"/>
      <c r="H19" s="952"/>
      <c r="I19" s="952"/>
      <c r="J19" s="952"/>
      <c r="K19" s="952"/>
      <c r="L19" s="952"/>
      <c r="M19" s="952"/>
      <c r="N19" s="952"/>
      <c r="O19" s="952"/>
      <c r="P19" s="952"/>
    </row>
    <row r="20" spans="1:16">
      <c r="A20" s="954" t="s">
        <v>73</v>
      </c>
      <c r="B20" s="953" t="s">
        <v>198</v>
      </c>
      <c r="C20" s="954" t="s">
        <v>195</v>
      </c>
      <c r="D20" s="960">
        <v>5417.43</v>
      </c>
      <c r="E20" s="960">
        <v>5417.43</v>
      </c>
      <c r="F20" s="960">
        <v>5417.43</v>
      </c>
      <c r="G20" s="960">
        <v>5417.43</v>
      </c>
      <c r="H20" s="960">
        <v>5417.43</v>
      </c>
      <c r="I20" s="960">
        <v>5417.43</v>
      </c>
      <c r="J20" s="960">
        <v>5417.43</v>
      </c>
      <c r="K20" s="960">
        <v>5417.43</v>
      </c>
      <c r="L20" s="960">
        <v>5417.43</v>
      </c>
      <c r="M20" s="960">
        <v>5417.43</v>
      </c>
      <c r="N20" s="960">
        <v>5417.43</v>
      </c>
      <c r="O20" s="960">
        <v>5417.43</v>
      </c>
      <c r="P20" s="960">
        <v>65009.16</v>
      </c>
    </row>
    <row r="21" spans="1:16" ht="14.5">
      <c r="A21" s="952"/>
      <c r="B21" s="952"/>
      <c r="C21" s="953" t="s">
        <v>196</v>
      </c>
      <c r="D21" s="960">
        <v>5417.43</v>
      </c>
      <c r="E21" s="960">
        <v>5417.43</v>
      </c>
      <c r="F21" s="960">
        <v>5417.43</v>
      </c>
      <c r="G21" s="960">
        <v>5417.43</v>
      </c>
      <c r="H21" s="960">
        <v>5417.43</v>
      </c>
      <c r="I21" s="960">
        <v>5417.43</v>
      </c>
      <c r="J21" s="960">
        <v>5417.43</v>
      </c>
      <c r="K21" s="960">
        <v>5417.43</v>
      </c>
      <c r="L21" s="960">
        <v>5417.43</v>
      </c>
      <c r="M21" s="960">
        <v>5417.43</v>
      </c>
      <c r="N21" s="960">
        <v>5417.43</v>
      </c>
      <c r="O21" s="960">
        <v>5417.43</v>
      </c>
      <c r="P21" s="952"/>
    </row>
    <row r="22" spans="1:16" ht="14.5">
      <c r="A22" s="952"/>
      <c r="B22" s="952"/>
      <c r="C22" s="952"/>
      <c r="D22" s="952"/>
      <c r="E22" s="952"/>
      <c r="F22" s="952"/>
      <c r="G22" s="952"/>
      <c r="H22" s="952"/>
      <c r="I22" s="952"/>
      <c r="J22" s="952"/>
      <c r="K22" s="952"/>
      <c r="L22" s="952"/>
      <c r="M22" s="952"/>
      <c r="N22" s="952"/>
      <c r="O22" s="952"/>
      <c r="P22" s="952"/>
    </row>
    <row r="23" spans="1:16">
      <c r="A23" s="954" t="s">
        <v>76</v>
      </c>
      <c r="B23" s="953" t="s">
        <v>199</v>
      </c>
      <c r="C23" s="954" t="s">
        <v>195</v>
      </c>
      <c r="D23" s="960">
        <v>6490</v>
      </c>
      <c r="E23" s="960">
        <v>6490</v>
      </c>
      <c r="F23" s="960">
        <v>6490</v>
      </c>
      <c r="G23" s="960">
        <v>6490</v>
      </c>
      <c r="H23" s="960">
        <v>6490</v>
      </c>
      <c r="I23" s="960">
        <v>6490</v>
      </c>
      <c r="J23" s="960">
        <v>6490</v>
      </c>
      <c r="K23" s="960">
        <v>6490</v>
      </c>
      <c r="L23" s="960">
        <v>6490</v>
      </c>
      <c r="M23" s="960">
        <v>6490</v>
      </c>
      <c r="N23" s="960">
        <v>6490</v>
      </c>
      <c r="O23" s="960">
        <v>6490</v>
      </c>
      <c r="P23" s="960">
        <v>77880</v>
      </c>
    </row>
    <row r="24" spans="1:16" ht="14.5">
      <c r="A24" s="952"/>
      <c r="B24" s="952"/>
      <c r="C24" s="953" t="s">
        <v>196</v>
      </c>
      <c r="D24" s="960">
        <v>6490</v>
      </c>
      <c r="E24" s="960">
        <v>6490</v>
      </c>
      <c r="F24" s="960">
        <v>6490</v>
      </c>
      <c r="G24" s="960">
        <v>6490</v>
      </c>
      <c r="H24" s="960">
        <v>6490</v>
      </c>
      <c r="I24" s="960">
        <v>6490</v>
      </c>
      <c r="J24" s="960">
        <v>6490</v>
      </c>
      <c r="K24" s="960">
        <v>6490</v>
      </c>
      <c r="L24" s="960">
        <v>6490</v>
      </c>
      <c r="M24" s="960">
        <v>6490</v>
      </c>
      <c r="N24" s="960">
        <v>6490</v>
      </c>
      <c r="O24" s="960">
        <v>6490</v>
      </c>
      <c r="P24" s="952"/>
    </row>
    <row r="25" spans="1:16" ht="14.5">
      <c r="A25" s="952"/>
      <c r="B25" s="952"/>
      <c r="C25" s="952"/>
      <c r="D25" s="952"/>
      <c r="E25" s="952"/>
      <c r="F25" s="952"/>
      <c r="G25" s="952"/>
      <c r="H25" s="952"/>
      <c r="I25" s="952"/>
      <c r="J25" s="952"/>
      <c r="K25" s="952"/>
      <c r="L25" s="952"/>
      <c r="M25" s="952"/>
      <c r="N25" s="952"/>
      <c r="O25" s="952"/>
      <c r="P25" s="952"/>
    </row>
    <row r="26" spans="1:16">
      <c r="A26" s="954" t="s">
        <v>79</v>
      </c>
      <c r="B26" s="953" t="s">
        <v>80</v>
      </c>
      <c r="C26" s="954" t="s">
        <v>195</v>
      </c>
      <c r="D26" s="960">
        <v>3549</v>
      </c>
      <c r="E26" s="960">
        <v>3549</v>
      </c>
      <c r="F26" s="960">
        <v>3549</v>
      </c>
      <c r="G26" s="960">
        <v>3549</v>
      </c>
      <c r="H26" s="960">
        <v>3549</v>
      </c>
      <c r="I26" s="960">
        <v>3690.92</v>
      </c>
      <c r="J26" s="960">
        <v>3690.92</v>
      </c>
      <c r="K26" s="960">
        <v>3690.92</v>
      </c>
      <c r="L26" s="960">
        <v>3690.92</v>
      </c>
      <c r="M26" s="960">
        <v>3690.92</v>
      </c>
      <c r="N26" s="960">
        <v>3690.92</v>
      </c>
      <c r="O26" s="960">
        <v>3690.92</v>
      </c>
      <c r="P26" s="960">
        <v>43581.440000000002</v>
      </c>
    </row>
    <row r="27" spans="1:16" ht="14.5">
      <c r="A27" s="952"/>
      <c r="B27" s="952"/>
      <c r="C27" s="953" t="s">
        <v>196</v>
      </c>
      <c r="D27" s="960">
        <v>3549</v>
      </c>
      <c r="E27" s="960">
        <v>3549</v>
      </c>
      <c r="F27" s="960">
        <v>3549</v>
      </c>
      <c r="G27" s="960">
        <v>3549</v>
      </c>
      <c r="H27" s="960">
        <v>3549</v>
      </c>
      <c r="I27" s="960">
        <v>3690.92</v>
      </c>
      <c r="J27" s="960">
        <v>3690.92</v>
      </c>
      <c r="K27" s="960">
        <v>3690.92</v>
      </c>
      <c r="L27" s="960">
        <v>3690.92</v>
      </c>
      <c r="M27" s="960">
        <v>3690.92</v>
      </c>
      <c r="N27" s="960">
        <v>3690.92</v>
      </c>
      <c r="O27" s="960">
        <v>3690.92</v>
      </c>
      <c r="P27" s="952"/>
    </row>
    <row r="28" spans="1:16" ht="14.5">
      <c r="A28" s="952"/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</row>
    <row r="29" spans="1:16">
      <c r="A29" s="954" t="s">
        <v>82</v>
      </c>
      <c r="B29" s="953" t="s">
        <v>83</v>
      </c>
      <c r="C29" s="954" t="s">
        <v>195</v>
      </c>
      <c r="D29" s="960">
        <v>4554.24</v>
      </c>
      <c r="E29" s="960">
        <v>4860</v>
      </c>
      <c r="F29" s="960">
        <v>4860</v>
      </c>
      <c r="G29" s="960">
        <v>4860</v>
      </c>
      <c r="H29" s="960">
        <v>4860</v>
      </c>
      <c r="I29" s="960">
        <v>-9720</v>
      </c>
      <c r="J29" s="960">
        <v>4860</v>
      </c>
      <c r="K29" s="960">
        <v>4860</v>
      </c>
      <c r="L29" s="960">
        <v>4860</v>
      </c>
      <c r="M29" s="960">
        <v>-980.2</v>
      </c>
      <c r="N29" s="960">
        <v>3492.4</v>
      </c>
      <c r="O29" s="960">
        <v>5174.2</v>
      </c>
      <c r="P29" s="960">
        <v>36540.639999999999</v>
      </c>
    </row>
    <row r="30" spans="1:16" ht="14.5">
      <c r="A30" s="952"/>
      <c r="B30" s="952"/>
      <c r="C30" s="953" t="s">
        <v>196</v>
      </c>
      <c r="D30" s="960">
        <v>4860</v>
      </c>
      <c r="E30" s="960">
        <v>4860</v>
      </c>
      <c r="F30" s="960">
        <v>4860</v>
      </c>
      <c r="G30" s="960">
        <v>4860</v>
      </c>
      <c r="H30" s="960">
        <v>4860</v>
      </c>
      <c r="I30" s="960">
        <v>4860</v>
      </c>
      <c r="J30" s="960">
        <v>4860</v>
      </c>
      <c r="K30" s="960">
        <v>4860</v>
      </c>
      <c r="L30" s="960">
        <v>4860</v>
      </c>
      <c r="M30" s="960">
        <v>4860</v>
      </c>
      <c r="N30" s="960">
        <v>4860</v>
      </c>
      <c r="O30" s="960">
        <v>4860</v>
      </c>
      <c r="P30" s="952"/>
    </row>
    <row r="31" spans="1:16" ht="14.5">
      <c r="A31" s="952"/>
      <c r="B31" s="952"/>
      <c r="C31" s="953" t="s">
        <v>200</v>
      </c>
      <c r="D31" s="960">
        <v>-305.76</v>
      </c>
      <c r="E31" s="960">
        <v>0</v>
      </c>
      <c r="F31" s="960">
        <v>0</v>
      </c>
      <c r="G31" s="960">
        <v>0</v>
      </c>
      <c r="H31" s="960">
        <v>0</v>
      </c>
      <c r="I31" s="960">
        <v>0</v>
      </c>
      <c r="J31" s="960">
        <v>0</v>
      </c>
      <c r="K31" s="960">
        <v>0</v>
      </c>
      <c r="L31" s="960">
        <v>0</v>
      </c>
      <c r="M31" s="960">
        <v>0</v>
      </c>
      <c r="N31" s="960">
        <v>0</v>
      </c>
      <c r="O31" s="960">
        <v>0</v>
      </c>
      <c r="P31" s="952"/>
    </row>
    <row r="32" spans="1:16" ht="14.5">
      <c r="A32" s="952"/>
      <c r="B32" s="952"/>
      <c r="C32" s="953" t="s">
        <v>201</v>
      </c>
      <c r="D32" s="960">
        <v>0</v>
      </c>
      <c r="E32" s="960">
        <v>0</v>
      </c>
      <c r="F32" s="960">
        <v>0</v>
      </c>
      <c r="G32" s="960">
        <v>0</v>
      </c>
      <c r="H32" s="960">
        <v>0</v>
      </c>
      <c r="I32" s="960">
        <v>-14580</v>
      </c>
      <c r="J32" s="960">
        <v>0</v>
      </c>
      <c r="K32" s="960">
        <v>0</v>
      </c>
      <c r="L32" s="960">
        <v>0</v>
      </c>
      <c r="M32" s="960">
        <v>-9720</v>
      </c>
      <c r="N32" s="960">
        <v>-2430</v>
      </c>
      <c r="O32" s="960">
        <v>-2430</v>
      </c>
      <c r="P32" s="952"/>
    </row>
    <row r="33" spans="1:16" ht="14.5">
      <c r="A33" s="952"/>
      <c r="B33" s="952"/>
      <c r="C33" s="953" t="s">
        <v>202</v>
      </c>
      <c r="D33" s="960">
        <v>0</v>
      </c>
      <c r="E33" s="960">
        <v>0</v>
      </c>
      <c r="F33" s="960">
        <v>0</v>
      </c>
      <c r="G33" s="960">
        <v>0</v>
      </c>
      <c r="H33" s="960">
        <v>0</v>
      </c>
      <c r="I33" s="960">
        <v>0</v>
      </c>
      <c r="J33" s="960">
        <v>0</v>
      </c>
      <c r="K33" s="960">
        <v>0</v>
      </c>
      <c r="L33" s="960">
        <v>0</v>
      </c>
      <c r="M33" s="960">
        <v>3879.8</v>
      </c>
      <c r="N33" s="960">
        <v>1062.4000000000001</v>
      </c>
      <c r="O33" s="960">
        <v>2744.2</v>
      </c>
      <c r="P33" s="952"/>
    </row>
    <row r="34" spans="1:16" ht="14.5">
      <c r="A34" s="952"/>
      <c r="B34" s="952"/>
      <c r="C34" s="952"/>
      <c r="D34" s="952"/>
      <c r="E34" s="952"/>
      <c r="F34" s="952"/>
      <c r="G34" s="952"/>
      <c r="H34" s="952"/>
      <c r="I34" s="952"/>
      <c r="J34" s="952"/>
      <c r="K34" s="952"/>
      <c r="L34" s="952"/>
      <c r="M34" s="952"/>
      <c r="N34" s="952"/>
      <c r="O34" s="952"/>
      <c r="P34" s="952"/>
    </row>
    <row r="35" spans="1:16">
      <c r="A35" s="954" t="s">
        <v>108</v>
      </c>
      <c r="B35" s="953" t="s">
        <v>203</v>
      </c>
      <c r="C35" s="954" t="s">
        <v>195</v>
      </c>
      <c r="D35" s="960">
        <v>57468</v>
      </c>
      <c r="E35" s="960">
        <v>57468</v>
      </c>
      <c r="F35" s="960">
        <v>57468</v>
      </c>
      <c r="G35" s="960">
        <v>57468</v>
      </c>
      <c r="H35" s="960">
        <v>57468</v>
      </c>
      <c r="I35" s="960">
        <v>57468</v>
      </c>
      <c r="J35" s="960">
        <v>57468</v>
      </c>
      <c r="K35" s="960">
        <v>57468</v>
      </c>
      <c r="L35" s="960">
        <v>57468</v>
      </c>
      <c r="M35" s="960">
        <v>57468</v>
      </c>
      <c r="N35" s="960">
        <v>57468</v>
      </c>
      <c r="O35" s="960">
        <v>57468</v>
      </c>
      <c r="P35" s="960">
        <v>689616</v>
      </c>
    </row>
    <row r="36" spans="1:16" ht="14.5">
      <c r="A36" s="952"/>
      <c r="B36" s="952"/>
      <c r="C36" s="953" t="s">
        <v>204</v>
      </c>
      <c r="D36" s="960">
        <v>57468</v>
      </c>
      <c r="E36" s="960">
        <v>57468</v>
      </c>
      <c r="F36" s="960">
        <v>57468</v>
      </c>
      <c r="G36" s="960">
        <v>57468</v>
      </c>
      <c r="H36" s="960">
        <v>57468</v>
      </c>
      <c r="I36" s="960">
        <v>57468</v>
      </c>
      <c r="J36" s="960">
        <v>57468</v>
      </c>
      <c r="K36" s="960">
        <v>57468</v>
      </c>
      <c r="L36" s="960">
        <v>57468</v>
      </c>
      <c r="M36" s="960">
        <v>57468</v>
      </c>
      <c r="N36" s="960">
        <v>0</v>
      </c>
      <c r="O36" s="960">
        <v>0</v>
      </c>
      <c r="P36" s="952"/>
    </row>
    <row r="37" spans="1:16" ht="14.5">
      <c r="A37" s="952"/>
      <c r="B37" s="952"/>
      <c r="C37" s="953" t="s">
        <v>196</v>
      </c>
      <c r="D37" s="960">
        <v>0</v>
      </c>
      <c r="E37" s="960">
        <v>0</v>
      </c>
      <c r="F37" s="960">
        <v>0</v>
      </c>
      <c r="G37" s="960">
        <v>0</v>
      </c>
      <c r="H37" s="960">
        <v>0</v>
      </c>
      <c r="I37" s="960">
        <v>0</v>
      </c>
      <c r="J37" s="960">
        <v>0</v>
      </c>
      <c r="K37" s="960">
        <v>0</v>
      </c>
      <c r="L37" s="960">
        <v>0</v>
      </c>
      <c r="M37" s="960">
        <v>0</v>
      </c>
      <c r="N37" s="960">
        <v>57468</v>
      </c>
      <c r="O37" s="960">
        <v>57468</v>
      </c>
      <c r="P37" s="952"/>
    </row>
    <row r="38" spans="1:16" ht="14.5">
      <c r="A38" s="952"/>
      <c r="B38" s="952"/>
      <c r="C38" s="952"/>
      <c r="D38" s="952"/>
      <c r="E38" s="952"/>
      <c r="F38" s="952"/>
      <c r="G38" s="952"/>
      <c r="H38" s="952"/>
      <c r="I38" s="952"/>
      <c r="J38" s="952"/>
      <c r="K38" s="952"/>
      <c r="L38" s="952"/>
      <c r="M38" s="952"/>
      <c r="N38" s="952"/>
      <c r="O38" s="952"/>
      <c r="P38" s="952"/>
    </row>
    <row r="39" spans="1:16">
      <c r="A39" s="954" t="s">
        <v>111</v>
      </c>
      <c r="B39" s="953" t="s">
        <v>205</v>
      </c>
      <c r="C39" s="954" t="s">
        <v>195</v>
      </c>
      <c r="D39" s="960">
        <v>14699.95</v>
      </c>
      <c r="E39" s="960">
        <v>14699.95</v>
      </c>
      <c r="F39" s="960">
        <v>14699.95</v>
      </c>
      <c r="G39" s="960">
        <v>14699.95</v>
      </c>
      <c r="H39" s="960">
        <v>14699.95</v>
      </c>
      <c r="I39" s="960">
        <v>14699.95</v>
      </c>
      <c r="J39" s="960">
        <v>14699.95</v>
      </c>
      <c r="K39" s="960">
        <v>14699.95</v>
      </c>
      <c r="L39" s="960">
        <v>14699.95</v>
      </c>
      <c r="M39" s="960">
        <v>14699.95</v>
      </c>
      <c r="N39" s="960">
        <v>14699.95</v>
      </c>
      <c r="O39" s="960">
        <v>56797.27</v>
      </c>
      <c r="P39" s="960">
        <v>218496.72</v>
      </c>
    </row>
    <row r="40" spans="1:16" ht="14.5">
      <c r="A40" s="952"/>
      <c r="B40" s="952"/>
      <c r="C40" s="953" t="s">
        <v>204</v>
      </c>
      <c r="D40" s="960">
        <v>14699.95</v>
      </c>
      <c r="E40" s="960">
        <v>14699.95</v>
      </c>
      <c r="F40" s="960">
        <v>14699.95</v>
      </c>
      <c r="G40" s="960">
        <v>14699.95</v>
      </c>
      <c r="H40" s="960">
        <v>14699.95</v>
      </c>
      <c r="I40" s="960">
        <v>14699.95</v>
      </c>
      <c r="J40" s="960">
        <v>14699.95</v>
      </c>
      <c r="K40" s="960">
        <v>14699.95</v>
      </c>
      <c r="L40" s="960">
        <v>14699.95</v>
      </c>
      <c r="M40" s="960">
        <v>14699.95</v>
      </c>
      <c r="N40" s="960">
        <v>0</v>
      </c>
      <c r="O40" s="960">
        <v>0</v>
      </c>
      <c r="P40" s="952"/>
    </row>
    <row r="41" spans="1:16" ht="14.5">
      <c r="A41" s="952"/>
      <c r="B41" s="952"/>
      <c r="C41" s="953" t="s">
        <v>196</v>
      </c>
      <c r="D41" s="960">
        <v>0</v>
      </c>
      <c r="E41" s="960">
        <v>0</v>
      </c>
      <c r="F41" s="960">
        <v>0</v>
      </c>
      <c r="G41" s="960">
        <v>0</v>
      </c>
      <c r="H41" s="960">
        <v>0</v>
      </c>
      <c r="I41" s="960">
        <v>0</v>
      </c>
      <c r="J41" s="960">
        <v>0</v>
      </c>
      <c r="K41" s="960">
        <v>0</v>
      </c>
      <c r="L41" s="960">
        <v>0</v>
      </c>
      <c r="M41" s="960">
        <v>0</v>
      </c>
      <c r="N41" s="960">
        <v>14699.95</v>
      </c>
      <c r="O41" s="960">
        <v>56797.27</v>
      </c>
      <c r="P41" s="952"/>
    </row>
    <row r="42" spans="1:16" ht="14.5">
      <c r="A42" s="952"/>
      <c r="B42" s="952"/>
      <c r="C42" s="952"/>
      <c r="D42" s="952"/>
      <c r="E42" s="952"/>
      <c r="F42" s="952"/>
      <c r="G42" s="952"/>
      <c r="H42" s="952"/>
      <c r="I42" s="952"/>
      <c r="J42" s="952"/>
      <c r="K42" s="952"/>
      <c r="L42" s="952"/>
      <c r="M42" s="952"/>
      <c r="N42" s="952"/>
      <c r="O42" s="952"/>
      <c r="P42" s="952"/>
    </row>
    <row r="43" spans="1:16">
      <c r="A43" s="954" t="s">
        <v>90</v>
      </c>
      <c r="B43" s="953" t="s">
        <v>206</v>
      </c>
      <c r="C43" s="954" t="s">
        <v>195</v>
      </c>
      <c r="D43" s="960">
        <v>6250</v>
      </c>
      <c r="E43" s="960">
        <v>6250</v>
      </c>
      <c r="F43" s="960">
        <v>6468.75</v>
      </c>
      <c r="G43" s="960">
        <v>6468.75</v>
      </c>
      <c r="H43" s="960">
        <v>6468.75</v>
      </c>
      <c r="I43" s="960">
        <v>-8640.5</v>
      </c>
      <c r="J43" s="960">
        <v>6250</v>
      </c>
      <c r="K43" s="960">
        <v>7794.17</v>
      </c>
      <c r="L43" s="960">
        <v>6250</v>
      </c>
      <c r="M43" s="960">
        <v>6250</v>
      </c>
      <c r="N43" s="960">
        <v>6250</v>
      </c>
      <c r="O43" s="960">
        <v>6250</v>
      </c>
      <c r="P43" s="960">
        <v>62309.919999999998</v>
      </c>
    </row>
    <row r="44" spans="1:16" ht="14.5">
      <c r="A44" s="952"/>
      <c r="B44" s="952"/>
      <c r="C44" s="953" t="s">
        <v>196</v>
      </c>
      <c r="D44" s="960">
        <v>6250</v>
      </c>
      <c r="E44" s="960">
        <v>6250</v>
      </c>
      <c r="F44" s="960">
        <v>6468.75</v>
      </c>
      <c r="G44" s="960">
        <v>6468.75</v>
      </c>
      <c r="H44" s="960">
        <v>6468.75</v>
      </c>
      <c r="I44" s="960">
        <v>6468.75</v>
      </c>
      <c r="J44" s="960">
        <v>6468.75</v>
      </c>
      <c r="K44" s="960">
        <v>6468.75</v>
      </c>
      <c r="L44" s="960">
        <v>6468.75</v>
      </c>
      <c r="M44" s="960">
        <v>6468.75</v>
      </c>
      <c r="N44" s="960">
        <v>6468.75</v>
      </c>
      <c r="O44" s="960">
        <v>6468.75</v>
      </c>
      <c r="P44" s="952"/>
    </row>
    <row r="45" spans="1:16" ht="14.5">
      <c r="A45" s="952"/>
      <c r="B45" s="952"/>
      <c r="C45" s="953" t="s">
        <v>201</v>
      </c>
      <c r="D45" s="960">
        <v>0</v>
      </c>
      <c r="E45" s="960">
        <v>0</v>
      </c>
      <c r="F45" s="960">
        <v>0</v>
      </c>
      <c r="G45" s="960">
        <v>0</v>
      </c>
      <c r="H45" s="960">
        <v>0</v>
      </c>
      <c r="I45" s="960">
        <v>-16500</v>
      </c>
      <c r="J45" s="960">
        <v>-218.75</v>
      </c>
      <c r="K45" s="960">
        <v>-218.75</v>
      </c>
      <c r="L45" s="960">
        <v>-218.75</v>
      </c>
      <c r="M45" s="960">
        <v>-218.75</v>
      </c>
      <c r="N45" s="960">
        <v>-218.75</v>
      </c>
      <c r="O45" s="960">
        <v>-218.75</v>
      </c>
      <c r="P45" s="952"/>
    </row>
    <row r="46" spans="1:16" ht="14.5">
      <c r="A46" s="952"/>
      <c r="B46" s="952"/>
      <c r="C46" s="953" t="s">
        <v>202</v>
      </c>
      <c r="D46" s="960">
        <v>0</v>
      </c>
      <c r="E46" s="960">
        <v>0</v>
      </c>
      <c r="F46" s="960">
        <v>0</v>
      </c>
      <c r="G46" s="960">
        <v>0</v>
      </c>
      <c r="H46" s="960">
        <v>0</v>
      </c>
      <c r="I46" s="960">
        <v>1390.75</v>
      </c>
      <c r="J46" s="960">
        <v>0</v>
      </c>
      <c r="K46" s="960">
        <v>1544.17</v>
      </c>
      <c r="L46" s="960">
        <v>0</v>
      </c>
      <c r="M46" s="960">
        <v>0</v>
      </c>
      <c r="N46" s="960">
        <v>0</v>
      </c>
      <c r="O46" s="960">
        <v>0</v>
      </c>
      <c r="P46" s="952"/>
    </row>
    <row r="47" spans="1:16" ht="14.5">
      <c r="A47" s="952"/>
      <c r="B47" s="952"/>
      <c r="C47" s="952"/>
      <c r="D47" s="952"/>
      <c r="E47" s="952"/>
      <c r="F47" s="952"/>
      <c r="G47" s="952"/>
      <c r="H47" s="952"/>
      <c r="I47" s="952"/>
      <c r="J47" s="952"/>
      <c r="K47" s="952"/>
      <c r="L47" s="952"/>
      <c r="M47" s="952"/>
      <c r="N47" s="952"/>
      <c r="O47" s="952"/>
      <c r="P47" s="952"/>
    </row>
    <row r="48" spans="1:16">
      <c r="A48" s="954" t="s">
        <v>94</v>
      </c>
      <c r="B48" s="953" t="s">
        <v>207</v>
      </c>
      <c r="C48" s="954" t="s">
        <v>195</v>
      </c>
      <c r="D48" s="960">
        <v>12770.87</v>
      </c>
      <c r="E48" s="960">
        <v>12770.87</v>
      </c>
      <c r="F48" s="960">
        <v>12770.87</v>
      </c>
      <c r="G48" s="960">
        <v>12770.87</v>
      </c>
      <c r="H48" s="960">
        <v>12770.87</v>
      </c>
      <c r="I48" s="960">
        <v>12770.87</v>
      </c>
      <c r="J48" s="960">
        <v>11425</v>
      </c>
      <c r="K48" s="960">
        <v>11425</v>
      </c>
      <c r="L48" s="960">
        <v>11425</v>
      </c>
      <c r="M48" s="960">
        <v>11425</v>
      </c>
      <c r="N48" s="960">
        <v>11425</v>
      </c>
      <c r="O48" s="960">
        <v>11425</v>
      </c>
      <c r="P48" s="960">
        <v>145175.22</v>
      </c>
    </row>
    <row r="49" spans="1:16" ht="14.5">
      <c r="A49" s="952"/>
      <c r="B49" s="952"/>
      <c r="C49" s="953" t="s">
        <v>196</v>
      </c>
      <c r="D49" s="960">
        <v>12770.87</v>
      </c>
      <c r="E49" s="960">
        <v>12770.87</v>
      </c>
      <c r="F49" s="960">
        <v>12770.87</v>
      </c>
      <c r="G49" s="960">
        <v>12770.87</v>
      </c>
      <c r="H49" s="960">
        <v>12770.87</v>
      </c>
      <c r="I49" s="960">
        <v>12770.87</v>
      </c>
      <c r="J49" s="960">
        <v>11425</v>
      </c>
      <c r="K49" s="960">
        <v>11425</v>
      </c>
      <c r="L49" s="960">
        <v>11425</v>
      </c>
      <c r="M49" s="960">
        <v>11425</v>
      </c>
      <c r="N49" s="960">
        <v>11425</v>
      </c>
      <c r="O49" s="960">
        <v>11425</v>
      </c>
      <c r="P49" s="952"/>
    </row>
    <row r="50" spans="1:16" ht="14.5">
      <c r="A50" s="952"/>
      <c r="B50" s="952"/>
      <c r="C50" s="952"/>
      <c r="D50" s="952"/>
      <c r="E50" s="952"/>
      <c r="F50" s="952"/>
      <c r="G50" s="952"/>
      <c r="H50" s="952"/>
      <c r="I50" s="952"/>
      <c r="J50" s="952"/>
      <c r="K50" s="952"/>
      <c r="L50" s="952"/>
      <c r="M50" s="952"/>
      <c r="N50" s="952"/>
      <c r="O50" s="952"/>
      <c r="P50" s="952"/>
    </row>
    <row r="51" spans="1:16" ht="14.5">
      <c r="A51" s="952"/>
      <c r="B51" s="952"/>
      <c r="C51" s="952"/>
      <c r="D51" s="952"/>
      <c r="E51" s="952"/>
      <c r="F51" s="952"/>
      <c r="G51" s="952"/>
      <c r="H51" s="952"/>
      <c r="I51" s="952"/>
      <c r="J51" s="952"/>
      <c r="K51" s="952"/>
      <c r="L51" s="952"/>
      <c r="M51" s="952"/>
      <c r="N51" s="952"/>
      <c r="O51" s="952"/>
      <c r="P51" s="952"/>
    </row>
    <row r="52" spans="1:16" ht="14.5">
      <c r="A52" s="952"/>
      <c r="B52" s="952"/>
      <c r="C52" s="952"/>
      <c r="D52" s="952"/>
      <c r="E52" s="952"/>
      <c r="F52" s="952"/>
      <c r="G52" s="952"/>
      <c r="H52" s="952"/>
      <c r="I52" s="952"/>
      <c r="J52" s="952"/>
      <c r="K52" s="952"/>
      <c r="L52" s="952"/>
      <c r="M52" s="952"/>
      <c r="N52" s="952"/>
      <c r="O52" s="952"/>
      <c r="P52" s="952"/>
    </row>
    <row r="53" spans="1:16" ht="14.5">
      <c r="A53" s="952"/>
      <c r="B53" s="952"/>
      <c r="C53" s="952"/>
      <c r="D53" s="952"/>
      <c r="E53" s="952"/>
      <c r="F53" s="952"/>
      <c r="G53" s="952"/>
      <c r="H53" s="952"/>
      <c r="I53" s="952"/>
      <c r="J53" s="952"/>
      <c r="K53" s="952"/>
      <c r="L53" s="952"/>
      <c r="M53" s="952"/>
      <c r="N53" s="952"/>
      <c r="O53" s="952"/>
      <c r="P53" s="952"/>
    </row>
    <row r="54" spans="1:16" ht="14.5">
      <c r="A54" s="952"/>
      <c r="B54" s="952"/>
      <c r="C54" s="952"/>
      <c r="D54" s="952"/>
      <c r="E54" s="952"/>
      <c r="F54" s="952"/>
      <c r="G54" s="952"/>
      <c r="H54" s="952"/>
      <c r="I54" s="952"/>
      <c r="J54" s="952"/>
      <c r="K54" s="952"/>
      <c r="L54" s="952"/>
      <c r="M54" s="952"/>
      <c r="N54" s="952"/>
      <c r="O54" s="952"/>
      <c r="P54" s="952"/>
    </row>
    <row r="55" spans="1:16" ht="14.5">
      <c r="A55" s="952"/>
      <c r="B55" s="952"/>
      <c r="C55" s="952"/>
      <c r="D55" s="952"/>
      <c r="E55" s="952"/>
      <c r="F55" s="952"/>
      <c r="G55" s="952"/>
      <c r="H55" s="952"/>
      <c r="I55" s="952"/>
      <c r="J55" s="952"/>
      <c r="K55" s="952"/>
      <c r="L55" s="952"/>
      <c r="M55" s="952"/>
      <c r="N55" s="952"/>
      <c r="O55" s="952"/>
      <c r="P55" s="952"/>
    </row>
    <row r="56" spans="1:16" ht="14.5">
      <c r="A56" s="953" t="s">
        <v>186</v>
      </c>
      <c r="B56" s="952"/>
      <c r="C56" s="952"/>
      <c r="D56" s="952"/>
      <c r="E56" s="952"/>
      <c r="F56" s="954" t="s">
        <v>187</v>
      </c>
      <c r="G56" s="952"/>
      <c r="H56" s="952"/>
      <c r="I56" s="952"/>
      <c r="J56" s="952"/>
      <c r="K56" s="952"/>
      <c r="L56" s="952"/>
      <c r="M56" s="952"/>
      <c r="N56" s="952"/>
      <c r="O56" s="954" t="s">
        <v>188</v>
      </c>
      <c r="P56" s="954">
        <v>2</v>
      </c>
    </row>
    <row r="57" spans="1:16" ht="14.5">
      <c r="A57" s="952"/>
      <c r="B57" s="952"/>
      <c r="C57" s="952"/>
      <c r="D57" s="952"/>
      <c r="E57" s="952"/>
      <c r="F57" s="955">
        <v>39995</v>
      </c>
      <c r="G57" s="952"/>
      <c r="H57" s="954" t="s">
        <v>189</v>
      </c>
      <c r="I57" s="955">
        <v>40359</v>
      </c>
      <c r="J57" s="952"/>
      <c r="K57" s="952"/>
      <c r="L57" s="952"/>
      <c r="M57" s="952"/>
      <c r="N57" s="952"/>
      <c r="O57" s="954" t="s">
        <v>190</v>
      </c>
      <c r="P57" s="956">
        <v>40353.427916666697</v>
      </c>
    </row>
    <row r="58" spans="1:16" ht="14.5">
      <c r="A58" s="952"/>
      <c r="B58" s="952"/>
      <c r="C58" s="952"/>
      <c r="D58" s="952"/>
      <c r="E58" s="952"/>
      <c r="F58" s="952"/>
      <c r="G58" s="952"/>
      <c r="H58" s="952"/>
      <c r="I58" s="952"/>
      <c r="J58" s="952"/>
      <c r="K58" s="952"/>
      <c r="L58" s="952"/>
      <c r="M58" s="952"/>
      <c r="N58" s="952"/>
      <c r="O58" s="954" t="s">
        <v>191</v>
      </c>
      <c r="P58" s="957">
        <v>40353.427916666697</v>
      </c>
    </row>
    <row r="59" spans="1:16" ht="14.5">
      <c r="A59" s="952"/>
      <c r="B59" s="952"/>
      <c r="C59" s="952"/>
      <c r="D59" s="952"/>
      <c r="E59" s="952"/>
      <c r="F59" s="952"/>
      <c r="G59" s="952"/>
      <c r="H59" s="952"/>
      <c r="I59" s="952"/>
      <c r="J59" s="952"/>
      <c r="K59" s="952"/>
      <c r="L59" s="952"/>
      <c r="M59" s="952"/>
      <c r="N59" s="952"/>
      <c r="O59" s="952"/>
      <c r="P59" s="952"/>
    </row>
    <row r="60" spans="1:16" ht="14.5">
      <c r="A60" s="952"/>
      <c r="B60" s="952"/>
      <c r="C60" s="952"/>
      <c r="D60" s="952"/>
      <c r="E60" s="952"/>
      <c r="F60" s="952"/>
      <c r="G60" s="952"/>
      <c r="H60" s="952"/>
      <c r="I60" s="952"/>
      <c r="J60" s="952"/>
      <c r="K60" s="952"/>
      <c r="L60" s="952"/>
      <c r="M60" s="952"/>
      <c r="N60" s="952"/>
      <c r="O60" s="952"/>
      <c r="P60" s="952"/>
    </row>
    <row r="61" spans="1:16" ht="14.5">
      <c r="A61" s="952"/>
      <c r="B61" s="952"/>
      <c r="C61" s="952"/>
      <c r="D61" s="952"/>
      <c r="E61" s="952"/>
      <c r="F61" s="952"/>
      <c r="G61" s="952"/>
      <c r="H61" s="952"/>
      <c r="I61" s="952"/>
      <c r="J61" s="952"/>
      <c r="K61" s="952"/>
      <c r="L61" s="952"/>
      <c r="M61" s="952"/>
      <c r="N61" s="952"/>
      <c r="O61" s="952"/>
      <c r="P61" s="952"/>
    </row>
    <row r="62" spans="1:16" ht="14.5">
      <c r="A62" s="954" t="s">
        <v>192</v>
      </c>
      <c r="B62" s="954" t="s">
        <v>193</v>
      </c>
      <c r="C62" s="952"/>
      <c r="D62" s="958">
        <v>39995</v>
      </c>
      <c r="E62" s="958">
        <v>40026</v>
      </c>
      <c r="F62" s="958" t="s">
        <v>34</v>
      </c>
      <c r="G62" s="958" t="s">
        <v>36</v>
      </c>
      <c r="H62" s="958" t="s">
        <v>38</v>
      </c>
      <c r="I62" s="958" t="s">
        <v>40</v>
      </c>
      <c r="J62" s="958" t="s">
        <v>42</v>
      </c>
      <c r="K62" s="958" t="s">
        <v>44</v>
      </c>
      <c r="L62" s="958" t="s">
        <v>46</v>
      </c>
      <c r="M62" s="958" t="s">
        <v>48</v>
      </c>
      <c r="N62" s="958" t="s">
        <v>50</v>
      </c>
      <c r="O62" s="958" t="s">
        <v>194</v>
      </c>
      <c r="P62" s="954" t="s">
        <v>147</v>
      </c>
    </row>
    <row r="63" spans="1:16" ht="14.5">
      <c r="A63" s="952"/>
      <c r="B63" s="952"/>
      <c r="C63" s="952"/>
      <c r="D63" s="952"/>
      <c r="E63" s="952"/>
      <c r="F63" s="952"/>
      <c r="G63" s="952"/>
      <c r="H63" s="952"/>
      <c r="I63" s="952"/>
      <c r="J63" s="952"/>
      <c r="K63" s="952"/>
      <c r="L63" s="952"/>
      <c r="M63" s="952"/>
      <c r="N63" s="952"/>
      <c r="O63" s="952"/>
      <c r="P63" s="952"/>
    </row>
    <row r="64" spans="1:16">
      <c r="A64" s="954" t="s">
        <v>86</v>
      </c>
      <c r="B64" s="954" t="s">
        <v>208</v>
      </c>
      <c r="C64" s="954" t="s">
        <v>195</v>
      </c>
      <c r="D64" s="961">
        <v>-2475</v>
      </c>
      <c r="E64" s="961">
        <v>2475</v>
      </c>
      <c r="F64" s="961">
        <v>2475</v>
      </c>
      <c r="G64" s="961">
        <v>2475</v>
      </c>
      <c r="H64" s="961">
        <v>2475</v>
      </c>
      <c r="I64" s="961">
        <v>2659.39</v>
      </c>
      <c r="J64" s="961">
        <v>4950</v>
      </c>
      <c r="K64" s="961">
        <v>7721.57</v>
      </c>
      <c r="L64" s="961">
        <v>4950</v>
      </c>
      <c r="M64" s="961">
        <v>4950</v>
      </c>
      <c r="N64" s="961">
        <v>4950</v>
      </c>
      <c r="O64" s="961">
        <v>-4875</v>
      </c>
      <c r="P64" s="961">
        <v>32730.959999999999</v>
      </c>
    </row>
    <row r="65" spans="1:16" ht="14.5">
      <c r="A65" s="952"/>
      <c r="B65" s="952"/>
      <c r="C65" s="953" t="s">
        <v>196</v>
      </c>
      <c r="D65" s="960">
        <v>-2475</v>
      </c>
      <c r="E65" s="960">
        <v>4950</v>
      </c>
      <c r="F65" s="960">
        <v>4950</v>
      </c>
      <c r="G65" s="960">
        <v>7425</v>
      </c>
      <c r="H65" s="960">
        <v>4950</v>
      </c>
      <c r="I65" s="960">
        <v>4950</v>
      </c>
      <c r="J65" s="960">
        <v>4950</v>
      </c>
      <c r="K65" s="960">
        <v>4950</v>
      </c>
      <c r="L65" s="960">
        <v>4950</v>
      </c>
      <c r="M65" s="960">
        <v>4950</v>
      </c>
      <c r="N65" s="960">
        <v>4950</v>
      </c>
      <c r="O65" s="960">
        <v>5100</v>
      </c>
      <c r="P65" s="952"/>
    </row>
    <row r="66" spans="1:16" ht="14.5">
      <c r="A66" s="952"/>
      <c r="B66" s="952"/>
      <c r="C66" s="953" t="s">
        <v>201</v>
      </c>
      <c r="D66" s="960">
        <v>0</v>
      </c>
      <c r="E66" s="960">
        <v>-2475</v>
      </c>
      <c r="F66" s="960">
        <v>-2475</v>
      </c>
      <c r="G66" s="960">
        <v>-4950</v>
      </c>
      <c r="H66" s="960">
        <v>-2475</v>
      </c>
      <c r="I66" s="960">
        <v>-2475</v>
      </c>
      <c r="J66" s="960">
        <v>0</v>
      </c>
      <c r="K66" s="960">
        <v>0</v>
      </c>
      <c r="L66" s="960">
        <v>0</v>
      </c>
      <c r="M66" s="960">
        <v>0</v>
      </c>
      <c r="N66" s="960">
        <v>0</v>
      </c>
      <c r="O66" s="960">
        <v>-9975</v>
      </c>
      <c r="P66" s="952"/>
    </row>
    <row r="67" spans="1:16" ht="14.5">
      <c r="A67" s="952"/>
      <c r="B67" s="952"/>
      <c r="C67" s="953" t="s">
        <v>202</v>
      </c>
      <c r="D67" s="960">
        <v>0</v>
      </c>
      <c r="E67" s="960">
        <v>0</v>
      </c>
      <c r="F67" s="960">
        <v>0</v>
      </c>
      <c r="G67" s="960">
        <v>0</v>
      </c>
      <c r="H67" s="960">
        <v>0</v>
      </c>
      <c r="I67" s="960">
        <v>184.39</v>
      </c>
      <c r="J67" s="960">
        <v>0</v>
      </c>
      <c r="K67" s="960">
        <v>2771.57</v>
      </c>
      <c r="L67" s="960">
        <v>0</v>
      </c>
      <c r="M67" s="960">
        <v>0</v>
      </c>
      <c r="N67" s="960">
        <v>0</v>
      </c>
      <c r="O67" s="960">
        <v>0</v>
      </c>
      <c r="P67" s="952"/>
    </row>
    <row r="68" spans="1:16" ht="14.5">
      <c r="A68" s="952"/>
      <c r="B68" s="952"/>
      <c r="C68" s="952"/>
      <c r="D68" s="952"/>
      <c r="E68" s="952"/>
      <c r="F68" s="952"/>
      <c r="G68" s="952"/>
      <c r="H68" s="952"/>
      <c r="I68" s="952"/>
      <c r="J68" s="952"/>
      <c r="K68" s="952"/>
      <c r="L68" s="952"/>
      <c r="M68" s="952"/>
      <c r="N68" s="952"/>
      <c r="O68" s="952"/>
      <c r="P68" s="952"/>
    </row>
    <row r="69" spans="1:16">
      <c r="A69" s="954" t="s">
        <v>115</v>
      </c>
      <c r="B69" s="953" t="s">
        <v>116</v>
      </c>
      <c r="C69" s="954" t="s">
        <v>195</v>
      </c>
      <c r="D69" s="960">
        <v>26208.39</v>
      </c>
      <c r="E69" s="960">
        <v>26208.39</v>
      </c>
      <c r="F69" s="960">
        <v>26208.39</v>
      </c>
      <c r="G69" s="960">
        <v>26208.39</v>
      </c>
      <c r="H69" s="960">
        <v>26208.39</v>
      </c>
      <c r="I69" s="960">
        <v>26208.39</v>
      </c>
      <c r="J69" s="960">
        <v>26208.39</v>
      </c>
      <c r="K69" s="960">
        <v>26208.39</v>
      </c>
      <c r="L69" s="960">
        <v>26208.39</v>
      </c>
      <c r="M69" s="960">
        <v>26208.39</v>
      </c>
      <c r="N69" s="960">
        <v>26208.39</v>
      </c>
      <c r="O69" s="960">
        <v>26208.39</v>
      </c>
      <c r="P69" s="960">
        <v>314500.68</v>
      </c>
    </row>
    <row r="70" spans="1:16" ht="14.5">
      <c r="A70" s="952"/>
      <c r="B70" s="952"/>
      <c r="C70" s="953" t="s">
        <v>196</v>
      </c>
      <c r="D70" s="960">
        <v>0</v>
      </c>
      <c r="E70" s="960">
        <v>0</v>
      </c>
      <c r="F70" s="960">
        <v>0</v>
      </c>
      <c r="G70" s="960">
        <v>0</v>
      </c>
      <c r="H70" s="960">
        <v>0</v>
      </c>
      <c r="I70" s="960">
        <v>0</v>
      </c>
      <c r="J70" s="960">
        <v>0</v>
      </c>
      <c r="K70" s="960">
        <v>0</v>
      </c>
      <c r="L70" s="960">
        <v>0</v>
      </c>
      <c r="M70" s="960">
        <v>0</v>
      </c>
      <c r="N70" s="960">
        <v>26208.39</v>
      </c>
      <c r="O70" s="960">
        <v>26208.39</v>
      </c>
      <c r="P70" s="952"/>
    </row>
    <row r="71" spans="1:16" ht="14.5">
      <c r="A71" s="952"/>
      <c r="B71" s="952"/>
      <c r="C71" s="953" t="s">
        <v>209</v>
      </c>
      <c r="D71" s="960">
        <v>26208.39</v>
      </c>
      <c r="E71" s="960">
        <v>26208.39</v>
      </c>
      <c r="F71" s="960">
        <v>26208.39</v>
      </c>
      <c r="G71" s="960">
        <v>26208.39</v>
      </c>
      <c r="H71" s="960">
        <v>26208.39</v>
      </c>
      <c r="I71" s="960">
        <v>26208.39</v>
      </c>
      <c r="J71" s="960">
        <v>26208.39</v>
      </c>
      <c r="K71" s="960">
        <v>26208.39</v>
      </c>
      <c r="L71" s="960">
        <v>26208.39</v>
      </c>
      <c r="M71" s="960">
        <v>26208.39</v>
      </c>
      <c r="N71" s="960">
        <v>0</v>
      </c>
      <c r="O71" s="960">
        <v>0</v>
      </c>
      <c r="P71" s="952"/>
    </row>
    <row r="72" spans="1:16" ht="14.5">
      <c r="A72" s="952"/>
      <c r="B72" s="952"/>
      <c r="C72" s="952"/>
      <c r="D72" s="952"/>
      <c r="E72" s="952"/>
      <c r="F72" s="952"/>
      <c r="G72" s="952"/>
      <c r="H72" s="952"/>
      <c r="I72" s="952"/>
      <c r="J72" s="952"/>
      <c r="K72" s="952"/>
      <c r="L72" s="952"/>
      <c r="M72" s="952"/>
      <c r="N72" s="952"/>
      <c r="O72" s="952"/>
      <c r="P72" s="952"/>
    </row>
    <row r="73" spans="1:16" ht="14.5">
      <c r="A73" s="953" t="s">
        <v>210</v>
      </c>
      <c r="B73" s="952"/>
      <c r="C73" s="952"/>
      <c r="D73" s="960">
        <v>156321.63</v>
      </c>
      <c r="E73" s="960">
        <v>161577.39000000001</v>
      </c>
      <c r="F73" s="960">
        <v>161796.14000000001</v>
      </c>
      <c r="G73" s="960">
        <v>161796.14000000001</v>
      </c>
      <c r="H73" s="960">
        <v>161796.14000000001</v>
      </c>
      <c r="I73" s="960">
        <v>132433.20000000001</v>
      </c>
      <c r="J73" s="960">
        <v>162848.44</v>
      </c>
      <c r="K73" s="960">
        <v>167164.18</v>
      </c>
      <c r="L73" s="960">
        <v>162848.44</v>
      </c>
      <c r="M73" s="960">
        <v>157008.24</v>
      </c>
      <c r="N73" s="960">
        <v>161480.84</v>
      </c>
      <c r="O73" s="960">
        <v>195889.96</v>
      </c>
      <c r="P73" s="960">
        <v>1942960.74</v>
      </c>
    </row>
    <row r="74" spans="1:16" ht="14.5">
      <c r="A74" s="952"/>
      <c r="B74" s="952"/>
      <c r="C74" s="952"/>
      <c r="D74" s="952"/>
      <c r="E74" s="952"/>
      <c r="F74" s="952"/>
      <c r="G74" s="952"/>
      <c r="H74" s="952"/>
      <c r="I74" s="952"/>
      <c r="J74" s="952"/>
      <c r="K74" s="952"/>
      <c r="L74" s="952"/>
      <c r="M74" s="952"/>
      <c r="N74" s="952"/>
      <c r="O74" s="952"/>
      <c r="P74" s="952"/>
    </row>
    <row r="75" spans="1:16" ht="14.5">
      <c r="A75" s="954" t="s">
        <v>211</v>
      </c>
      <c r="B75" s="952"/>
      <c r="C75" s="952"/>
      <c r="D75" s="960">
        <v>156321.63</v>
      </c>
      <c r="E75" s="960">
        <v>161577.39000000001</v>
      </c>
      <c r="F75" s="960">
        <v>161796.14000000001</v>
      </c>
      <c r="G75" s="960">
        <v>161796.14000000001</v>
      </c>
      <c r="H75" s="960">
        <v>161796.14000000001</v>
      </c>
      <c r="I75" s="960">
        <v>132433.20000000001</v>
      </c>
      <c r="J75" s="960">
        <v>162848.44</v>
      </c>
      <c r="K75" s="960">
        <v>167164.18</v>
      </c>
      <c r="L75" s="960">
        <v>162848.44</v>
      </c>
      <c r="M75" s="960">
        <v>157008.24</v>
      </c>
      <c r="N75" s="960">
        <v>161480.84</v>
      </c>
      <c r="O75" s="960">
        <v>195889.96</v>
      </c>
      <c r="P75" s="960">
        <v>1942960.74</v>
      </c>
    </row>
  </sheetData>
  <phoneticPr fontId="4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/>
  <dimension ref="A7:Z24"/>
  <sheetViews>
    <sheetView workbookViewId="0">
      <pane xSplit="2" ySplit="10" topLeftCell="Q11" activePane="bottomRight" state="frozen"/>
      <selection pane="topRight" activeCell="B18" sqref="B18"/>
      <selection pane="bottomLeft" activeCell="B18" sqref="B18"/>
      <selection pane="bottomRight" activeCell="B18" sqref="B18"/>
    </sheetView>
  </sheetViews>
  <sheetFormatPr defaultColWidth="9.1796875" defaultRowHeight="12.5"/>
  <cols>
    <col min="1" max="1" width="25.453125" style="802" customWidth="1"/>
    <col min="2" max="2" width="14" style="802" customWidth="1"/>
    <col min="3" max="3" width="9.453125" style="802" customWidth="1"/>
    <col min="4" max="16384" width="9.1796875" style="802"/>
  </cols>
  <sheetData>
    <row r="7" spans="1:26">
      <c r="A7" s="802" t="s">
        <v>167</v>
      </c>
    </row>
    <row r="8" spans="1:26">
      <c r="B8" s="802">
        <v>1</v>
      </c>
      <c r="C8" s="802">
        <f t="shared" ref="C8:Z8" si="0">+B8+1</f>
        <v>2</v>
      </c>
      <c r="D8" s="802">
        <f t="shared" si="0"/>
        <v>3</v>
      </c>
      <c r="E8" s="802">
        <f t="shared" si="0"/>
        <v>4</v>
      </c>
      <c r="F8" s="802">
        <f t="shared" si="0"/>
        <v>5</v>
      </c>
      <c r="G8" s="802">
        <f t="shared" si="0"/>
        <v>6</v>
      </c>
      <c r="H8" s="802">
        <f t="shared" si="0"/>
        <v>7</v>
      </c>
      <c r="I8" s="802">
        <f t="shared" si="0"/>
        <v>8</v>
      </c>
      <c r="J8" s="802">
        <f t="shared" si="0"/>
        <v>9</v>
      </c>
      <c r="K8" s="802">
        <f t="shared" si="0"/>
        <v>10</v>
      </c>
      <c r="L8" s="802">
        <f t="shared" si="0"/>
        <v>11</v>
      </c>
      <c r="M8" s="802">
        <f t="shared" si="0"/>
        <v>12</v>
      </c>
      <c r="N8" s="802">
        <f t="shared" si="0"/>
        <v>13</v>
      </c>
      <c r="O8" s="802">
        <f t="shared" si="0"/>
        <v>14</v>
      </c>
      <c r="P8" s="802">
        <f t="shared" si="0"/>
        <v>15</v>
      </c>
      <c r="Q8" s="802">
        <f t="shared" si="0"/>
        <v>16</v>
      </c>
      <c r="R8" s="802">
        <f t="shared" si="0"/>
        <v>17</v>
      </c>
      <c r="S8" s="802">
        <f t="shared" si="0"/>
        <v>18</v>
      </c>
      <c r="T8" s="802">
        <f t="shared" si="0"/>
        <v>19</v>
      </c>
      <c r="U8" s="802">
        <f t="shared" si="0"/>
        <v>20</v>
      </c>
      <c r="V8" s="802">
        <f t="shared" si="0"/>
        <v>21</v>
      </c>
      <c r="W8" s="802">
        <f t="shared" si="0"/>
        <v>22</v>
      </c>
      <c r="X8" s="802">
        <f t="shared" si="0"/>
        <v>23</v>
      </c>
      <c r="Y8" s="802">
        <f t="shared" si="0"/>
        <v>24</v>
      </c>
      <c r="Z8" s="802">
        <f t="shared" si="0"/>
        <v>25</v>
      </c>
    </row>
    <row r="9" spans="1:26">
      <c r="O9" s="828" t="s">
        <v>130</v>
      </c>
      <c r="P9" s="828" t="s">
        <v>130</v>
      </c>
      <c r="Q9" s="828" t="s">
        <v>130</v>
      </c>
      <c r="R9" s="828" t="s">
        <v>130</v>
      </c>
      <c r="S9" s="828" t="s">
        <v>130</v>
      </c>
      <c r="T9" s="828" t="s">
        <v>130</v>
      </c>
      <c r="U9" s="828" t="s">
        <v>130</v>
      </c>
      <c r="V9" s="828" t="s">
        <v>130</v>
      </c>
      <c r="W9" s="828" t="s">
        <v>130</v>
      </c>
      <c r="X9" s="828" t="s">
        <v>130</v>
      </c>
      <c r="Y9" s="828" t="s">
        <v>130</v>
      </c>
      <c r="Z9" s="828" t="s">
        <v>130</v>
      </c>
    </row>
    <row r="10" spans="1:26">
      <c r="C10" s="862">
        <v>39995</v>
      </c>
      <c r="D10" s="862">
        <v>40026</v>
      </c>
      <c r="E10" s="862">
        <v>40057</v>
      </c>
      <c r="F10" s="862">
        <v>40087</v>
      </c>
      <c r="G10" s="862">
        <v>40118</v>
      </c>
      <c r="H10" s="862">
        <v>40148</v>
      </c>
      <c r="I10" s="862">
        <v>40179</v>
      </c>
      <c r="J10" s="862">
        <v>40210</v>
      </c>
      <c r="K10" s="862">
        <v>40238</v>
      </c>
      <c r="L10" s="862">
        <v>40269</v>
      </c>
      <c r="M10" s="862">
        <v>40299</v>
      </c>
      <c r="N10" s="862">
        <v>40330</v>
      </c>
      <c r="O10" s="862">
        <v>39995</v>
      </c>
      <c r="P10" s="862">
        <v>40026</v>
      </c>
      <c r="Q10" s="862">
        <v>40057</v>
      </c>
      <c r="R10" s="862">
        <v>40087</v>
      </c>
      <c r="S10" s="862">
        <v>40118</v>
      </c>
      <c r="T10" s="862">
        <v>40148</v>
      </c>
      <c r="U10" s="862">
        <v>40179</v>
      </c>
      <c r="V10" s="862">
        <v>40210</v>
      </c>
      <c r="W10" s="862">
        <v>40238</v>
      </c>
      <c r="X10" s="862">
        <v>40269</v>
      </c>
      <c r="Y10" s="862">
        <v>40299</v>
      </c>
      <c r="Z10" s="862">
        <v>40330</v>
      </c>
    </row>
    <row r="12" spans="1:26" ht="13">
      <c r="A12" s="818" t="s">
        <v>25</v>
      </c>
      <c r="B12" s="863" t="s">
        <v>65</v>
      </c>
      <c r="C12" s="868">
        <v>59.00879443882063</v>
      </c>
      <c r="D12" s="868">
        <v>59.00879443882063</v>
      </c>
      <c r="E12" s="868">
        <v>59.260967345030743</v>
      </c>
      <c r="F12" s="868">
        <v>59.260967345030743</v>
      </c>
      <c r="G12" s="868">
        <v>59.260967345030743</v>
      </c>
      <c r="H12" s="868">
        <v>58.967146529142177</v>
      </c>
      <c r="I12" s="868">
        <v>58.967146529142177</v>
      </c>
      <c r="J12" s="868">
        <v>58.967146529142177</v>
      </c>
      <c r="K12" s="868">
        <v>58.967146529142177</v>
      </c>
      <c r="L12" s="868">
        <v>58.967146529142177</v>
      </c>
      <c r="M12" s="868">
        <v>58.967146529142177</v>
      </c>
      <c r="N12" s="868">
        <v>59.5926026598272</v>
      </c>
      <c r="O12" s="868">
        <v>59.00879443882063</v>
      </c>
      <c r="P12" s="868">
        <v>59.00879443882063</v>
      </c>
      <c r="Q12" s="868">
        <v>59.092852074224012</v>
      </c>
      <c r="R12" s="868">
        <v>59.13488089192569</v>
      </c>
      <c r="S12" s="868">
        <v>59.160098182546697</v>
      </c>
      <c r="T12" s="868">
        <v>59.12490778621391</v>
      </c>
      <c r="U12" s="868">
        <v>59.100573468324207</v>
      </c>
      <c r="V12" s="868">
        <v>59.082742977090184</v>
      </c>
      <c r="W12" s="868">
        <v>59.069116265026175</v>
      </c>
      <c r="X12" s="868">
        <v>59.058363453920144</v>
      </c>
      <c r="Y12" s="868">
        <v>59.049662103675651</v>
      </c>
      <c r="Z12" s="868">
        <v>59.096943904126562</v>
      </c>
    </row>
    <row r="14" spans="1:26" ht="13">
      <c r="A14" s="818" t="s">
        <v>25</v>
      </c>
      <c r="B14" s="863" t="s">
        <v>122</v>
      </c>
      <c r="C14" s="868">
        <v>52.953899999999997</v>
      </c>
      <c r="D14" s="868">
        <v>52.953899999999997</v>
      </c>
      <c r="E14" s="868">
        <v>53.171900000000001</v>
      </c>
      <c r="F14" s="868">
        <v>53.171900000000001</v>
      </c>
      <c r="G14" s="868">
        <v>49.305900000000001</v>
      </c>
      <c r="H14" s="868">
        <v>48.775399999999998</v>
      </c>
      <c r="I14" s="868">
        <v>54.219200000000001</v>
      </c>
      <c r="J14" s="868">
        <v>54.219200000000001</v>
      </c>
      <c r="K14" s="868">
        <v>54.219200000000001</v>
      </c>
      <c r="L14" s="868">
        <v>54.219200000000001</v>
      </c>
      <c r="M14" s="868">
        <v>53.384700000000002</v>
      </c>
      <c r="N14" s="868">
        <v>53.932299999999998</v>
      </c>
      <c r="O14" s="868">
        <v>52.953899999999997</v>
      </c>
      <c r="P14" s="868">
        <v>52.953899999999997</v>
      </c>
      <c r="Q14" s="868">
        <v>53.026499999999999</v>
      </c>
      <c r="R14" s="868">
        <v>53.062899999999999</v>
      </c>
      <c r="S14" s="868">
        <v>49.667400000000001</v>
      </c>
      <c r="T14" s="868">
        <v>51.943899999999999</v>
      </c>
      <c r="U14" s="868">
        <v>52.268999999999998</v>
      </c>
      <c r="V14" s="868">
        <v>52.512799999999999</v>
      </c>
      <c r="W14" s="868">
        <v>52.702399999999997</v>
      </c>
      <c r="X14" s="868">
        <v>52.853999999999999</v>
      </c>
      <c r="Y14" s="868">
        <v>52.906599999999997</v>
      </c>
      <c r="Z14" s="868">
        <v>52.999099999999999</v>
      </c>
    </row>
    <row r="16" spans="1:26" ht="13">
      <c r="A16" s="818" t="s">
        <v>25</v>
      </c>
      <c r="B16" s="802" t="s">
        <v>212</v>
      </c>
      <c r="C16" s="868">
        <v>53.401629450814724</v>
      </c>
      <c r="D16" s="868">
        <v>53.401629450814724</v>
      </c>
      <c r="E16" s="868">
        <v>54.092335546167774</v>
      </c>
      <c r="F16" s="868">
        <v>54.092335546167774</v>
      </c>
      <c r="G16" s="868">
        <v>54.092335546167774</v>
      </c>
      <c r="H16" s="868">
        <v>54.216354858177432</v>
      </c>
      <c r="I16" s="868">
        <v>54.422030524220304</v>
      </c>
      <c r="J16" s="868">
        <v>52.00331785003317</v>
      </c>
      <c r="K16" s="868">
        <v>51.357332448573317</v>
      </c>
      <c r="L16" s="868">
        <v>52.835434638354343</v>
      </c>
      <c r="M16" s="868">
        <v>52.00331785003317</v>
      </c>
      <c r="N16" s="868">
        <v>50.123092236230924</v>
      </c>
      <c r="O16" s="868">
        <v>53.401629450814724</v>
      </c>
      <c r="P16" s="868">
        <v>53.401629450814724</v>
      </c>
      <c r="Q16" s="868">
        <v>53.63186481593241</v>
      </c>
      <c r="R16" s="868">
        <v>53.746982498491249</v>
      </c>
      <c r="S16" s="868">
        <v>53.816053108026551</v>
      </c>
      <c r="T16" s="868">
        <v>53.882770066385035</v>
      </c>
      <c r="U16" s="868">
        <v>53.953751419337934</v>
      </c>
      <c r="V16" s="868">
        <v>53.445546464958326</v>
      </c>
      <c r="W16" s="868">
        <v>52.859883841526653</v>
      </c>
      <c r="X16" s="868">
        <v>52.857576706324359</v>
      </c>
      <c r="Y16" s="868">
        <v>52.783916003890823</v>
      </c>
      <c r="Z16" s="868">
        <v>52.377133375474088</v>
      </c>
    </row>
    <row r="18" spans="1:26" ht="13">
      <c r="A18" s="825" t="s">
        <v>172</v>
      </c>
      <c r="B18" s="802" t="s">
        <v>65</v>
      </c>
      <c r="C18" s="869">
        <v>0.78508939348219675</v>
      </c>
      <c r="D18" s="869">
        <v>0.78508939348219675</v>
      </c>
      <c r="E18" s="869">
        <v>0.78508939348219675</v>
      </c>
      <c r="F18" s="869">
        <v>0.78508939348219675</v>
      </c>
      <c r="G18" s="869">
        <v>0.78508939348219675</v>
      </c>
      <c r="H18" s="869">
        <v>0.87561443874471945</v>
      </c>
      <c r="I18" s="869">
        <v>0.87561443874471945</v>
      </c>
      <c r="J18" s="869">
        <v>0.87561443874471945</v>
      </c>
      <c r="K18" s="869">
        <v>0.87561443874471945</v>
      </c>
      <c r="L18" s="869">
        <v>0.87561443874471945</v>
      </c>
      <c r="M18" s="869">
        <v>0.87561443874471945</v>
      </c>
      <c r="N18" s="869">
        <v>0.87561443874471945</v>
      </c>
      <c r="O18" s="869">
        <v>0.78508939348219675</v>
      </c>
      <c r="P18" s="869">
        <v>0.78508939348219675</v>
      </c>
      <c r="Q18" s="869">
        <v>0.78508939348219675</v>
      </c>
      <c r="R18" s="869">
        <v>0.78508939348219675</v>
      </c>
      <c r="S18" s="869">
        <v>0.78508939348219686</v>
      </c>
      <c r="T18" s="869">
        <v>0.80017690102595063</v>
      </c>
      <c r="U18" s="869">
        <v>0.81095369212863189</v>
      </c>
      <c r="V18" s="869">
        <v>0.81903628545564289</v>
      </c>
      <c r="W18" s="869">
        <v>0.82532274693220697</v>
      </c>
      <c r="X18" s="869">
        <v>0.83035191611345827</v>
      </c>
      <c r="Y18" s="869">
        <v>0.83446669089811842</v>
      </c>
      <c r="Z18" s="869">
        <v>0.83789566988533504</v>
      </c>
    </row>
    <row r="19" spans="1:26">
      <c r="C19" s="864"/>
      <c r="D19" s="864"/>
      <c r="E19" s="864"/>
      <c r="F19" s="864"/>
      <c r="G19" s="864"/>
      <c r="H19" s="864"/>
      <c r="I19" s="864"/>
      <c r="J19" s="864"/>
      <c r="K19" s="864"/>
      <c r="L19" s="864"/>
      <c r="M19" s="864"/>
      <c r="N19" s="864"/>
      <c r="O19" s="864"/>
      <c r="P19" s="864"/>
      <c r="Q19" s="864"/>
      <c r="R19" s="864"/>
      <c r="S19" s="864"/>
      <c r="T19" s="864"/>
      <c r="U19" s="864"/>
      <c r="V19" s="864"/>
      <c r="W19" s="864"/>
      <c r="X19" s="864"/>
      <c r="Y19" s="864"/>
      <c r="Z19" s="864"/>
    </row>
    <row r="20" spans="1:26" ht="13">
      <c r="A20" s="825" t="s">
        <v>172</v>
      </c>
      <c r="B20" s="802" t="s">
        <v>122</v>
      </c>
      <c r="C20" s="869">
        <v>0.90900000000000003</v>
      </c>
      <c r="D20" s="869">
        <v>0.90900000000000003</v>
      </c>
      <c r="E20" s="869">
        <v>0.90900000000000003</v>
      </c>
      <c r="F20" s="869">
        <v>0.90900000000000003</v>
      </c>
      <c r="G20" s="869">
        <v>0.90900000000000003</v>
      </c>
      <c r="H20" s="869">
        <v>0.90900000000000003</v>
      </c>
      <c r="I20" s="869">
        <v>0.90900000000000003</v>
      </c>
      <c r="J20" s="869">
        <v>0.90900000000000003</v>
      </c>
      <c r="K20" s="869">
        <v>0.90900000000000003</v>
      </c>
      <c r="L20" s="869">
        <v>0.90900000000000003</v>
      </c>
      <c r="M20" s="869">
        <v>1</v>
      </c>
      <c r="N20" s="869">
        <v>1</v>
      </c>
      <c r="O20" s="869">
        <v>0.90900000000000003</v>
      </c>
      <c r="P20" s="869">
        <v>0.90900000000000003</v>
      </c>
      <c r="Q20" s="869">
        <v>0.90900000000000003</v>
      </c>
      <c r="R20" s="869">
        <v>0.90900000000000003</v>
      </c>
      <c r="S20" s="869">
        <v>0.90900000000000003</v>
      </c>
      <c r="T20" s="869">
        <v>0.90900000000000003</v>
      </c>
      <c r="U20" s="869">
        <v>0.90900000000000003</v>
      </c>
      <c r="V20" s="869">
        <v>0.90900000000000003</v>
      </c>
      <c r="W20" s="869">
        <v>0.90900000000000003</v>
      </c>
      <c r="X20" s="869">
        <v>0.90900000000000003</v>
      </c>
      <c r="Y20" s="869">
        <v>0.91800000000000004</v>
      </c>
      <c r="Z20" s="869">
        <v>0.92500000000000004</v>
      </c>
    </row>
    <row r="22" spans="1:26" ht="13">
      <c r="A22" s="825" t="s">
        <v>173</v>
      </c>
      <c r="B22" s="802" t="s">
        <v>65</v>
      </c>
      <c r="C22" s="869">
        <v>0.95573081286031725</v>
      </c>
      <c r="D22" s="869">
        <v>0.95573081286031725</v>
      </c>
      <c r="E22" s="869">
        <v>0.95573081286031725</v>
      </c>
      <c r="F22" s="869">
        <v>0.95573081286031725</v>
      </c>
      <c r="G22" s="869">
        <v>0.95573081286031725</v>
      </c>
      <c r="H22" s="869">
        <v>0.97437796217736539</v>
      </c>
      <c r="I22" s="869">
        <v>0.97437796217736539</v>
      </c>
      <c r="J22" s="869">
        <v>0.97437796217736539</v>
      </c>
      <c r="K22" s="869">
        <v>0.97437796217736539</v>
      </c>
      <c r="L22" s="869">
        <v>0.97437796217736539</v>
      </c>
      <c r="M22" s="869">
        <v>0.97437796217736539</v>
      </c>
      <c r="N22" s="869">
        <v>0.97437796217736539</v>
      </c>
      <c r="O22" s="869">
        <v>0.95573081286031725</v>
      </c>
      <c r="P22" s="869">
        <v>0.95573081286031725</v>
      </c>
      <c r="Q22" s="869">
        <v>0.95573081286031725</v>
      </c>
      <c r="R22" s="869">
        <v>0.95573081286031725</v>
      </c>
      <c r="S22" s="869">
        <v>0.95573081286031725</v>
      </c>
      <c r="T22" s="869">
        <v>0.95883867107982534</v>
      </c>
      <c r="U22" s="869">
        <v>0.96105856980804538</v>
      </c>
      <c r="V22" s="869">
        <v>0.96272349385421041</v>
      </c>
      <c r="W22" s="869">
        <v>0.96401843477900551</v>
      </c>
      <c r="X22" s="869">
        <v>0.96505438751884154</v>
      </c>
      <c r="Y22" s="869">
        <v>0.96590198521507098</v>
      </c>
      <c r="Z22" s="869">
        <v>0.96660831662859559</v>
      </c>
    </row>
    <row r="24" spans="1:26" ht="13">
      <c r="A24" s="825" t="s">
        <v>173</v>
      </c>
      <c r="B24" s="802" t="s">
        <v>122</v>
      </c>
      <c r="C24" s="869">
        <v>0.98099999999999998</v>
      </c>
      <c r="D24" s="869">
        <v>0.98099999999999998</v>
      </c>
      <c r="E24" s="869">
        <v>0.98099999999999998</v>
      </c>
      <c r="F24" s="869">
        <v>0.98099999999999998</v>
      </c>
      <c r="G24" s="869">
        <v>0.98099999999999998</v>
      </c>
      <c r="H24" s="869">
        <v>0.98099999999999998</v>
      </c>
      <c r="I24" s="869">
        <v>0.98099999999999998</v>
      </c>
      <c r="J24" s="869">
        <v>0.98099999999999998</v>
      </c>
      <c r="K24" s="869">
        <v>0.98099999999999998</v>
      </c>
      <c r="L24" s="869">
        <v>0.98099999999999998</v>
      </c>
      <c r="M24" s="869">
        <v>1</v>
      </c>
      <c r="N24" s="869">
        <v>1</v>
      </c>
      <c r="O24" s="869">
        <v>0.98099999999999998</v>
      </c>
      <c r="P24" s="869">
        <v>0.98099999999999998</v>
      </c>
      <c r="Q24" s="869">
        <v>0.98099999999999998</v>
      </c>
      <c r="R24" s="869">
        <v>0.98099999999999998</v>
      </c>
      <c r="S24" s="869">
        <v>0.98099999999999998</v>
      </c>
      <c r="T24" s="869">
        <v>0.98099999999999998</v>
      </c>
      <c r="U24" s="869">
        <v>0.98099999999999998</v>
      </c>
      <c r="V24" s="869">
        <v>0.98099999999999998</v>
      </c>
      <c r="W24" s="869">
        <v>0.98099999999999998</v>
      </c>
      <c r="X24" s="869">
        <v>0.98099999999999998</v>
      </c>
      <c r="Y24" s="869">
        <v>0.98299999999999998</v>
      </c>
      <c r="Z24" s="869">
        <v>0.98399999999999999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pageSetUpPr fitToPage="1"/>
  </sheetPr>
  <dimension ref="A2:CB461"/>
  <sheetViews>
    <sheetView zoomScale="85" zoomScaleNormal="85" workbookViewId="0">
      <pane xSplit="2" ySplit="4" topLeftCell="S5" activePane="bottomRight" state="frozen"/>
      <selection pane="topRight" activeCell="C1" sqref="C1"/>
      <selection pane="bottomLeft" activeCell="A5" sqref="A5"/>
      <selection pane="bottomRight" activeCell="AA14" sqref="AA14:AF14"/>
    </sheetView>
  </sheetViews>
  <sheetFormatPr defaultRowHeight="12.5"/>
  <cols>
    <col min="1" max="1" width="9.453125" customWidth="1"/>
    <col min="2" max="2" width="34.81640625" customWidth="1"/>
    <col min="3" max="3" width="12" customWidth="1"/>
    <col min="4" max="4" width="12.54296875" customWidth="1"/>
    <col min="5" max="5" width="13.81640625" hidden="1" customWidth="1"/>
    <col min="6" max="6" width="8.26953125" customWidth="1"/>
    <col min="7" max="7" width="11.26953125" style="1" customWidth="1"/>
    <col min="8" max="8" width="5.7265625" customWidth="1"/>
    <col min="9" max="30" width="10.7265625" customWidth="1"/>
    <col min="31" max="31" width="11" customWidth="1"/>
    <col min="32" max="32" width="10.7265625" customWidth="1"/>
    <col min="33" max="35" width="12.7265625" customWidth="1"/>
    <col min="36" max="36" width="11.81640625" customWidth="1"/>
    <col min="37" max="37" width="12.7265625" customWidth="1" collapsed="1"/>
    <col min="38" max="40" width="12.7265625" customWidth="1"/>
    <col min="41" max="41" width="12.7265625" customWidth="1" collapsed="1"/>
    <col min="42" max="47" width="12.7265625" customWidth="1"/>
    <col min="48" max="48" width="12.81640625" customWidth="1"/>
    <col min="49" max="49" width="12.7265625" customWidth="1" collapsed="1"/>
    <col min="50" max="56" width="12.7265625" customWidth="1"/>
    <col min="57" max="58" width="9.7265625" bestFit="1" customWidth="1"/>
    <col min="59" max="59" width="11.26953125" customWidth="1"/>
    <col min="60" max="68" width="11.26953125" bestFit="1" customWidth="1"/>
    <col min="69" max="72" width="11.26953125" customWidth="1"/>
    <col min="73" max="73" width="11.26953125" customWidth="1" collapsed="1"/>
    <col min="74" max="80" width="11.26953125" customWidth="1"/>
  </cols>
  <sheetData>
    <row r="2" spans="1:80" s="414" customFormat="1">
      <c r="C2" s="415"/>
      <c r="D2" s="415"/>
      <c r="E2" s="415"/>
      <c r="F2" s="415"/>
      <c r="G2" s="415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7"/>
      <c r="AH2" s="417"/>
      <c r="AI2" s="417"/>
      <c r="AJ2" s="417"/>
      <c r="AK2" s="417"/>
      <c r="AL2" s="417"/>
      <c r="AM2" s="417"/>
      <c r="AN2" s="417"/>
      <c r="AO2" s="417"/>
      <c r="AP2" s="417"/>
      <c r="AQ2" s="417"/>
      <c r="AR2" s="417"/>
      <c r="AS2" s="417"/>
      <c r="AT2" s="417"/>
      <c r="AU2" s="417"/>
      <c r="AV2" s="417"/>
      <c r="AW2" s="417"/>
      <c r="AX2" s="417"/>
      <c r="AY2" s="417"/>
      <c r="AZ2" s="417"/>
      <c r="BA2" s="417"/>
      <c r="BB2" s="417"/>
      <c r="BC2" s="417"/>
      <c r="BD2" s="417"/>
      <c r="BE2" s="412"/>
      <c r="BF2" s="412"/>
      <c r="BG2" s="412"/>
      <c r="BH2" s="412"/>
      <c r="BI2" s="412"/>
      <c r="BJ2" s="412"/>
      <c r="BK2" s="412"/>
      <c r="BL2" s="412"/>
      <c r="BM2" s="412"/>
      <c r="BN2" s="412"/>
      <c r="BO2" s="412"/>
      <c r="BP2" s="412"/>
      <c r="BQ2" s="417"/>
      <c r="BR2" s="417"/>
      <c r="BS2" s="417"/>
      <c r="BT2" s="417"/>
      <c r="BV2" s="418"/>
      <c r="CA2" s="415"/>
    </row>
    <row r="3" spans="1:80" s="414" customFormat="1" ht="15.5">
      <c r="B3" s="419" t="s">
        <v>213</v>
      </c>
      <c r="C3" s="415"/>
      <c r="D3" s="415"/>
      <c r="E3" s="415"/>
      <c r="F3" s="420"/>
      <c r="G3" s="415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6"/>
      <c r="AB3" s="416"/>
      <c r="AC3" s="416"/>
      <c r="AD3" s="416"/>
      <c r="AE3" s="416"/>
      <c r="AF3" s="416"/>
      <c r="AG3" s="412"/>
      <c r="AH3" s="412"/>
      <c r="AI3" s="412"/>
      <c r="AJ3" s="412"/>
      <c r="AK3" s="412"/>
      <c r="AL3" s="412"/>
      <c r="AM3" s="412"/>
      <c r="AN3" s="412"/>
      <c r="AO3" s="412"/>
      <c r="AP3" s="412"/>
      <c r="AQ3" s="412"/>
      <c r="AR3" s="412"/>
      <c r="AS3" s="412"/>
      <c r="AT3" s="412"/>
      <c r="AU3" s="412"/>
      <c r="AV3" s="412"/>
      <c r="AW3" s="412"/>
      <c r="AX3" s="412"/>
      <c r="AY3" s="412"/>
      <c r="AZ3" s="412"/>
      <c r="BA3" s="412"/>
      <c r="BB3" s="412"/>
      <c r="BC3" s="412"/>
      <c r="BD3" s="412"/>
      <c r="BE3" s="412"/>
      <c r="BF3" s="412"/>
      <c r="BG3" s="412"/>
      <c r="BH3" s="412"/>
      <c r="BI3" s="412"/>
      <c r="BJ3" s="412"/>
      <c r="BK3" s="412"/>
      <c r="BL3" s="412"/>
      <c r="BM3" s="412"/>
      <c r="BN3" s="412"/>
      <c r="BO3" s="412"/>
      <c r="BP3" s="412"/>
      <c r="BQ3" s="421"/>
      <c r="BR3" s="421"/>
      <c r="BS3" s="421"/>
      <c r="BT3" s="421"/>
      <c r="BV3" s="418"/>
      <c r="CA3" s="415"/>
    </row>
    <row r="4" spans="1:80" s="412" customFormat="1" ht="15.5">
      <c r="B4" s="422" t="s">
        <v>214</v>
      </c>
      <c r="C4" s="413"/>
      <c r="D4" s="413"/>
      <c r="E4" s="413"/>
      <c r="F4" s="413"/>
      <c r="G4" s="413"/>
      <c r="H4" s="423"/>
      <c r="I4" s="423"/>
      <c r="J4" s="423"/>
      <c r="K4" s="423"/>
      <c r="L4" s="423"/>
      <c r="M4" s="423"/>
      <c r="N4" s="423"/>
      <c r="O4" s="423"/>
      <c r="P4" s="423"/>
      <c r="Q4" s="423"/>
      <c r="R4" s="423"/>
      <c r="S4" s="423"/>
      <c r="T4" s="423"/>
      <c r="U4" s="423"/>
      <c r="V4" s="423"/>
      <c r="W4" s="423"/>
      <c r="X4" s="423"/>
      <c r="Y4" s="423"/>
      <c r="Z4" s="423"/>
      <c r="AA4" s="423"/>
      <c r="AB4" s="423"/>
      <c r="AC4" s="423"/>
      <c r="AD4" s="423"/>
      <c r="AE4" s="423"/>
      <c r="AF4" s="423"/>
      <c r="BQ4" s="424"/>
      <c r="BR4" s="424"/>
      <c r="BS4" s="424"/>
      <c r="BT4" s="424"/>
      <c r="BV4" s="425"/>
      <c r="CA4" s="413"/>
    </row>
    <row r="5" spans="1:80" s="412" customFormat="1" ht="16" thickBot="1">
      <c r="B5" s="426" t="s">
        <v>215</v>
      </c>
      <c r="C5" s="413"/>
      <c r="D5" s="413"/>
      <c r="E5" s="413"/>
      <c r="F5" s="413"/>
      <c r="G5" s="427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23"/>
      <c r="X5" s="423"/>
      <c r="Y5" s="423"/>
      <c r="Z5" s="423"/>
      <c r="AA5" s="423"/>
      <c r="AB5" s="423"/>
      <c r="AC5" s="423"/>
      <c r="AD5" s="423"/>
      <c r="AE5" s="423"/>
      <c r="AF5" s="423"/>
      <c r="BQ5" s="428"/>
      <c r="BR5" s="428"/>
      <c r="BS5" s="428"/>
      <c r="BT5" s="428"/>
      <c r="BV5" s="425"/>
      <c r="CA5" s="413"/>
    </row>
    <row r="6" spans="1:80" s="412" customFormat="1" ht="13">
      <c r="B6" s="429" t="s">
        <v>216</v>
      </c>
      <c r="C6" s="430"/>
      <c r="D6" s="430"/>
      <c r="E6" s="430"/>
      <c r="F6" s="430"/>
      <c r="G6" s="431"/>
      <c r="H6" s="423"/>
      <c r="I6" s="432" t="s">
        <v>217</v>
      </c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4"/>
      <c r="U6" s="433"/>
      <c r="V6" s="433"/>
      <c r="W6" s="433"/>
      <c r="X6" s="433"/>
      <c r="Y6" s="433"/>
      <c r="Z6" s="433"/>
      <c r="AA6" s="433"/>
      <c r="AB6" s="433"/>
      <c r="AC6" s="433"/>
      <c r="AD6" s="433"/>
      <c r="AE6" s="433"/>
      <c r="AF6" s="433"/>
      <c r="AG6" s="435" t="s">
        <v>218</v>
      </c>
      <c r="AH6" s="436"/>
      <c r="AI6" s="436"/>
      <c r="AJ6" s="436"/>
      <c r="AK6" s="436"/>
      <c r="AL6" s="436"/>
      <c r="AM6" s="436"/>
      <c r="AN6" s="436"/>
      <c r="AO6" s="436"/>
      <c r="AP6" s="436"/>
      <c r="AQ6" s="436"/>
      <c r="AR6" s="437"/>
      <c r="AS6" s="436"/>
      <c r="AT6" s="436"/>
      <c r="AU6" s="436"/>
      <c r="AV6" s="436"/>
      <c r="AW6" s="436"/>
      <c r="AX6" s="438"/>
      <c r="AY6" s="436"/>
      <c r="AZ6" s="436"/>
      <c r="BA6" s="436"/>
      <c r="BB6" s="436"/>
      <c r="BC6" s="436"/>
      <c r="BD6" s="439"/>
      <c r="BE6" s="440"/>
      <c r="BF6" s="440"/>
      <c r="BG6" s="440"/>
      <c r="BH6" s="440"/>
      <c r="BI6" s="440"/>
      <c r="BJ6" s="440"/>
      <c r="BK6" s="440"/>
      <c r="BL6" s="440"/>
      <c r="BM6" s="440"/>
      <c r="BN6" s="440"/>
      <c r="BO6" s="440"/>
      <c r="BP6" s="441"/>
      <c r="BQ6" s="440"/>
      <c r="BR6" s="440"/>
      <c r="BS6" s="440"/>
      <c r="BT6" s="440"/>
      <c r="BU6" s="440"/>
      <c r="BV6" s="440"/>
      <c r="BW6" s="440"/>
      <c r="BX6" s="440"/>
      <c r="BY6" s="440"/>
      <c r="BZ6" s="440"/>
      <c r="CA6" s="440"/>
      <c r="CB6" s="441"/>
    </row>
    <row r="7" spans="1:80" s="442" customFormat="1" ht="13">
      <c r="B7" s="443"/>
      <c r="C7" s="443" t="s">
        <v>219</v>
      </c>
      <c r="D7" s="443" t="s">
        <v>220</v>
      </c>
      <c r="E7" s="443" t="s">
        <v>221</v>
      </c>
      <c r="F7" s="443" t="s">
        <v>28</v>
      </c>
      <c r="G7" s="443" t="s">
        <v>222</v>
      </c>
      <c r="H7" s="416"/>
      <c r="I7" s="444" t="s">
        <v>223</v>
      </c>
      <c r="J7" s="445"/>
      <c r="K7" s="445"/>
      <c r="L7" s="445"/>
      <c r="M7" s="445"/>
      <c r="N7" s="445"/>
      <c r="O7" s="445"/>
      <c r="P7" s="445"/>
      <c r="Q7" s="445"/>
      <c r="R7" s="445"/>
      <c r="S7" s="445"/>
      <c r="T7" s="446"/>
      <c r="U7" s="447" t="s">
        <v>224</v>
      </c>
      <c r="V7" s="448"/>
      <c r="W7" s="448"/>
      <c r="X7" s="448"/>
      <c r="Y7" s="448"/>
      <c r="Z7" s="448"/>
      <c r="AA7" s="448"/>
      <c r="AB7" s="448"/>
      <c r="AC7" s="448"/>
      <c r="AD7" s="448"/>
      <c r="AE7" s="448"/>
      <c r="AF7" s="448"/>
      <c r="AG7" s="444" t="s">
        <v>223</v>
      </c>
      <c r="AH7" s="445"/>
      <c r="AI7" s="445"/>
      <c r="AJ7" s="445"/>
      <c r="AK7" s="445"/>
      <c r="AL7" s="445"/>
      <c r="AM7" s="445"/>
      <c r="AN7" s="445"/>
      <c r="AO7" s="445"/>
      <c r="AP7" s="445"/>
      <c r="AQ7" s="445"/>
      <c r="AR7" s="446"/>
      <c r="AS7" s="447" t="s">
        <v>224</v>
      </c>
      <c r="AT7" s="448"/>
      <c r="AU7" s="448"/>
      <c r="AV7" s="448"/>
      <c r="AW7" s="448"/>
      <c r="AX7" s="449"/>
      <c r="AY7" s="448"/>
      <c r="AZ7" s="448"/>
      <c r="BA7" s="448"/>
      <c r="BB7" s="448"/>
      <c r="BC7" s="448"/>
      <c r="BD7" s="450"/>
      <c r="BE7" s="445" t="s">
        <v>225</v>
      </c>
      <c r="BF7" s="445"/>
      <c r="BG7" s="445"/>
      <c r="BH7" s="445"/>
      <c r="BI7" s="445"/>
      <c r="BJ7" s="445"/>
      <c r="BK7" s="445"/>
      <c r="BL7" s="445"/>
      <c r="BM7" s="445"/>
      <c r="BN7" s="445"/>
      <c r="BO7" s="445"/>
      <c r="BP7" s="451"/>
      <c r="BQ7" s="447" t="s">
        <v>226</v>
      </c>
      <c r="BR7" s="448"/>
      <c r="BS7" s="448"/>
      <c r="BT7" s="448"/>
      <c r="BU7" s="448"/>
      <c r="BV7" s="448"/>
      <c r="BW7" s="448"/>
      <c r="BX7" s="448"/>
      <c r="BY7" s="448"/>
      <c r="BZ7" s="448"/>
      <c r="CA7" s="448"/>
      <c r="CB7" s="450"/>
    </row>
    <row r="8" spans="1:80" s="412" customFormat="1" ht="13">
      <c r="B8" s="452" t="s">
        <v>193</v>
      </c>
      <c r="C8" s="452" t="s">
        <v>227</v>
      </c>
      <c r="D8" s="452" t="s">
        <v>228</v>
      </c>
      <c r="E8" s="452" t="s">
        <v>229</v>
      </c>
      <c r="F8" s="452" t="s">
        <v>59</v>
      </c>
      <c r="G8" s="452" t="s">
        <v>230</v>
      </c>
      <c r="H8" s="1021"/>
      <c r="I8" s="453" t="s">
        <v>30</v>
      </c>
      <c r="J8" s="454" t="s">
        <v>33</v>
      </c>
      <c r="K8" s="454" t="s">
        <v>231</v>
      </c>
      <c r="L8" s="454" t="s">
        <v>232</v>
      </c>
      <c r="M8" s="454" t="s">
        <v>233</v>
      </c>
      <c r="N8" s="454" t="s">
        <v>234</v>
      </c>
      <c r="O8" s="454" t="s">
        <v>235</v>
      </c>
      <c r="P8" s="454" t="s">
        <v>236</v>
      </c>
      <c r="Q8" s="454" t="s">
        <v>237</v>
      </c>
      <c r="R8" s="454" t="s">
        <v>238</v>
      </c>
      <c r="S8" s="454" t="s">
        <v>51</v>
      </c>
      <c r="T8" s="454" t="s">
        <v>53</v>
      </c>
      <c r="U8" s="455" t="s">
        <v>30</v>
      </c>
      <c r="V8" s="455" t="s">
        <v>33</v>
      </c>
      <c r="W8" s="455" t="s">
        <v>231</v>
      </c>
      <c r="X8" s="455" t="s">
        <v>232</v>
      </c>
      <c r="Y8" s="455" t="s">
        <v>233</v>
      </c>
      <c r="Z8" s="455" t="s">
        <v>234</v>
      </c>
      <c r="AA8" s="455" t="s">
        <v>235</v>
      </c>
      <c r="AB8" s="455" t="s">
        <v>236</v>
      </c>
      <c r="AC8" s="455" t="s">
        <v>237</v>
      </c>
      <c r="AD8" s="455" t="s">
        <v>238</v>
      </c>
      <c r="AE8" s="455" t="s">
        <v>51</v>
      </c>
      <c r="AF8" s="456" t="s">
        <v>53</v>
      </c>
      <c r="AG8" s="457" t="s">
        <v>30</v>
      </c>
      <c r="AH8" s="458" t="s">
        <v>33</v>
      </c>
      <c r="AI8" s="458" t="s">
        <v>231</v>
      </c>
      <c r="AJ8" s="458" t="s">
        <v>232</v>
      </c>
      <c r="AK8" s="458" t="s">
        <v>233</v>
      </c>
      <c r="AL8" s="458" t="s">
        <v>234</v>
      </c>
      <c r="AM8" s="458" t="s">
        <v>235</v>
      </c>
      <c r="AN8" s="458" t="s">
        <v>236</v>
      </c>
      <c r="AO8" s="458" t="s">
        <v>237</v>
      </c>
      <c r="AP8" s="458" t="s">
        <v>238</v>
      </c>
      <c r="AQ8" s="458" t="s">
        <v>51</v>
      </c>
      <c r="AR8" s="459" t="s">
        <v>53</v>
      </c>
      <c r="AS8" s="455" t="s">
        <v>30</v>
      </c>
      <c r="AT8" s="455" t="s">
        <v>33</v>
      </c>
      <c r="AU8" s="455" t="s">
        <v>231</v>
      </c>
      <c r="AV8" s="455" t="s">
        <v>232</v>
      </c>
      <c r="AW8" s="456" t="s">
        <v>233</v>
      </c>
      <c r="AX8" s="455" t="s">
        <v>234</v>
      </c>
      <c r="AY8" s="460" t="s">
        <v>235</v>
      </c>
      <c r="AZ8" s="455" t="s">
        <v>236</v>
      </c>
      <c r="BA8" s="455" t="s">
        <v>237</v>
      </c>
      <c r="BB8" s="455" t="s">
        <v>238</v>
      </c>
      <c r="BC8" s="455" t="s">
        <v>51</v>
      </c>
      <c r="BD8" s="461" t="s">
        <v>53</v>
      </c>
      <c r="BE8" s="459" t="s">
        <v>30</v>
      </c>
      <c r="BF8" s="454" t="s">
        <v>33</v>
      </c>
      <c r="BG8" s="454" t="s">
        <v>231</v>
      </c>
      <c r="BH8" s="454" t="s">
        <v>232</v>
      </c>
      <c r="BI8" s="454" t="s">
        <v>233</v>
      </c>
      <c r="BJ8" s="454" t="s">
        <v>234</v>
      </c>
      <c r="BK8" s="454" t="s">
        <v>235</v>
      </c>
      <c r="BL8" s="454" t="s">
        <v>236</v>
      </c>
      <c r="BM8" s="454" t="s">
        <v>237</v>
      </c>
      <c r="BN8" s="454" t="s">
        <v>238</v>
      </c>
      <c r="BO8" s="454" t="s">
        <v>51</v>
      </c>
      <c r="BP8" s="462" t="s">
        <v>53</v>
      </c>
      <c r="BQ8" s="455" t="s">
        <v>30</v>
      </c>
      <c r="BR8" s="455" t="s">
        <v>33</v>
      </c>
      <c r="BS8" s="455" t="s">
        <v>231</v>
      </c>
      <c r="BT8" s="455" t="s">
        <v>232</v>
      </c>
      <c r="BU8" s="455" t="s">
        <v>233</v>
      </c>
      <c r="BV8" s="455" t="s">
        <v>234</v>
      </c>
      <c r="BW8" s="455" t="s">
        <v>235</v>
      </c>
      <c r="BX8" s="455" t="s">
        <v>236</v>
      </c>
      <c r="BY8" s="455" t="s">
        <v>237</v>
      </c>
      <c r="BZ8" s="455" t="s">
        <v>238</v>
      </c>
      <c r="CA8" s="455" t="s">
        <v>51</v>
      </c>
      <c r="CB8" s="461" t="s">
        <v>53</v>
      </c>
    </row>
    <row r="9" spans="1:80" s="414" customFormat="1" ht="12.75" customHeight="1">
      <c r="B9" s="463" t="s">
        <v>17</v>
      </c>
      <c r="C9" s="415"/>
      <c r="D9" s="415"/>
      <c r="E9" s="415"/>
      <c r="F9" s="415"/>
      <c r="G9" s="415"/>
      <c r="H9" s="416"/>
      <c r="I9" s="464"/>
      <c r="J9" s="442"/>
      <c r="K9" s="442"/>
      <c r="L9" s="442"/>
      <c r="M9" s="442"/>
      <c r="N9" s="442"/>
      <c r="O9" s="442"/>
      <c r="P9" s="442"/>
      <c r="Q9" s="442"/>
      <c r="R9" s="442"/>
      <c r="S9" s="442"/>
      <c r="T9" s="465"/>
      <c r="U9" s="466"/>
      <c r="V9" s="442"/>
      <c r="W9" s="442"/>
      <c r="X9" s="442"/>
      <c r="Y9" s="442"/>
      <c r="Z9" s="442"/>
      <c r="AA9" s="442"/>
      <c r="AB9" s="442"/>
      <c r="AC9" s="442"/>
      <c r="AD9" s="442"/>
      <c r="AE9" s="442"/>
      <c r="AF9" s="442"/>
      <c r="AG9" s="464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65"/>
      <c r="AS9" s="466"/>
      <c r="AT9" s="442"/>
      <c r="AU9" s="442"/>
      <c r="AV9" s="442"/>
      <c r="AW9" s="442"/>
      <c r="AX9" s="442"/>
      <c r="AY9" s="442"/>
      <c r="AZ9" s="442"/>
      <c r="BA9" s="442"/>
      <c r="BB9" s="442"/>
      <c r="BC9" s="442"/>
      <c r="BD9" s="467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9"/>
      <c r="BQ9" s="470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9"/>
    </row>
    <row r="10" spans="1:80" s="471" customFormat="1">
      <c r="A10" s="471">
        <v>1</v>
      </c>
      <c r="B10" s="628" t="s">
        <v>70</v>
      </c>
      <c r="C10" s="865">
        <v>32295</v>
      </c>
      <c r="D10" s="865">
        <v>40694</v>
      </c>
      <c r="E10" s="427"/>
      <c r="F10" s="585" t="s">
        <v>72</v>
      </c>
      <c r="G10" s="627">
        <v>1500</v>
      </c>
      <c r="H10" s="582">
        <v>3</v>
      </c>
      <c r="I10" s="524">
        <v>1500</v>
      </c>
      <c r="J10" s="473">
        <v>1500</v>
      </c>
      <c r="K10" s="473">
        <v>1500</v>
      </c>
      <c r="L10" s="473">
        <v>1500</v>
      </c>
      <c r="M10" s="473">
        <v>1500</v>
      </c>
      <c r="N10" s="473">
        <v>1500</v>
      </c>
      <c r="O10" s="473">
        <v>1500</v>
      </c>
      <c r="P10" s="473">
        <v>1500</v>
      </c>
      <c r="Q10" s="473">
        <v>1500</v>
      </c>
      <c r="R10" s="473">
        <v>1500</v>
      </c>
      <c r="S10" s="473">
        <v>1500</v>
      </c>
      <c r="T10" s="473">
        <v>1500</v>
      </c>
      <c r="U10" s="475">
        <v>10951.25</v>
      </c>
      <c r="V10" s="473">
        <v>10951.25</v>
      </c>
      <c r="W10" s="473">
        <v>10951.25</v>
      </c>
      <c r="X10" s="473">
        <v>10951.25</v>
      </c>
      <c r="Y10" s="473">
        <v>10951.25</v>
      </c>
      <c r="Z10" s="473">
        <v>10951.25</v>
      </c>
      <c r="AA10" s="473">
        <v>10951.25</v>
      </c>
      <c r="AB10" s="473">
        <v>10951.25</v>
      </c>
      <c r="AC10" s="473">
        <v>10951.25</v>
      </c>
      <c r="AD10" s="473">
        <v>10951.25</v>
      </c>
      <c r="AE10" s="473">
        <v>10951.25</v>
      </c>
      <c r="AF10" s="473">
        <v>11388.75</v>
      </c>
      <c r="AG10" s="476">
        <v>1500</v>
      </c>
      <c r="AH10" s="477">
        <v>1500</v>
      </c>
      <c r="AI10" s="477">
        <v>1500</v>
      </c>
      <c r="AJ10" s="477">
        <v>1500</v>
      </c>
      <c r="AK10" s="477">
        <v>1500</v>
      </c>
      <c r="AL10" s="477">
        <v>1500</v>
      </c>
      <c r="AM10" s="477">
        <v>1500</v>
      </c>
      <c r="AN10" s="477">
        <v>1500</v>
      </c>
      <c r="AO10" s="477">
        <v>1500</v>
      </c>
      <c r="AP10" s="477">
        <v>1500</v>
      </c>
      <c r="AQ10" s="477">
        <v>1500</v>
      </c>
      <c r="AR10" s="478">
        <v>1500</v>
      </c>
      <c r="AS10" s="479">
        <v>10951</v>
      </c>
      <c r="AT10" s="480">
        <v>10951</v>
      </c>
      <c r="AU10" s="480">
        <v>10951</v>
      </c>
      <c r="AV10" s="480">
        <v>10951</v>
      </c>
      <c r="AW10" s="480">
        <v>10951</v>
      </c>
      <c r="AX10" s="480">
        <v>10951</v>
      </c>
      <c r="AY10" s="480">
        <v>10951</v>
      </c>
      <c r="AZ10" s="480">
        <v>10951</v>
      </c>
      <c r="BA10" s="480">
        <v>10951</v>
      </c>
      <c r="BB10" s="480">
        <v>10951</v>
      </c>
      <c r="BC10" s="480">
        <v>10951</v>
      </c>
      <c r="BD10" s="481">
        <v>11389</v>
      </c>
      <c r="BE10" s="482">
        <f t="shared" ref="BE10:BE41" si="0">(U10)</f>
        <v>10951.25</v>
      </c>
      <c r="BF10" s="482">
        <f>SUM($U10:V10)</f>
        <v>21902.5</v>
      </c>
      <c r="BG10" s="482">
        <f>SUM($U10:W10)</f>
        <v>32853.75</v>
      </c>
      <c r="BH10" s="482">
        <f>SUM($U10:X10)</f>
        <v>43805</v>
      </c>
      <c r="BI10" s="482">
        <f>SUM($U10:Y10)</f>
        <v>54756.25</v>
      </c>
      <c r="BJ10" s="482">
        <f>SUM($U10:Z10)</f>
        <v>65707.5</v>
      </c>
      <c r="BK10" s="482">
        <f>SUM($U10:AA10)</f>
        <v>76658.75</v>
      </c>
      <c r="BL10" s="482">
        <f>SUM($U10:AB10)</f>
        <v>87610</v>
      </c>
      <c r="BM10" s="482">
        <f>SUM($U10:AC10)</f>
        <v>98561.25</v>
      </c>
      <c r="BN10" s="482">
        <f>SUM($U10:AD10)</f>
        <v>109512.5</v>
      </c>
      <c r="BO10" s="482">
        <f>SUM($U10:AE10)</f>
        <v>120463.75</v>
      </c>
      <c r="BP10" s="483">
        <f>SUM($U10:AF10)</f>
        <v>131852.5</v>
      </c>
      <c r="BQ10" s="484">
        <f t="shared" ref="BQ10:BQ41" si="1">(AS10)</f>
        <v>10951</v>
      </c>
      <c r="BR10" s="482">
        <f>SUM($AS10:AT10)</f>
        <v>21902</v>
      </c>
      <c r="BS10" s="482">
        <f>SUM($AS10:AU10)</f>
        <v>32853</v>
      </c>
      <c r="BT10" s="482">
        <f>SUM($AS10:AV10)</f>
        <v>43804</v>
      </c>
      <c r="BU10" s="482">
        <f>SUM($AS10:AW10)</f>
        <v>54755</v>
      </c>
      <c r="BV10" s="482">
        <f>SUM($AS10:AX10)</f>
        <v>65706</v>
      </c>
      <c r="BW10" s="482">
        <f>SUM($AS10:AY10)</f>
        <v>76657</v>
      </c>
      <c r="BX10" s="482">
        <f>SUM($AS10:AZ10)</f>
        <v>87608</v>
      </c>
      <c r="BY10" s="482">
        <f>SUM($AS10:BA10)</f>
        <v>98559</v>
      </c>
      <c r="BZ10" s="482">
        <f>SUM($AS10:BB10)</f>
        <v>109510</v>
      </c>
      <c r="CA10" s="482">
        <f>SUM($AS10:BC10)</f>
        <v>120461</v>
      </c>
      <c r="CB10" s="483">
        <f>SUM($AS10:BD10)</f>
        <v>131850</v>
      </c>
    </row>
    <row r="11" spans="1:80" s="471" customFormat="1">
      <c r="A11" s="471">
        <f t="shared" ref="A11:A74" si="2">+A10+1</f>
        <v>2</v>
      </c>
      <c r="B11" s="628" t="s">
        <v>74</v>
      </c>
      <c r="C11" s="865">
        <v>35223</v>
      </c>
      <c r="D11" s="865">
        <v>40724</v>
      </c>
      <c r="E11" s="427"/>
      <c r="F11" s="585" t="s">
        <v>75</v>
      </c>
      <c r="G11" s="627">
        <v>1055</v>
      </c>
      <c r="H11" s="582">
        <f t="shared" ref="H11:H37" si="3">+H10+1</f>
        <v>4</v>
      </c>
      <c r="I11" s="524">
        <v>1055</v>
      </c>
      <c r="J11" s="473">
        <v>1055</v>
      </c>
      <c r="K11" s="473">
        <v>1055</v>
      </c>
      <c r="L11" s="473">
        <v>1055</v>
      </c>
      <c r="M11" s="473">
        <v>1055</v>
      </c>
      <c r="N11" s="473">
        <v>1055</v>
      </c>
      <c r="O11" s="473">
        <v>1055</v>
      </c>
      <c r="P11" s="473">
        <v>1055</v>
      </c>
      <c r="Q11" s="473">
        <v>1055</v>
      </c>
      <c r="R11" s="473">
        <v>1055</v>
      </c>
      <c r="S11" s="473">
        <v>1055</v>
      </c>
      <c r="T11" s="473">
        <v>1055</v>
      </c>
      <c r="U11" s="475">
        <v>5184.45</v>
      </c>
      <c r="V11" s="473">
        <v>5184.45</v>
      </c>
      <c r="W11" s="473">
        <v>5184.45</v>
      </c>
      <c r="X11" s="473">
        <v>5184.45</v>
      </c>
      <c r="Y11" s="473">
        <v>5184.45</v>
      </c>
      <c r="Z11" s="473">
        <v>5184.45</v>
      </c>
      <c r="AA11" s="473">
        <v>5184.45</v>
      </c>
      <c r="AB11" s="473">
        <v>5184.45</v>
      </c>
      <c r="AC11" s="473">
        <v>5184.45</v>
      </c>
      <c r="AD11" s="473">
        <v>5184.45</v>
      </c>
      <c r="AE11" s="473">
        <v>5184.45</v>
      </c>
      <c r="AF11" s="473">
        <v>5184.45</v>
      </c>
      <c r="AG11" s="485">
        <v>1055</v>
      </c>
      <c r="AH11" s="486">
        <v>1055</v>
      </c>
      <c r="AI11" s="486">
        <v>1055</v>
      </c>
      <c r="AJ11" s="486">
        <v>1055</v>
      </c>
      <c r="AK11" s="486">
        <v>1055</v>
      </c>
      <c r="AL11" s="486">
        <v>1055</v>
      </c>
      <c r="AM11" s="486">
        <v>1055</v>
      </c>
      <c r="AN11" s="486">
        <v>1055</v>
      </c>
      <c r="AO11" s="486">
        <v>1055</v>
      </c>
      <c r="AP11" s="486">
        <v>1055</v>
      </c>
      <c r="AQ11" s="486">
        <v>1055</v>
      </c>
      <c r="AR11" s="487">
        <v>1055</v>
      </c>
      <c r="AS11" s="479">
        <v>5184</v>
      </c>
      <c r="AT11" s="480">
        <v>5184</v>
      </c>
      <c r="AU11" s="480">
        <v>5184</v>
      </c>
      <c r="AV11" s="480">
        <v>5184</v>
      </c>
      <c r="AW11" s="480">
        <v>5184</v>
      </c>
      <c r="AX11" s="480">
        <v>5184</v>
      </c>
      <c r="AY11" s="480">
        <v>5184</v>
      </c>
      <c r="AZ11" s="480">
        <v>5184</v>
      </c>
      <c r="BA11" s="480">
        <v>5184</v>
      </c>
      <c r="BB11" s="480">
        <v>5184</v>
      </c>
      <c r="BC11" s="480">
        <v>5184</v>
      </c>
      <c r="BD11" s="481">
        <v>5184</v>
      </c>
      <c r="BE11" s="482">
        <f t="shared" si="0"/>
        <v>5184.45</v>
      </c>
      <c r="BF11" s="482">
        <f>SUM($U11:V11)</f>
        <v>10368.9</v>
      </c>
      <c r="BG11" s="482">
        <f>SUM($U11:W11)</f>
        <v>15553.349999999999</v>
      </c>
      <c r="BH11" s="482">
        <f>SUM($U11:X11)</f>
        <v>20737.8</v>
      </c>
      <c r="BI11" s="482">
        <f>SUM($U11:Y11)</f>
        <v>25922.25</v>
      </c>
      <c r="BJ11" s="482">
        <f>SUM($U11:Z11)</f>
        <v>31106.7</v>
      </c>
      <c r="BK11" s="482">
        <f>SUM($U11:AA11)</f>
        <v>36291.15</v>
      </c>
      <c r="BL11" s="482">
        <f>SUM($U11:AB11)</f>
        <v>41475.599999999999</v>
      </c>
      <c r="BM11" s="482">
        <f>SUM($U11:AC11)</f>
        <v>46660.049999999996</v>
      </c>
      <c r="BN11" s="482">
        <f>SUM($U11:AD11)</f>
        <v>51844.499999999993</v>
      </c>
      <c r="BO11" s="482">
        <f>SUM($U11:AE11)</f>
        <v>57028.94999999999</v>
      </c>
      <c r="BP11" s="483">
        <f>SUM($U11:AF11)</f>
        <v>62213.399999999987</v>
      </c>
      <c r="BQ11" s="484">
        <f t="shared" si="1"/>
        <v>5184</v>
      </c>
      <c r="BR11" s="482">
        <f>SUM($AS11:AT11)</f>
        <v>10368</v>
      </c>
      <c r="BS11" s="482">
        <f>SUM($AS11:AU11)</f>
        <v>15552</v>
      </c>
      <c r="BT11" s="482">
        <f>SUM($AS11:AV11)</f>
        <v>20736</v>
      </c>
      <c r="BU11" s="482">
        <f>SUM($AS11:AW11)</f>
        <v>25920</v>
      </c>
      <c r="BV11" s="482">
        <f>SUM($AS11:AX11)</f>
        <v>31104</v>
      </c>
      <c r="BW11" s="482">
        <f>SUM($AS11:AY11)</f>
        <v>36288</v>
      </c>
      <c r="BX11" s="482">
        <f>SUM($AS11:AZ11)</f>
        <v>41472</v>
      </c>
      <c r="BY11" s="482">
        <f>SUM($AS11:BA11)</f>
        <v>46656</v>
      </c>
      <c r="BZ11" s="482">
        <f>SUM($AS11:BB11)</f>
        <v>51840</v>
      </c>
      <c r="CA11" s="482">
        <f>SUM($AS11:BC11)</f>
        <v>57024</v>
      </c>
      <c r="CB11" s="483">
        <f>SUM($AS11:BD11)</f>
        <v>62208</v>
      </c>
    </row>
    <row r="12" spans="1:80" s="471" customFormat="1">
      <c r="A12" s="471">
        <f t="shared" si="2"/>
        <v>3</v>
      </c>
      <c r="B12" s="628" t="s">
        <v>77</v>
      </c>
      <c r="C12" s="865">
        <v>34700</v>
      </c>
      <c r="D12" s="865">
        <v>39994</v>
      </c>
      <c r="E12" s="427"/>
      <c r="F12" s="585" t="s">
        <v>78</v>
      </c>
      <c r="G12" s="627">
        <v>1320</v>
      </c>
      <c r="H12" s="582">
        <f t="shared" si="3"/>
        <v>5</v>
      </c>
      <c r="I12" s="524">
        <v>1320</v>
      </c>
      <c r="J12" s="473">
        <v>1320</v>
      </c>
      <c r="K12" s="473">
        <v>1320</v>
      </c>
      <c r="L12" s="473">
        <v>1320</v>
      </c>
      <c r="M12" s="473">
        <v>1320</v>
      </c>
      <c r="N12" s="473">
        <v>1320</v>
      </c>
      <c r="O12" s="473">
        <v>1320</v>
      </c>
      <c r="P12" s="473">
        <v>1320</v>
      </c>
      <c r="Q12" s="473">
        <v>1320</v>
      </c>
      <c r="R12" s="473">
        <v>1320</v>
      </c>
      <c r="S12" s="473">
        <v>1320</v>
      </c>
      <c r="T12" s="473">
        <v>1320</v>
      </c>
      <c r="U12" s="475">
        <v>6160</v>
      </c>
      <c r="V12" s="473">
        <v>6160</v>
      </c>
      <c r="W12" s="473">
        <v>6160</v>
      </c>
      <c r="X12" s="473">
        <v>6160</v>
      </c>
      <c r="Y12" s="473">
        <v>6160</v>
      </c>
      <c r="Z12" s="473">
        <v>6160</v>
      </c>
      <c r="AA12" s="473">
        <v>6160</v>
      </c>
      <c r="AB12" s="473">
        <v>6160</v>
      </c>
      <c r="AC12" s="473">
        <v>6160</v>
      </c>
      <c r="AD12" s="473">
        <v>6160</v>
      </c>
      <c r="AE12" s="473">
        <v>6160</v>
      </c>
      <c r="AF12" s="473">
        <v>6160</v>
      </c>
      <c r="AG12" s="476">
        <v>1320</v>
      </c>
      <c r="AH12" s="477">
        <v>1320</v>
      </c>
      <c r="AI12" s="477">
        <v>1320</v>
      </c>
      <c r="AJ12" s="477">
        <v>1320</v>
      </c>
      <c r="AK12" s="477">
        <v>1320</v>
      </c>
      <c r="AL12" s="477">
        <v>1320</v>
      </c>
      <c r="AM12" s="477">
        <v>1320</v>
      </c>
      <c r="AN12" s="477">
        <v>1320</v>
      </c>
      <c r="AO12" s="477">
        <v>1320</v>
      </c>
      <c r="AP12" s="477">
        <v>1320</v>
      </c>
      <c r="AQ12" s="477">
        <v>1320</v>
      </c>
      <c r="AR12" s="478">
        <v>1320</v>
      </c>
      <c r="AS12" s="479">
        <v>6160</v>
      </c>
      <c r="AT12" s="480">
        <v>6160</v>
      </c>
      <c r="AU12" s="480">
        <v>6160</v>
      </c>
      <c r="AV12" s="480">
        <v>6160</v>
      </c>
      <c r="AW12" s="480">
        <v>6160</v>
      </c>
      <c r="AX12" s="480">
        <v>6160</v>
      </c>
      <c r="AY12" s="480">
        <v>6160</v>
      </c>
      <c r="AZ12" s="480">
        <v>6160</v>
      </c>
      <c r="BA12" s="480">
        <v>6160</v>
      </c>
      <c r="BB12" s="480">
        <v>6160</v>
      </c>
      <c r="BC12" s="480">
        <v>6160</v>
      </c>
      <c r="BD12" s="481">
        <v>6160</v>
      </c>
      <c r="BE12" s="482">
        <f t="shared" si="0"/>
        <v>6160</v>
      </c>
      <c r="BF12" s="482">
        <f>SUM($U12:V12)</f>
        <v>12320</v>
      </c>
      <c r="BG12" s="482">
        <f>SUM($U12:W12)</f>
        <v>18480</v>
      </c>
      <c r="BH12" s="482">
        <f>SUM($U12:X12)</f>
        <v>24640</v>
      </c>
      <c r="BI12" s="482">
        <f>SUM($U12:Y12)</f>
        <v>30800</v>
      </c>
      <c r="BJ12" s="482">
        <f>SUM($U12:Z12)</f>
        <v>36960</v>
      </c>
      <c r="BK12" s="482">
        <f>SUM($U12:AA12)</f>
        <v>43120</v>
      </c>
      <c r="BL12" s="482">
        <f>SUM($U12:AB12)</f>
        <v>49280</v>
      </c>
      <c r="BM12" s="482">
        <f>SUM($U12:AC12)</f>
        <v>55440</v>
      </c>
      <c r="BN12" s="482">
        <f>SUM($U12:AD12)</f>
        <v>61600</v>
      </c>
      <c r="BO12" s="482">
        <f>SUM($U12:AE12)</f>
        <v>67760</v>
      </c>
      <c r="BP12" s="483">
        <f>SUM($U12:AF12)</f>
        <v>73920</v>
      </c>
      <c r="BQ12" s="484">
        <f t="shared" si="1"/>
        <v>6160</v>
      </c>
      <c r="BR12" s="482">
        <f>SUM($AS12:AT12)</f>
        <v>12320</v>
      </c>
      <c r="BS12" s="482">
        <f>SUM($AS12:AU12)</f>
        <v>18480</v>
      </c>
      <c r="BT12" s="482">
        <f>SUM($AS12:AV12)</f>
        <v>24640</v>
      </c>
      <c r="BU12" s="482">
        <f>SUM($AS12:AW12)</f>
        <v>30800</v>
      </c>
      <c r="BV12" s="482">
        <f>SUM($AS12:AX12)</f>
        <v>36960</v>
      </c>
      <c r="BW12" s="482">
        <f>SUM($AS12:AY12)</f>
        <v>43120</v>
      </c>
      <c r="BX12" s="482">
        <f>SUM($AS12:AZ12)</f>
        <v>49280</v>
      </c>
      <c r="BY12" s="482">
        <f>SUM($AS12:BA12)</f>
        <v>55440</v>
      </c>
      <c r="BZ12" s="482">
        <f>SUM($AS12:BB12)</f>
        <v>61600</v>
      </c>
      <c r="CA12" s="482">
        <f>SUM($AS12:BC12)</f>
        <v>67760</v>
      </c>
      <c r="CB12" s="483">
        <f>SUM($AS12:BD12)</f>
        <v>73920</v>
      </c>
    </row>
    <row r="13" spans="1:80" s="471" customFormat="1">
      <c r="A13" s="471">
        <f t="shared" si="2"/>
        <v>4</v>
      </c>
      <c r="B13" s="628" t="s">
        <v>80</v>
      </c>
      <c r="C13" s="865">
        <v>35217</v>
      </c>
      <c r="D13" s="865">
        <v>41243</v>
      </c>
      <c r="E13" s="427"/>
      <c r="F13" s="585" t="s">
        <v>81</v>
      </c>
      <c r="G13" s="627">
        <v>650</v>
      </c>
      <c r="H13" s="582">
        <f t="shared" si="3"/>
        <v>6</v>
      </c>
      <c r="I13" s="524">
        <v>650</v>
      </c>
      <c r="J13" s="473">
        <v>650</v>
      </c>
      <c r="K13" s="473">
        <v>650</v>
      </c>
      <c r="L13" s="473">
        <v>650</v>
      </c>
      <c r="M13" s="473">
        <v>650</v>
      </c>
      <c r="N13" s="473">
        <v>650</v>
      </c>
      <c r="O13" s="473">
        <v>650</v>
      </c>
      <c r="P13" s="473">
        <v>650</v>
      </c>
      <c r="Q13" s="473">
        <v>650</v>
      </c>
      <c r="R13" s="473">
        <v>650</v>
      </c>
      <c r="S13" s="473">
        <v>650</v>
      </c>
      <c r="T13" s="473">
        <v>650</v>
      </c>
      <c r="U13" s="475">
        <v>3412.5</v>
      </c>
      <c r="V13" s="473">
        <v>3412.5</v>
      </c>
      <c r="W13" s="473">
        <v>3412.5</v>
      </c>
      <c r="X13" s="473">
        <v>3412.5</v>
      </c>
      <c r="Y13" s="473">
        <v>3412.5</v>
      </c>
      <c r="Z13" s="473">
        <v>3549</v>
      </c>
      <c r="AA13" s="473">
        <v>3549</v>
      </c>
      <c r="AB13" s="473">
        <v>3549</v>
      </c>
      <c r="AC13" s="473">
        <f>3549-3549*3+1774.5*3+969.4</f>
        <v>-805.1</v>
      </c>
      <c r="AD13" s="473">
        <f>3549+836.4</f>
        <v>4385.3999999999996</v>
      </c>
      <c r="AE13" s="473">
        <f>3549</f>
        <v>3549</v>
      </c>
      <c r="AF13" s="473">
        <f>3549</f>
        <v>3549</v>
      </c>
      <c r="AG13" s="476">
        <v>650</v>
      </c>
      <c r="AH13" s="477">
        <v>650</v>
      </c>
      <c r="AI13" s="477">
        <v>650</v>
      </c>
      <c r="AJ13" s="477">
        <v>650</v>
      </c>
      <c r="AK13" s="477">
        <v>650</v>
      </c>
      <c r="AL13" s="477">
        <v>650</v>
      </c>
      <c r="AM13" s="477">
        <v>650</v>
      </c>
      <c r="AN13" s="477">
        <v>650</v>
      </c>
      <c r="AO13" s="477">
        <v>650</v>
      </c>
      <c r="AP13" s="477">
        <v>650</v>
      </c>
      <c r="AQ13" s="477">
        <v>650</v>
      </c>
      <c r="AR13" s="478">
        <v>650</v>
      </c>
      <c r="AS13" s="479">
        <v>3413</v>
      </c>
      <c r="AT13" s="480">
        <v>3413</v>
      </c>
      <c r="AU13" s="480">
        <v>3413</v>
      </c>
      <c r="AV13" s="480">
        <v>3413</v>
      </c>
      <c r="AW13" s="480">
        <v>3413</v>
      </c>
      <c r="AX13" s="480">
        <v>3549</v>
      </c>
      <c r="AY13" s="480">
        <v>3549</v>
      </c>
      <c r="AZ13" s="480">
        <v>3549</v>
      </c>
      <c r="BA13" s="480">
        <v>3549</v>
      </c>
      <c r="BB13" s="480">
        <v>3549</v>
      </c>
      <c r="BC13" s="480">
        <v>3549</v>
      </c>
      <c r="BD13" s="481">
        <v>3549</v>
      </c>
      <c r="BE13" s="482">
        <f t="shared" si="0"/>
        <v>3412.5</v>
      </c>
      <c r="BF13" s="482">
        <f>SUM($U13:V13)</f>
        <v>6825</v>
      </c>
      <c r="BG13" s="482">
        <f>SUM($U13:W13)</f>
        <v>10237.5</v>
      </c>
      <c r="BH13" s="482">
        <f>SUM($U13:X13)</f>
        <v>13650</v>
      </c>
      <c r="BI13" s="482">
        <f>SUM($U13:Y13)</f>
        <v>17062.5</v>
      </c>
      <c r="BJ13" s="482">
        <f>SUM($U13:Z13)</f>
        <v>20611.5</v>
      </c>
      <c r="BK13" s="482">
        <f>SUM($U13:AA13)</f>
        <v>24160.5</v>
      </c>
      <c r="BL13" s="482">
        <f>SUM($U13:AB13)</f>
        <v>27709.5</v>
      </c>
      <c r="BM13" s="482">
        <f>SUM($U13:AC13)</f>
        <v>26904.400000000001</v>
      </c>
      <c r="BN13" s="482">
        <f>SUM($U13:AD13)</f>
        <v>31289.800000000003</v>
      </c>
      <c r="BO13" s="482">
        <f>SUM($U13:AE13)</f>
        <v>34838.800000000003</v>
      </c>
      <c r="BP13" s="483">
        <f>SUM($U13:AF13)</f>
        <v>38387.800000000003</v>
      </c>
      <c r="BQ13" s="484">
        <f t="shared" si="1"/>
        <v>3413</v>
      </c>
      <c r="BR13" s="482">
        <f>SUM($AS13:AT13)</f>
        <v>6826</v>
      </c>
      <c r="BS13" s="482">
        <f>SUM($AS13:AU13)</f>
        <v>10239</v>
      </c>
      <c r="BT13" s="482">
        <f>SUM($AS13:AV13)</f>
        <v>13652</v>
      </c>
      <c r="BU13" s="482">
        <f>SUM($AS13:AW13)</f>
        <v>17065</v>
      </c>
      <c r="BV13" s="482">
        <f>SUM($AS13:AX13)</f>
        <v>20614</v>
      </c>
      <c r="BW13" s="482">
        <f>SUM($AS13:AY13)</f>
        <v>24163</v>
      </c>
      <c r="BX13" s="482">
        <f>SUM($AS13:AZ13)</f>
        <v>27712</v>
      </c>
      <c r="BY13" s="482">
        <f>SUM($AS13:BA13)</f>
        <v>31261</v>
      </c>
      <c r="BZ13" s="482">
        <f>SUM($AS13:BB13)</f>
        <v>34810</v>
      </c>
      <c r="CA13" s="482">
        <f>SUM($AS13:BC13)</f>
        <v>38359</v>
      </c>
      <c r="CB13" s="483">
        <f>SUM($AS13:BD13)</f>
        <v>41908</v>
      </c>
    </row>
    <row r="14" spans="1:80" s="471" customFormat="1">
      <c r="A14" s="471">
        <f t="shared" si="2"/>
        <v>5</v>
      </c>
      <c r="B14" s="628" t="s">
        <v>83</v>
      </c>
      <c r="C14" s="865">
        <v>33574</v>
      </c>
      <c r="D14" s="865">
        <v>39994</v>
      </c>
      <c r="E14" s="427"/>
      <c r="F14" s="585" t="s">
        <v>84</v>
      </c>
      <c r="G14" s="627">
        <v>1080</v>
      </c>
      <c r="H14" s="582">
        <f t="shared" si="3"/>
        <v>7</v>
      </c>
      <c r="I14" s="524">
        <v>1080</v>
      </c>
      <c r="J14" s="473">
        <v>1080</v>
      </c>
      <c r="K14" s="473">
        <v>1080</v>
      </c>
      <c r="L14" s="473">
        <v>1080</v>
      </c>
      <c r="M14" s="473">
        <v>1080</v>
      </c>
      <c r="N14" s="473">
        <v>1080</v>
      </c>
      <c r="O14" s="473">
        <v>1080</v>
      </c>
      <c r="P14" s="473">
        <v>1080</v>
      </c>
      <c r="Q14" s="473">
        <v>1080</v>
      </c>
      <c r="R14" s="473">
        <v>1080</v>
      </c>
      <c r="S14" s="473">
        <v>1080</v>
      </c>
      <c r="T14" s="473">
        <v>1080</v>
      </c>
      <c r="U14" s="475">
        <v>4860</v>
      </c>
      <c r="V14" s="473">
        <v>4860</v>
      </c>
      <c r="W14" s="473">
        <v>4860</v>
      </c>
      <c r="X14" s="473">
        <v>4860</v>
      </c>
      <c r="Y14" s="473">
        <v>4860</v>
      </c>
      <c r="Z14" s="473">
        <v>4860</v>
      </c>
      <c r="AA14" s="473">
        <v>4860</v>
      </c>
      <c r="AB14" s="473">
        <f>4860-4860*2+2430+2430</f>
        <v>0</v>
      </c>
      <c r="AC14" s="473">
        <f>2430+156.36</f>
        <v>2586.36</v>
      </c>
      <c r="AD14" s="473">
        <f>2430</f>
        <v>2430</v>
      </c>
      <c r="AE14" s="473">
        <f>2430</f>
        <v>2430</v>
      </c>
      <c r="AF14" s="473">
        <f>2430+149.4</f>
        <v>2579.4</v>
      </c>
      <c r="AG14" s="485">
        <v>1080</v>
      </c>
      <c r="AH14" s="486">
        <v>1080</v>
      </c>
      <c r="AI14" s="486">
        <v>1080</v>
      </c>
      <c r="AJ14" s="486">
        <v>1080</v>
      </c>
      <c r="AK14" s="486">
        <v>1080</v>
      </c>
      <c r="AL14" s="486">
        <v>1080</v>
      </c>
      <c r="AM14" s="486">
        <v>1080</v>
      </c>
      <c r="AN14" s="486">
        <v>1080</v>
      </c>
      <c r="AO14" s="486">
        <v>1080</v>
      </c>
      <c r="AP14" s="486">
        <v>1080</v>
      </c>
      <c r="AQ14" s="486">
        <v>1080</v>
      </c>
      <c r="AR14" s="487">
        <v>1080</v>
      </c>
      <c r="AS14" s="479">
        <v>4860</v>
      </c>
      <c r="AT14" s="480">
        <v>4860</v>
      </c>
      <c r="AU14" s="480">
        <v>4860</v>
      </c>
      <c r="AV14" s="480">
        <v>4860</v>
      </c>
      <c r="AW14" s="480">
        <v>4860</v>
      </c>
      <c r="AX14" s="480">
        <v>4860</v>
      </c>
      <c r="AY14" s="480">
        <v>4860</v>
      </c>
      <c r="AZ14" s="480">
        <v>4860</v>
      </c>
      <c r="BA14" s="480">
        <v>4860</v>
      </c>
      <c r="BB14" s="480">
        <v>4860</v>
      </c>
      <c r="BC14" s="480">
        <v>4860</v>
      </c>
      <c r="BD14" s="481">
        <v>4860</v>
      </c>
      <c r="BE14" s="482">
        <f t="shared" si="0"/>
        <v>4860</v>
      </c>
      <c r="BF14" s="482">
        <f>SUM($U14:V14)</f>
        <v>9720</v>
      </c>
      <c r="BG14" s="482">
        <f>SUM($U14:W14)</f>
        <v>14580</v>
      </c>
      <c r="BH14" s="482">
        <f>SUM($U14:X14)</f>
        <v>19440</v>
      </c>
      <c r="BI14" s="482">
        <f>SUM($U14:Y14)</f>
        <v>24300</v>
      </c>
      <c r="BJ14" s="482">
        <f>SUM($U14:Z14)</f>
        <v>29160</v>
      </c>
      <c r="BK14" s="482">
        <f>SUM($U14:AA14)</f>
        <v>34020</v>
      </c>
      <c r="BL14" s="482">
        <f>SUM($U14:AB14)</f>
        <v>34020</v>
      </c>
      <c r="BM14" s="482">
        <f>SUM($U14:AC14)</f>
        <v>36606.36</v>
      </c>
      <c r="BN14" s="482">
        <f>SUM($U14:AD14)</f>
        <v>39036.36</v>
      </c>
      <c r="BO14" s="482">
        <f>SUM($U14:AE14)</f>
        <v>41466.36</v>
      </c>
      <c r="BP14" s="483">
        <f>SUM($U14:AF14)</f>
        <v>44045.760000000002</v>
      </c>
      <c r="BQ14" s="484">
        <f t="shared" si="1"/>
        <v>4860</v>
      </c>
      <c r="BR14" s="482">
        <f>SUM($AS14:AT14)</f>
        <v>9720</v>
      </c>
      <c r="BS14" s="482">
        <f>SUM($AS14:AU14)</f>
        <v>14580</v>
      </c>
      <c r="BT14" s="482">
        <f>SUM($AS14:AV14)</f>
        <v>19440</v>
      </c>
      <c r="BU14" s="482">
        <f>SUM($AS14:AW14)</f>
        <v>24300</v>
      </c>
      <c r="BV14" s="482">
        <f>SUM($AS14:AX14)</f>
        <v>29160</v>
      </c>
      <c r="BW14" s="482">
        <f>SUM($AS14:AY14)</f>
        <v>34020</v>
      </c>
      <c r="BX14" s="482">
        <f>SUM($AS14:AZ14)</f>
        <v>38880</v>
      </c>
      <c r="BY14" s="482">
        <f>SUM($AS14:BA14)</f>
        <v>43740</v>
      </c>
      <c r="BZ14" s="482">
        <f>SUM($AS14:BB14)</f>
        <v>48600</v>
      </c>
      <c r="CA14" s="482">
        <f>SUM($AS14:BC14)</f>
        <v>53460</v>
      </c>
      <c r="CB14" s="483">
        <f>SUM($AS14:BD14)</f>
        <v>58320</v>
      </c>
    </row>
    <row r="15" spans="1:80" s="471" customFormat="1">
      <c r="A15" s="471">
        <f t="shared" si="2"/>
        <v>6</v>
      </c>
      <c r="B15" s="628" t="s">
        <v>87</v>
      </c>
      <c r="C15" s="865">
        <v>35217</v>
      </c>
      <c r="D15" s="865">
        <v>41060</v>
      </c>
      <c r="E15" s="427"/>
      <c r="F15" s="585" t="s">
        <v>88</v>
      </c>
      <c r="G15" s="627">
        <v>900</v>
      </c>
      <c r="H15" s="582">
        <f t="shared" si="3"/>
        <v>8</v>
      </c>
      <c r="I15" s="524">
        <v>900</v>
      </c>
      <c r="J15" s="473">
        <v>900</v>
      </c>
      <c r="K15" s="473">
        <v>900</v>
      </c>
      <c r="L15" s="473">
        <v>900</v>
      </c>
      <c r="M15" s="473">
        <v>900</v>
      </c>
      <c r="N15" s="473">
        <v>900</v>
      </c>
      <c r="O15" s="473">
        <v>900</v>
      </c>
      <c r="P15" s="473">
        <v>900</v>
      </c>
      <c r="Q15" s="473">
        <v>900</v>
      </c>
      <c r="R15" s="473">
        <v>900</v>
      </c>
      <c r="S15" s="473">
        <v>900</v>
      </c>
      <c r="T15" s="473">
        <v>900</v>
      </c>
      <c r="U15" s="475">
        <v>4950</v>
      </c>
      <c r="V15" s="473">
        <v>4950</v>
      </c>
      <c r="W15" s="473">
        <v>4950</v>
      </c>
      <c r="X15" s="473">
        <v>4950</v>
      </c>
      <c r="Y15" s="473">
        <v>4950</v>
      </c>
      <c r="Z15" s="473">
        <v>4950</v>
      </c>
      <c r="AA15" s="473">
        <v>4950</v>
      </c>
      <c r="AB15" s="473">
        <v>4950</v>
      </c>
      <c r="AC15" s="473">
        <v>4950</v>
      </c>
      <c r="AD15" s="473">
        <v>4950</v>
      </c>
      <c r="AE15" s="473">
        <v>4950</v>
      </c>
      <c r="AF15" s="473">
        <f>4950-4950*2+2475+2475</f>
        <v>0</v>
      </c>
      <c r="AG15" s="476">
        <v>900</v>
      </c>
      <c r="AH15" s="477">
        <v>900</v>
      </c>
      <c r="AI15" s="477">
        <v>900</v>
      </c>
      <c r="AJ15" s="477">
        <v>900</v>
      </c>
      <c r="AK15" s="477">
        <v>900</v>
      </c>
      <c r="AL15" s="477">
        <v>900</v>
      </c>
      <c r="AM15" s="477">
        <v>900</v>
      </c>
      <c r="AN15" s="477">
        <v>900</v>
      </c>
      <c r="AO15" s="477">
        <v>900</v>
      </c>
      <c r="AP15" s="477">
        <v>900</v>
      </c>
      <c r="AQ15" s="477">
        <v>900</v>
      </c>
      <c r="AR15" s="478">
        <v>900</v>
      </c>
      <c r="AS15" s="479">
        <v>4950</v>
      </c>
      <c r="AT15" s="480">
        <v>4950</v>
      </c>
      <c r="AU15" s="480">
        <v>4950</v>
      </c>
      <c r="AV15" s="480">
        <v>4950</v>
      </c>
      <c r="AW15" s="480">
        <v>4950</v>
      </c>
      <c r="AX15" s="480">
        <v>4950</v>
      </c>
      <c r="AY15" s="480">
        <v>4950</v>
      </c>
      <c r="AZ15" s="480">
        <v>4950</v>
      </c>
      <c r="BA15" s="480">
        <v>4950</v>
      </c>
      <c r="BB15" s="480">
        <v>4950</v>
      </c>
      <c r="BC15" s="480">
        <v>4950</v>
      </c>
      <c r="BD15" s="481">
        <v>5100</v>
      </c>
      <c r="BE15" s="482">
        <f t="shared" si="0"/>
        <v>4950</v>
      </c>
      <c r="BF15" s="482">
        <f>SUM($U15:V15)</f>
        <v>9900</v>
      </c>
      <c r="BG15" s="482">
        <f>SUM($U15:W15)</f>
        <v>14850</v>
      </c>
      <c r="BH15" s="482">
        <f>SUM($U15:X15)</f>
        <v>19800</v>
      </c>
      <c r="BI15" s="482">
        <f>SUM($U15:Y15)</f>
        <v>24750</v>
      </c>
      <c r="BJ15" s="482">
        <f>SUM($U15:Z15)</f>
        <v>29700</v>
      </c>
      <c r="BK15" s="482">
        <f>SUM($U15:AA15)</f>
        <v>34650</v>
      </c>
      <c r="BL15" s="482">
        <f>SUM($U15:AB15)</f>
        <v>39600</v>
      </c>
      <c r="BM15" s="482">
        <f>SUM($U15:AC15)</f>
        <v>44550</v>
      </c>
      <c r="BN15" s="482">
        <f>SUM($U15:AD15)</f>
        <v>49500</v>
      </c>
      <c r="BO15" s="482">
        <f>SUM($U15:AE15)</f>
        <v>54450</v>
      </c>
      <c r="BP15" s="483">
        <f>SUM($U15:AF15)</f>
        <v>54450</v>
      </c>
      <c r="BQ15" s="484">
        <f t="shared" si="1"/>
        <v>4950</v>
      </c>
      <c r="BR15" s="482">
        <f>SUM($AS15:AT15)</f>
        <v>9900</v>
      </c>
      <c r="BS15" s="482">
        <f>SUM($AS15:AU15)</f>
        <v>14850</v>
      </c>
      <c r="BT15" s="482">
        <f>SUM($AS15:AV15)</f>
        <v>19800</v>
      </c>
      <c r="BU15" s="482">
        <f>SUM($AS15:AW15)</f>
        <v>24750</v>
      </c>
      <c r="BV15" s="482">
        <f>SUM($AS15:AX15)</f>
        <v>29700</v>
      </c>
      <c r="BW15" s="482">
        <f>SUM($AS15:AY15)</f>
        <v>34650</v>
      </c>
      <c r="BX15" s="482">
        <f>SUM($AS15:AZ15)</f>
        <v>39600</v>
      </c>
      <c r="BY15" s="482">
        <f>SUM($AS15:BA15)</f>
        <v>44550</v>
      </c>
      <c r="BZ15" s="482">
        <f>SUM($AS15:BB15)</f>
        <v>49500</v>
      </c>
      <c r="CA15" s="482">
        <f>SUM($AS15:BC15)</f>
        <v>54450</v>
      </c>
      <c r="CB15" s="483">
        <f>SUM($AS15:BD15)</f>
        <v>59550</v>
      </c>
    </row>
    <row r="16" spans="1:80" s="471" customFormat="1">
      <c r="A16" s="471">
        <f t="shared" si="2"/>
        <v>7</v>
      </c>
      <c r="B16" s="628" t="s">
        <v>91</v>
      </c>
      <c r="C16" s="865">
        <v>37838</v>
      </c>
      <c r="D16" s="865">
        <v>40786</v>
      </c>
      <c r="E16" s="427"/>
      <c r="F16" s="585" t="s">
        <v>92</v>
      </c>
      <c r="G16" s="627">
        <v>1500</v>
      </c>
      <c r="H16" s="582">
        <f t="shared" si="3"/>
        <v>9</v>
      </c>
      <c r="I16" s="524">
        <v>1500</v>
      </c>
      <c r="J16" s="473">
        <v>1500</v>
      </c>
      <c r="K16" s="473">
        <v>1500</v>
      </c>
      <c r="L16" s="473">
        <v>1500</v>
      </c>
      <c r="M16" s="473">
        <v>1500</v>
      </c>
      <c r="N16" s="473">
        <v>1500</v>
      </c>
      <c r="O16" s="473">
        <v>1500</v>
      </c>
      <c r="P16" s="473">
        <v>1500</v>
      </c>
      <c r="Q16" s="473">
        <v>1500</v>
      </c>
      <c r="R16" s="473">
        <v>1500</v>
      </c>
      <c r="S16" s="473">
        <v>1500</v>
      </c>
      <c r="T16" s="473">
        <v>1500</v>
      </c>
      <c r="U16" s="475">
        <v>5486.86</v>
      </c>
      <c r="V16" s="473">
        <v>5486.86</v>
      </c>
      <c r="W16" s="473">
        <v>6250</v>
      </c>
      <c r="X16" s="473">
        <v>6250</v>
      </c>
      <c r="Y16" s="473">
        <v>6250</v>
      </c>
      <c r="Z16" s="473">
        <v>6250</v>
      </c>
      <c r="AA16" s="473">
        <v>6250</v>
      </c>
      <c r="AB16" s="473">
        <v>6250</v>
      </c>
      <c r="AC16" s="473">
        <v>6250</v>
      </c>
      <c r="AD16" s="473">
        <v>6250</v>
      </c>
      <c r="AE16" s="473">
        <v>6250</v>
      </c>
      <c r="AF16" s="473">
        <v>6250</v>
      </c>
      <c r="AG16" s="476">
        <v>1500</v>
      </c>
      <c r="AH16" s="477">
        <v>1500</v>
      </c>
      <c r="AI16" s="477">
        <v>1500</v>
      </c>
      <c r="AJ16" s="477">
        <v>1500</v>
      </c>
      <c r="AK16" s="477">
        <v>1500</v>
      </c>
      <c r="AL16" s="477">
        <v>1500</v>
      </c>
      <c r="AM16" s="477">
        <v>1500</v>
      </c>
      <c r="AN16" s="477">
        <v>1500</v>
      </c>
      <c r="AO16" s="477">
        <v>1500</v>
      </c>
      <c r="AP16" s="477">
        <v>1500</v>
      </c>
      <c r="AQ16" s="477">
        <v>1500</v>
      </c>
      <c r="AR16" s="478">
        <v>1500</v>
      </c>
      <c r="AS16" s="479">
        <v>5487</v>
      </c>
      <c r="AT16" s="480">
        <v>5487</v>
      </c>
      <c r="AU16" s="480">
        <v>6250</v>
      </c>
      <c r="AV16" s="480">
        <v>6250</v>
      </c>
      <c r="AW16" s="480">
        <v>6250</v>
      </c>
      <c r="AX16" s="480">
        <v>6250</v>
      </c>
      <c r="AY16" s="480">
        <v>6250</v>
      </c>
      <c r="AZ16" s="480">
        <v>6250</v>
      </c>
      <c r="BA16" s="480">
        <v>6250</v>
      </c>
      <c r="BB16" s="480">
        <v>6250</v>
      </c>
      <c r="BC16" s="480">
        <v>6250</v>
      </c>
      <c r="BD16" s="481">
        <v>6250</v>
      </c>
      <c r="BE16" s="482">
        <f t="shared" si="0"/>
        <v>5486.86</v>
      </c>
      <c r="BF16" s="482">
        <f>SUM($U16:V16)</f>
        <v>10973.72</v>
      </c>
      <c r="BG16" s="482">
        <f>SUM($U16:W16)</f>
        <v>17223.72</v>
      </c>
      <c r="BH16" s="482">
        <f>SUM($U16:X16)</f>
        <v>23473.72</v>
      </c>
      <c r="BI16" s="482">
        <f>SUM($U16:Y16)</f>
        <v>29723.72</v>
      </c>
      <c r="BJ16" s="482">
        <f>SUM($U16:Z16)</f>
        <v>35973.72</v>
      </c>
      <c r="BK16" s="482">
        <f>SUM($U16:AA16)</f>
        <v>42223.72</v>
      </c>
      <c r="BL16" s="482">
        <f>SUM($U16:AB16)</f>
        <v>48473.72</v>
      </c>
      <c r="BM16" s="482">
        <f>SUM($U16:AC16)</f>
        <v>54723.72</v>
      </c>
      <c r="BN16" s="482">
        <f>SUM($U16:AD16)</f>
        <v>60973.72</v>
      </c>
      <c r="BO16" s="482">
        <f>SUM($U16:AE16)</f>
        <v>67223.72</v>
      </c>
      <c r="BP16" s="483">
        <f>SUM($U16:AF16)</f>
        <v>73473.72</v>
      </c>
      <c r="BQ16" s="484">
        <f t="shared" si="1"/>
        <v>5487</v>
      </c>
      <c r="BR16" s="482">
        <f>SUM($AS16:AT16)</f>
        <v>10974</v>
      </c>
      <c r="BS16" s="482">
        <f>SUM($AS16:AU16)</f>
        <v>17224</v>
      </c>
      <c r="BT16" s="482">
        <f>SUM($AS16:AV16)</f>
        <v>23474</v>
      </c>
      <c r="BU16" s="482">
        <f>SUM($AS16:AW16)</f>
        <v>29724</v>
      </c>
      <c r="BV16" s="482">
        <f>SUM($AS16:AX16)</f>
        <v>35974</v>
      </c>
      <c r="BW16" s="482">
        <f>SUM($AS16:AY16)</f>
        <v>42224</v>
      </c>
      <c r="BX16" s="482">
        <f>SUM($AS16:AZ16)</f>
        <v>48474</v>
      </c>
      <c r="BY16" s="482">
        <f>SUM($AS16:BA16)</f>
        <v>54724</v>
      </c>
      <c r="BZ16" s="482">
        <f>SUM($AS16:BB16)</f>
        <v>60974</v>
      </c>
      <c r="CA16" s="482">
        <f>SUM($AS16:BC16)</f>
        <v>67224</v>
      </c>
      <c r="CB16" s="483">
        <f>SUM($AS16:BD16)</f>
        <v>73474</v>
      </c>
    </row>
    <row r="17" spans="1:80" s="471" customFormat="1">
      <c r="A17" s="471">
        <f t="shared" si="2"/>
        <v>8</v>
      </c>
      <c r="B17" s="628" t="s">
        <v>95</v>
      </c>
      <c r="C17" s="865">
        <v>32674</v>
      </c>
      <c r="D17" s="865">
        <v>40178</v>
      </c>
      <c r="E17" s="427"/>
      <c r="F17" s="585" t="s">
        <v>96</v>
      </c>
      <c r="G17" s="627">
        <v>2742</v>
      </c>
      <c r="H17" s="582">
        <f t="shared" si="3"/>
        <v>10</v>
      </c>
      <c r="I17" s="524">
        <v>2742</v>
      </c>
      <c r="J17" s="473">
        <v>2742</v>
      </c>
      <c r="K17" s="473">
        <v>2742</v>
      </c>
      <c r="L17" s="473">
        <v>2742</v>
      </c>
      <c r="M17" s="473">
        <v>2742</v>
      </c>
      <c r="N17" s="473">
        <v>2742</v>
      </c>
      <c r="O17" s="473">
        <v>2742</v>
      </c>
      <c r="P17" s="473">
        <v>2742</v>
      </c>
      <c r="Q17" s="473">
        <v>2742</v>
      </c>
      <c r="R17" s="473">
        <v>2742</v>
      </c>
      <c r="S17" s="473">
        <v>2742</v>
      </c>
      <c r="T17" s="473">
        <v>2742</v>
      </c>
      <c r="U17" s="475">
        <v>12339</v>
      </c>
      <c r="V17" s="473">
        <v>12339</v>
      </c>
      <c r="W17" s="473">
        <v>12339</v>
      </c>
      <c r="X17" s="473">
        <v>12339</v>
      </c>
      <c r="Y17" s="473">
        <v>12339</v>
      </c>
      <c r="Z17" s="473">
        <v>12339</v>
      </c>
      <c r="AA17" s="473">
        <v>12770.87</v>
      </c>
      <c r="AB17" s="473">
        <v>12770.87</v>
      </c>
      <c r="AC17" s="473">
        <v>12770.87</v>
      </c>
      <c r="AD17" s="473">
        <v>12770.87</v>
      </c>
      <c r="AE17" s="473">
        <v>12770.87</v>
      </c>
      <c r="AF17" s="473">
        <v>12770.87</v>
      </c>
      <c r="AG17" s="476">
        <v>2742</v>
      </c>
      <c r="AH17" s="477">
        <v>2742</v>
      </c>
      <c r="AI17" s="477">
        <v>2742</v>
      </c>
      <c r="AJ17" s="477">
        <v>2742</v>
      </c>
      <c r="AK17" s="477">
        <v>2742</v>
      </c>
      <c r="AL17" s="477">
        <v>2742</v>
      </c>
      <c r="AM17" s="477">
        <v>2742</v>
      </c>
      <c r="AN17" s="477">
        <v>2742</v>
      </c>
      <c r="AO17" s="477">
        <v>2742</v>
      </c>
      <c r="AP17" s="477">
        <v>2742</v>
      </c>
      <c r="AQ17" s="477">
        <v>2742</v>
      </c>
      <c r="AR17" s="478">
        <v>2742</v>
      </c>
      <c r="AS17" s="479">
        <v>12339</v>
      </c>
      <c r="AT17" s="480">
        <v>12339</v>
      </c>
      <c r="AU17" s="480">
        <v>12339</v>
      </c>
      <c r="AV17" s="480">
        <v>12339</v>
      </c>
      <c r="AW17" s="480">
        <v>12339</v>
      </c>
      <c r="AX17" s="480">
        <v>12339</v>
      </c>
      <c r="AY17" s="480">
        <v>12771</v>
      </c>
      <c r="AZ17" s="480">
        <v>12771</v>
      </c>
      <c r="BA17" s="480">
        <v>12771</v>
      </c>
      <c r="BB17" s="480">
        <v>12771</v>
      </c>
      <c r="BC17" s="480">
        <v>12771</v>
      </c>
      <c r="BD17" s="481">
        <v>12771</v>
      </c>
      <c r="BE17" s="482">
        <f t="shared" si="0"/>
        <v>12339</v>
      </c>
      <c r="BF17" s="482">
        <f>SUM($U17:V17)</f>
        <v>24678</v>
      </c>
      <c r="BG17" s="482">
        <f>SUM($U17:W17)</f>
        <v>37017</v>
      </c>
      <c r="BH17" s="482">
        <f>SUM($U17:X17)</f>
        <v>49356</v>
      </c>
      <c r="BI17" s="482">
        <f>SUM($U17:Y17)</f>
        <v>61695</v>
      </c>
      <c r="BJ17" s="482">
        <f>SUM($U17:Z17)</f>
        <v>74034</v>
      </c>
      <c r="BK17" s="482">
        <f>SUM($U17:AA17)</f>
        <v>86804.87</v>
      </c>
      <c r="BL17" s="482">
        <f>SUM($U17:AB17)</f>
        <v>99575.739999999991</v>
      </c>
      <c r="BM17" s="482">
        <f>SUM($U17:AC17)</f>
        <v>112346.60999999999</v>
      </c>
      <c r="BN17" s="482">
        <f>SUM($U17:AD17)</f>
        <v>125117.47999999998</v>
      </c>
      <c r="BO17" s="482">
        <f>SUM($U17:AE17)</f>
        <v>137888.34999999998</v>
      </c>
      <c r="BP17" s="483">
        <f>SUM($U17:AF17)</f>
        <v>150659.21999999997</v>
      </c>
      <c r="BQ17" s="484">
        <f t="shared" si="1"/>
        <v>12339</v>
      </c>
      <c r="BR17" s="482">
        <f>SUM($AS17:AT17)</f>
        <v>24678</v>
      </c>
      <c r="BS17" s="482">
        <f>SUM($AS17:AU17)</f>
        <v>37017</v>
      </c>
      <c r="BT17" s="482">
        <f>SUM($AS17:AV17)</f>
        <v>49356</v>
      </c>
      <c r="BU17" s="482">
        <f>SUM($AS17:AW17)</f>
        <v>61695</v>
      </c>
      <c r="BV17" s="482">
        <f>SUM($AS17:AX17)</f>
        <v>74034</v>
      </c>
      <c r="BW17" s="482">
        <f>SUM($AS17:AY17)</f>
        <v>86805</v>
      </c>
      <c r="BX17" s="482">
        <f>SUM($AS17:AZ17)</f>
        <v>99576</v>
      </c>
      <c r="BY17" s="482">
        <f>SUM($AS17:BA17)</f>
        <v>112347</v>
      </c>
      <c r="BZ17" s="482">
        <f>SUM($AS17:BB17)</f>
        <v>125118</v>
      </c>
      <c r="CA17" s="482">
        <f>SUM($AS17:BC17)</f>
        <v>137889</v>
      </c>
      <c r="CB17" s="483">
        <f>SUM($AS17:BD17)</f>
        <v>150660</v>
      </c>
    </row>
    <row r="18" spans="1:80" s="471" customFormat="1">
      <c r="A18" s="471">
        <f t="shared" si="2"/>
        <v>9</v>
      </c>
      <c r="B18" s="628" t="s">
        <v>98</v>
      </c>
      <c r="C18" s="865">
        <v>39234</v>
      </c>
      <c r="D18" s="865">
        <v>40178</v>
      </c>
      <c r="E18" s="427"/>
      <c r="F18" s="585" t="s">
        <v>99</v>
      </c>
      <c r="G18" s="627">
        <v>1309</v>
      </c>
      <c r="H18" s="582">
        <f t="shared" si="3"/>
        <v>11</v>
      </c>
      <c r="I18" s="524">
        <v>1309</v>
      </c>
      <c r="J18" s="473">
        <v>1309</v>
      </c>
      <c r="K18" s="473">
        <v>1309</v>
      </c>
      <c r="L18" s="473">
        <v>1309</v>
      </c>
      <c r="M18" s="473">
        <v>1309</v>
      </c>
      <c r="N18" s="473">
        <v>1309</v>
      </c>
      <c r="O18" s="473">
        <v>1309</v>
      </c>
      <c r="P18" s="473">
        <v>1309</v>
      </c>
      <c r="Q18" s="473">
        <v>1309</v>
      </c>
      <c r="R18" s="473">
        <v>1309</v>
      </c>
      <c r="S18" s="473">
        <v>1309</v>
      </c>
      <c r="T18" s="473">
        <v>1309</v>
      </c>
      <c r="U18" s="475">
        <v>1E-4</v>
      </c>
      <c r="V18" s="473">
        <v>1E-4</v>
      </c>
      <c r="W18" s="473">
        <v>1E-4</v>
      </c>
      <c r="X18" s="473">
        <v>1E-4</v>
      </c>
      <c r="Y18" s="473">
        <v>1E-4</v>
      </c>
      <c r="Z18" s="473">
        <v>1E-4</v>
      </c>
      <c r="AA18" s="473">
        <v>1E-4</v>
      </c>
      <c r="AB18" s="473">
        <v>1E-4</v>
      </c>
      <c r="AC18" s="473">
        <v>1E-4</v>
      </c>
      <c r="AD18" s="473">
        <v>1E-4</v>
      </c>
      <c r="AE18" s="473">
        <v>1E-4</v>
      </c>
      <c r="AF18" s="473">
        <v>1E-4</v>
      </c>
      <c r="AG18" s="476">
        <v>1309</v>
      </c>
      <c r="AH18" s="477">
        <v>1309</v>
      </c>
      <c r="AI18" s="477">
        <v>1309</v>
      </c>
      <c r="AJ18" s="477">
        <v>1309</v>
      </c>
      <c r="AK18" s="477">
        <v>1309</v>
      </c>
      <c r="AL18" s="477">
        <v>1309</v>
      </c>
      <c r="AM18" s="477">
        <v>1309</v>
      </c>
      <c r="AN18" s="477">
        <v>1309</v>
      </c>
      <c r="AO18" s="477">
        <v>1309</v>
      </c>
      <c r="AP18" s="477">
        <v>1309</v>
      </c>
      <c r="AQ18" s="477">
        <v>1309</v>
      </c>
      <c r="AR18" s="478">
        <v>1309</v>
      </c>
      <c r="AS18" s="479">
        <v>0</v>
      </c>
      <c r="AT18" s="480">
        <v>0</v>
      </c>
      <c r="AU18" s="480">
        <v>0</v>
      </c>
      <c r="AV18" s="480">
        <v>0</v>
      </c>
      <c r="AW18" s="480">
        <v>0</v>
      </c>
      <c r="AX18" s="480">
        <v>0</v>
      </c>
      <c r="AY18" s="480">
        <v>0</v>
      </c>
      <c r="AZ18" s="480">
        <v>0</v>
      </c>
      <c r="BA18" s="480">
        <v>0</v>
      </c>
      <c r="BB18" s="480">
        <v>0</v>
      </c>
      <c r="BC18" s="480">
        <v>0</v>
      </c>
      <c r="BD18" s="481">
        <v>0</v>
      </c>
      <c r="BE18" s="482">
        <f t="shared" si="0"/>
        <v>1E-4</v>
      </c>
      <c r="BF18" s="482">
        <f>SUM($U18:V18)</f>
        <v>2.0000000000000001E-4</v>
      </c>
      <c r="BG18" s="482">
        <f>SUM($U18:W18)</f>
        <v>3.0000000000000003E-4</v>
      </c>
      <c r="BH18" s="482">
        <f>SUM($U18:X18)</f>
        <v>4.0000000000000002E-4</v>
      </c>
      <c r="BI18" s="482">
        <f>SUM($U18:Y18)</f>
        <v>5.0000000000000001E-4</v>
      </c>
      <c r="BJ18" s="482">
        <f>SUM($U18:Z18)</f>
        <v>6.0000000000000006E-4</v>
      </c>
      <c r="BK18" s="482">
        <f>SUM($U18:AA18)</f>
        <v>7.000000000000001E-4</v>
      </c>
      <c r="BL18" s="482">
        <f>SUM($U18:AB18)</f>
        <v>8.0000000000000015E-4</v>
      </c>
      <c r="BM18" s="482">
        <f>SUM($U18:AC18)</f>
        <v>9.0000000000000019E-4</v>
      </c>
      <c r="BN18" s="482">
        <f>SUM($U18:AD18)</f>
        <v>1.0000000000000002E-3</v>
      </c>
      <c r="BO18" s="482">
        <f>SUM($U18:AE18)</f>
        <v>1.1000000000000003E-3</v>
      </c>
      <c r="BP18" s="483">
        <f>SUM($U18:AF18)</f>
        <v>1.2000000000000003E-3</v>
      </c>
      <c r="BQ18" s="484">
        <f t="shared" si="1"/>
        <v>0</v>
      </c>
      <c r="BR18" s="482">
        <f>SUM($AS18:AT18)</f>
        <v>0</v>
      </c>
      <c r="BS18" s="482">
        <f>SUM($AS18:AU18)</f>
        <v>0</v>
      </c>
      <c r="BT18" s="482">
        <f>SUM($AS18:AV18)</f>
        <v>0</v>
      </c>
      <c r="BU18" s="482">
        <f>SUM($AS18:AW18)</f>
        <v>0</v>
      </c>
      <c r="BV18" s="482">
        <f>SUM($AS18:AX18)</f>
        <v>0</v>
      </c>
      <c r="BW18" s="482">
        <f>SUM($AS18:AY18)</f>
        <v>0</v>
      </c>
      <c r="BX18" s="482">
        <f>SUM($AS18:AZ18)</f>
        <v>0</v>
      </c>
      <c r="BY18" s="482">
        <f>SUM($AS18:BA18)</f>
        <v>0</v>
      </c>
      <c r="BZ18" s="482">
        <f>SUM($AS18:BB18)</f>
        <v>0</v>
      </c>
      <c r="CA18" s="482">
        <f>SUM($AS18:BC18)</f>
        <v>0</v>
      </c>
      <c r="CB18" s="483">
        <f>SUM($AS18:BD18)</f>
        <v>0</v>
      </c>
    </row>
    <row r="19" spans="1:80" s="471" customFormat="1">
      <c r="A19" s="471">
        <f t="shared" si="2"/>
        <v>10</v>
      </c>
      <c r="B19" s="628" t="s">
        <v>239</v>
      </c>
      <c r="C19" s="865">
        <v>35329</v>
      </c>
      <c r="D19" s="865">
        <v>39813</v>
      </c>
      <c r="E19" s="427"/>
      <c r="F19" s="585" t="s">
        <v>101</v>
      </c>
      <c r="G19" s="627">
        <v>1200</v>
      </c>
      <c r="H19" s="582">
        <f t="shared" si="3"/>
        <v>12</v>
      </c>
      <c r="I19" s="524">
        <v>1200</v>
      </c>
      <c r="J19" s="473">
        <v>1200</v>
      </c>
      <c r="K19" s="473">
        <v>1200</v>
      </c>
      <c r="L19" s="473">
        <v>1200</v>
      </c>
      <c r="M19" s="473">
        <v>1200</v>
      </c>
      <c r="N19" s="473">
        <v>1200</v>
      </c>
      <c r="O19" s="473">
        <v>0</v>
      </c>
      <c r="P19" s="473">
        <v>0</v>
      </c>
      <c r="Q19" s="473">
        <v>0</v>
      </c>
      <c r="R19" s="473">
        <v>0</v>
      </c>
      <c r="S19" s="473">
        <v>0</v>
      </c>
      <c r="T19" s="473">
        <v>0</v>
      </c>
      <c r="U19" s="475">
        <v>5647</v>
      </c>
      <c r="V19" s="473">
        <v>5647</v>
      </c>
      <c r="W19" s="473">
        <v>5647</v>
      </c>
      <c r="X19" s="473">
        <v>5647</v>
      </c>
      <c r="Y19" s="473">
        <v>5647</v>
      </c>
      <c r="Z19" s="473">
        <v>5647</v>
      </c>
      <c r="AA19" s="473">
        <v>0</v>
      </c>
      <c r="AB19" s="473">
        <v>0</v>
      </c>
      <c r="AC19" s="473">
        <v>0</v>
      </c>
      <c r="AD19" s="473">
        <v>0</v>
      </c>
      <c r="AE19" s="473"/>
      <c r="AF19" s="473"/>
      <c r="AG19" s="476">
        <v>1200</v>
      </c>
      <c r="AH19" s="477">
        <v>1200</v>
      </c>
      <c r="AI19" s="477">
        <v>1200</v>
      </c>
      <c r="AJ19" s="477">
        <v>1200</v>
      </c>
      <c r="AK19" s="477">
        <v>1200</v>
      </c>
      <c r="AL19" s="477">
        <v>1200</v>
      </c>
      <c r="AM19" s="477">
        <v>1200</v>
      </c>
      <c r="AN19" s="477">
        <v>1200</v>
      </c>
      <c r="AO19" s="477">
        <v>1200</v>
      </c>
      <c r="AP19" s="477">
        <v>1200</v>
      </c>
      <c r="AQ19" s="477">
        <v>1200</v>
      </c>
      <c r="AR19" s="478">
        <v>1200</v>
      </c>
      <c r="AS19" s="479">
        <v>5647</v>
      </c>
      <c r="AT19" s="480">
        <v>5647</v>
      </c>
      <c r="AU19" s="480">
        <v>5647</v>
      </c>
      <c r="AV19" s="480">
        <v>5647</v>
      </c>
      <c r="AW19" s="480">
        <v>5647</v>
      </c>
      <c r="AX19" s="480">
        <v>5647</v>
      </c>
      <c r="AY19" s="480">
        <v>5900</v>
      </c>
      <c r="AZ19" s="480">
        <v>5900</v>
      </c>
      <c r="BA19" s="480">
        <v>5900</v>
      </c>
      <c r="BB19" s="480">
        <v>5900</v>
      </c>
      <c r="BC19" s="480">
        <v>5900</v>
      </c>
      <c r="BD19" s="481">
        <v>5900</v>
      </c>
      <c r="BE19" s="482">
        <f t="shared" si="0"/>
        <v>5647</v>
      </c>
      <c r="BF19" s="482">
        <f>SUM($U19:V19)</f>
        <v>11294</v>
      </c>
      <c r="BG19" s="482">
        <f>SUM($U19:W19)</f>
        <v>16941</v>
      </c>
      <c r="BH19" s="482">
        <f>SUM($U19:X19)</f>
        <v>22588</v>
      </c>
      <c r="BI19" s="482">
        <f>SUM($U19:Y19)</f>
        <v>28235</v>
      </c>
      <c r="BJ19" s="482">
        <f>SUM($U19:Z19)</f>
        <v>33882</v>
      </c>
      <c r="BK19" s="482">
        <f>SUM($U19:AA19)</f>
        <v>33882</v>
      </c>
      <c r="BL19" s="482">
        <f>SUM($U19:AB19)</f>
        <v>33882</v>
      </c>
      <c r="BM19" s="482">
        <f>SUM($U19:AC19)</f>
        <v>33882</v>
      </c>
      <c r="BN19" s="482">
        <f>SUM($U19:AD19)</f>
        <v>33882</v>
      </c>
      <c r="BO19" s="482">
        <f>SUM($U19:AE19)</f>
        <v>33882</v>
      </c>
      <c r="BP19" s="483">
        <f>SUM($U19:AF19)</f>
        <v>33882</v>
      </c>
      <c r="BQ19" s="484">
        <f t="shared" si="1"/>
        <v>5647</v>
      </c>
      <c r="BR19" s="482">
        <f>SUM($AS19:AT19)</f>
        <v>11294</v>
      </c>
      <c r="BS19" s="482">
        <f>SUM($AS19:AU19)</f>
        <v>16941</v>
      </c>
      <c r="BT19" s="482">
        <f>SUM($AS19:AV19)</f>
        <v>22588</v>
      </c>
      <c r="BU19" s="482">
        <f>SUM($AS19:AW19)</f>
        <v>28235</v>
      </c>
      <c r="BV19" s="482">
        <f>SUM($AS19:AX19)</f>
        <v>33882</v>
      </c>
      <c r="BW19" s="482">
        <f>SUM($AS19:AY19)</f>
        <v>39782</v>
      </c>
      <c r="BX19" s="482">
        <f>SUM($AS19:AZ19)</f>
        <v>45682</v>
      </c>
      <c r="BY19" s="482">
        <f>SUM($AS19:BA19)</f>
        <v>51582</v>
      </c>
      <c r="BZ19" s="482">
        <f>SUM($AS19:BB19)</f>
        <v>57482</v>
      </c>
      <c r="CA19" s="482">
        <f>SUM($AS19:BC19)</f>
        <v>63382</v>
      </c>
      <c r="CB19" s="483">
        <f>SUM($AS19:BD19)</f>
        <v>69282</v>
      </c>
    </row>
    <row r="20" spans="1:80" s="471" customFormat="1" hidden="1">
      <c r="A20" s="471">
        <f t="shared" si="2"/>
        <v>11</v>
      </c>
      <c r="B20" s="628"/>
      <c r="C20" s="533"/>
      <c r="D20" s="533"/>
      <c r="E20" s="427"/>
      <c r="F20" s="586"/>
      <c r="G20" s="629"/>
      <c r="H20" s="582">
        <f t="shared" si="3"/>
        <v>13</v>
      </c>
      <c r="I20" s="524"/>
      <c r="J20" s="473"/>
      <c r="K20" s="473"/>
      <c r="L20" s="473"/>
      <c r="M20" s="473"/>
      <c r="N20" s="473"/>
      <c r="O20" s="473"/>
      <c r="P20" s="473"/>
      <c r="Q20" s="473"/>
      <c r="R20" s="473"/>
      <c r="S20" s="473"/>
      <c r="T20" s="474"/>
      <c r="U20" s="475"/>
      <c r="V20" s="473"/>
      <c r="W20" s="473"/>
      <c r="X20" s="473"/>
      <c r="Y20" s="473"/>
      <c r="Z20" s="473"/>
      <c r="AA20" s="473"/>
      <c r="AB20" s="473"/>
      <c r="AC20" s="473"/>
      <c r="AD20" s="473"/>
      <c r="AE20" s="473"/>
      <c r="AF20" s="473"/>
      <c r="AG20" s="476"/>
      <c r="AH20" s="477"/>
      <c r="AI20" s="477"/>
      <c r="AJ20" s="477"/>
      <c r="AK20" s="477"/>
      <c r="AL20" s="477"/>
      <c r="AM20" s="477"/>
      <c r="AN20" s="477"/>
      <c r="AO20" s="477"/>
      <c r="AP20" s="477"/>
      <c r="AQ20" s="477"/>
      <c r="AR20" s="478"/>
      <c r="AS20" s="479"/>
      <c r="AT20" s="480"/>
      <c r="AU20" s="480"/>
      <c r="AV20" s="480"/>
      <c r="AW20" s="480"/>
      <c r="AX20" s="480"/>
      <c r="AY20" s="480"/>
      <c r="AZ20" s="480"/>
      <c r="BA20" s="480"/>
      <c r="BB20" s="480"/>
      <c r="BC20" s="480"/>
      <c r="BD20" s="481"/>
      <c r="BE20" s="482">
        <f t="shared" si="0"/>
        <v>0</v>
      </c>
      <c r="BF20" s="482">
        <f>SUM($U20:V20)</f>
        <v>0</v>
      </c>
      <c r="BG20" s="482">
        <f>SUM($U20:W20)</f>
        <v>0</v>
      </c>
      <c r="BH20" s="482">
        <f>SUM($U20:X20)</f>
        <v>0</v>
      </c>
      <c r="BI20" s="482">
        <f>SUM($U20:Y20)</f>
        <v>0</v>
      </c>
      <c r="BJ20" s="482">
        <f>SUM($U20:Z20)</f>
        <v>0</v>
      </c>
      <c r="BK20" s="482">
        <f>SUM($U20:AA20)</f>
        <v>0</v>
      </c>
      <c r="BL20" s="482">
        <f>SUM($U20:AB20)</f>
        <v>0</v>
      </c>
      <c r="BM20" s="482">
        <f>SUM($U20:AC20)</f>
        <v>0</v>
      </c>
      <c r="BN20" s="482">
        <f>SUM($U20:AD20)</f>
        <v>0</v>
      </c>
      <c r="BO20" s="482">
        <f>SUM($U20:AE20)</f>
        <v>0</v>
      </c>
      <c r="BP20" s="483">
        <f>SUM($U20:AF20)</f>
        <v>0</v>
      </c>
      <c r="BQ20" s="484">
        <f t="shared" si="1"/>
        <v>0</v>
      </c>
      <c r="BR20" s="482">
        <f>SUM($AS20:AT20)</f>
        <v>0</v>
      </c>
      <c r="BS20" s="482">
        <f>SUM($AS20:AU20)</f>
        <v>0</v>
      </c>
      <c r="BT20" s="482">
        <f>SUM($AS20:AV20)</f>
        <v>0</v>
      </c>
      <c r="BU20" s="482">
        <f>SUM($AS20:AW20)</f>
        <v>0</v>
      </c>
      <c r="BV20" s="482">
        <f>SUM($AS20:AX20)</f>
        <v>0</v>
      </c>
      <c r="BW20" s="482">
        <f>SUM($AS20:AY20)</f>
        <v>0</v>
      </c>
      <c r="BX20" s="482">
        <f>SUM($AS20:AZ20)</f>
        <v>0</v>
      </c>
      <c r="BY20" s="482">
        <f>SUM($AS20:BA20)</f>
        <v>0</v>
      </c>
      <c r="BZ20" s="482">
        <f>SUM($AS20:BB20)</f>
        <v>0</v>
      </c>
      <c r="CA20" s="482">
        <f>SUM($AS20:BC20)</f>
        <v>0</v>
      </c>
      <c r="CB20" s="483">
        <f>SUM($AS20:BD20)</f>
        <v>0</v>
      </c>
    </row>
    <row r="21" spans="1:80" s="471" customFormat="1" hidden="1">
      <c r="A21" s="471">
        <f t="shared" si="2"/>
        <v>12</v>
      </c>
      <c r="B21" s="628"/>
      <c r="C21" s="533"/>
      <c r="D21" s="533"/>
      <c r="E21" s="427"/>
      <c r="F21" s="586"/>
      <c r="G21" s="629"/>
      <c r="H21" s="582">
        <f t="shared" si="3"/>
        <v>14</v>
      </c>
      <c r="I21" s="524"/>
      <c r="J21" s="473"/>
      <c r="K21" s="473"/>
      <c r="L21" s="473"/>
      <c r="M21" s="473"/>
      <c r="N21" s="473"/>
      <c r="O21" s="473"/>
      <c r="P21" s="473"/>
      <c r="Q21" s="473"/>
      <c r="R21" s="473"/>
      <c r="S21" s="473"/>
      <c r="T21" s="474"/>
      <c r="U21" s="475"/>
      <c r="V21" s="473"/>
      <c r="W21" s="473"/>
      <c r="X21" s="473"/>
      <c r="Y21" s="473"/>
      <c r="Z21" s="473"/>
      <c r="AA21" s="473"/>
      <c r="AB21" s="473"/>
      <c r="AC21" s="473"/>
      <c r="AD21" s="473"/>
      <c r="AE21" s="473"/>
      <c r="AF21" s="473"/>
      <c r="AG21" s="476"/>
      <c r="AH21" s="477"/>
      <c r="AI21" s="477"/>
      <c r="AJ21" s="477"/>
      <c r="AK21" s="477"/>
      <c r="AL21" s="477"/>
      <c r="AM21" s="477"/>
      <c r="AN21" s="477"/>
      <c r="AO21" s="477"/>
      <c r="AP21" s="477"/>
      <c r="AQ21" s="477"/>
      <c r="AR21" s="478"/>
      <c r="AS21" s="479"/>
      <c r="AT21" s="480"/>
      <c r="AU21" s="480"/>
      <c r="AV21" s="480"/>
      <c r="AW21" s="480"/>
      <c r="AX21" s="480"/>
      <c r="AY21" s="480"/>
      <c r="AZ21" s="480"/>
      <c r="BA21" s="480"/>
      <c r="BB21" s="480"/>
      <c r="BC21" s="480"/>
      <c r="BD21" s="481"/>
      <c r="BE21" s="482">
        <f t="shared" si="0"/>
        <v>0</v>
      </c>
      <c r="BF21" s="482">
        <f>SUM($U21:V21)</f>
        <v>0</v>
      </c>
      <c r="BG21" s="482">
        <f>SUM($U21:W21)</f>
        <v>0</v>
      </c>
      <c r="BH21" s="482">
        <f>SUM($U21:X21)</f>
        <v>0</v>
      </c>
      <c r="BI21" s="482">
        <f>SUM($U21:Y21)</f>
        <v>0</v>
      </c>
      <c r="BJ21" s="482">
        <f>SUM($U21:Z21)</f>
        <v>0</v>
      </c>
      <c r="BK21" s="482">
        <f>SUM($U21:AA21)</f>
        <v>0</v>
      </c>
      <c r="BL21" s="482">
        <f>SUM($U21:AB21)</f>
        <v>0</v>
      </c>
      <c r="BM21" s="482">
        <f>SUM($U21:AC21)</f>
        <v>0</v>
      </c>
      <c r="BN21" s="482">
        <f>SUM($U21:AD21)</f>
        <v>0</v>
      </c>
      <c r="BO21" s="482">
        <f>SUM($U21:AE21)</f>
        <v>0</v>
      </c>
      <c r="BP21" s="483">
        <f>SUM($U21:AF21)</f>
        <v>0</v>
      </c>
      <c r="BQ21" s="484">
        <f t="shared" si="1"/>
        <v>0</v>
      </c>
      <c r="BR21" s="482">
        <f>SUM($AS21:AT21)</f>
        <v>0</v>
      </c>
      <c r="BS21" s="482">
        <f>SUM($AS21:AU21)</f>
        <v>0</v>
      </c>
      <c r="BT21" s="482">
        <f>SUM($AS21:AV21)</f>
        <v>0</v>
      </c>
      <c r="BU21" s="482">
        <f>SUM($AS21:AW21)</f>
        <v>0</v>
      </c>
      <c r="BV21" s="482">
        <f>SUM($AS21:AX21)</f>
        <v>0</v>
      </c>
      <c r="BW21" s="482">
        <f>SUM($AS21:AY21)</f>
        <v>0</v>
      </c>
      <c r="BX21" s="482">
        <f>SUM($AS21:AZ21)</f>
        <v>0</v>
      </c>
      <c r="BY21" s="482">
        <f>SUM($AS21:BA21)</f>
        <v>0</v>
      </c>
      <c r="BZ21" s="482">
        <f>SUM($AS21:BB21)</f>
        <v>0</v>
      </c>
      <c r="CA21" s="482">
        <f>SUM($AS21:BC21)</f>
        <v>0</v>
      </c>
      <c r="CB21" s="483">
        <f>SUM($AS21:BD21)</f>
        <v>0</v>
      </c>
    </row>
    <row r="22" spans="1:80" s="471" customFormat="1" hidden="1">
      <c r="A22" s="471">
        <f t="shared" si="2"/>
        <v>13</v>
      </c>
      <c r="B22" s="628"/>
      <c r="C22" s="533"/>
      <c r="D22" s="533"/>
      <c r="E22" s="427"/>
      <c r="F22" s="586"/>
      <c r="G22" s="629"/>
      <c r="H22" s="582">
        <f t="shared" si="3"/>
        <v>15</v>
      </c>
      <c r="I22" s="524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4"/>
      <c r="U22" s="475"/>
      <c r="V22" s="473"/>
      <c r="W22" s="473"/>
      <c r="X22" s="473"/>
      <c r="Y22" s="473"/>
      <c r="Z22" s="473"/>
      <c r="AA22" s="473"/>
      <c r="AB22" s="473"/>
      <c r="AC22" s="473"/>
      <c r="AD22" s="473"/>
      <c r="AE22" s="473"/>
      <c r="AF22" s="473"/>
      <c r="AG22" s="485"/>
      <c r="AH22" s="486"/>
      <c r="AI22" s="486"/>
      <c r="AJ22" s="486"/>
      <c r="AK22" s="486"/>
      <c r="AL22" s="486"/>
      <c r="AM22" s="486"/>
      <c r="AN22" s="486"/>
      <c r="AO22" s="486"/>
      <c r="AP22" s="486"/>
      <c r="AQ22" s="486"/>
      <c r="AR22" s="487"/>
      <c r="AS22" s="479"/>
      <c r="AT22" s="480"/>
      <c r="AU22" s="480"/>
      <c r="AV22" s="480"/>
      <c r="AW22" s="480"/>
      <c r="AX22" s="480"/>
      <c r="AY22" s="480"/>
      <c r="AZ22" s="480"/>
      <c r="BA22" s="480"/>
      <c r="BB22" s="480"/>
      <c r="BC22" s="480"/>
      <c r="BD22" s="481"/>
      <c r="BE22" s="482">
        <f t="shared" si="0"/>
        <v>0</v>
      </c>
      <c r="BF22" s="482">
        <f>SUM($U22:V22)</f>
        <v>0</v>
      </c>
      <c r="BG22" s="482">
        <f>SUM($U22:W22)</f>
        <v>0</v>
      </c>
      <c r="BH22" s="482">
        <f>SUM($U22:X22)</f>
        <v>0</v>
      </c>
      <c r="BI22" s="482">
        <f>SUM($U22:Y22)</f>
        <v>0</v>
      </c>
      <c r="BJ22" s="482">
        <f>SUM($U22:Z22)</f>
        <v>0</v>
      </c>
      <c r="BK22" s="482">
        <f>SUM($U22:AA22)</f>
        <v>0</v>
      </c>
      <c r="BL22" s="482">
        <f>SUM($U22:AB22)</f>
        <v>0</v>
      </c>
      <c r="BM22" s="482">
        <f>SUM($U22:AC22)</f>
        <v>0</v>
      </c>
      <c r="BN22" s="482">
        <f>SUM($U22:AD22)</f>
        <v>0</v>
      </c>
      <c r="BO22" s="482">
        <f>SUM($U22:AE22)</f>
        <v>0</v>
      </c>
      <c r="BP22" s="483">
        <f>SUM($U22:AF22)</f>
        <v>0</v>
      </c>
      <c r="BQ22" s="484">
        <f t="shared" si="1"/>
        <v>0</v>
      </c>
      <c r="BR22" s="482">
        <f>SUM($AS22:AT22)</f>
        <v>0</v>
      </c>
      <c r="BS22" s="482">
        <f>SUM($AS22:AU22)</f>
        <v>0</v>
      </c>
      <c r="BT22" s="482">
        <f>SUM($AS22:AV22)</f>
        <v>0</v>
      </c>
      <c r="BU22" s="482">
        <f>SUM($AS22:AW22)</f>
        <v>0</v>
      </c>
      <c r="BV22" s="482">
        <f>SUM($AS22:AX22)</f>
        <v>0</v>
      </c>
      <c r="BW22" s="482">
        <f>SUM($AS22:AY22)</f>
        <v>0</v>
      </c>
      <c r="BX22" s="482">
        <f>SUM($AS22:AZ22)</f>
        <v>0</v>
      </c>
      <c r="BY22" s="482">
        <f>SUM($AS22:BA22)</f>
        <v>0</v>
      </c>
      <c r="BZ22" s="482">
        <f>SUM($AS22:BB22)</f>
        <v>0</v>
      </c>
      <c r="CA22" s="482">
        <f>SUM($AS22:BC22)</f>
        <v>0</v>
      </c>
      <c r="CB22" s="483">
        <f>SUM($AS22:BD22)</f>
        <v>0</v>
      </c>
    </row>
    <row r="23" spans="1:80" s="471" customFormat="1" hidden="1">
      <c r="A23" s="471">
        <f t="shared" si="2"/>
        <v>14</v>
      </c>
      <c r="B23" s="628"/>
      <c r="C23" s="533"/>
      <c r="D23" s="533"/>
      <c r="E23" s="427"/>
      <c r="F23" s="586"/>
      <c r="G23" s="629"/>
      <c r="H23" s="582">
        <f t="shared" si="3"/>
        <v>16</v>
      </c>
      <c r="I23" s="524"/>
      <c r="J23" s="473"/>
      <c r="K23" s="473"/>
      <c r="L23" s="473"/>
      <c r="M23" s="473"/>
      <c r="N23" s="473"/>
      <c r="O23" s="473"/>
      <c r="P23" s="473"/>
      <c r="Q23" s="473"/>
      <c r="R23" s="473"/>
      <c r="S23" s="473"/>
      <c r="T23" s="474"/>
      <c r="U23" s="475"/>
      <c r="V23" s="473"/>
      <c r="W23" s="473"/>
      <c r="X23" s="473"/>
      <c r="Y23" s="473"/>
      <c r="Z23" s="473"/>
      <c r="AA23" s="473"/>
      <c r="AB23" s="473"/>
      <c r="AC23" s="473"/>
      <c r="AD23" s="473"/>
      <c r="AE23" s="473"/>
      <c r="AF23" s="473"/>
      <c r="AG23" s="476"/>
      <c r="AH23" s="477"/>
      <c r="AI23" s="477"/>
      <c r="AJ23" s="477"/>
      <c r="AK23" s="477"/>
      <c r="AL23" s="477"/>
      <c r="AM23" s="477"/>
      <c r="AN23" s="477"/>
      <c r="AO23" s="477"/>
      <c r="AP23" s="477"/>
      <c r="AQ23" s="477"/>
      <c r="AR23" s="478"/>
      <c r="AS23" s="479"/>
      <c r="AT23" s="480"/>
      <c r="AU23" s="480"/>
      <c r="AV23" s="480"/>
      <c r="AW23" s="480"/>
      <c r="AX23" s="480"/>
      <c r="AY23" s="480"/>
      <c r="AZ23" s="480"/>
      <c r="BA23" s="480"/>
      <c r="BB23" s="480"/>
      <c r="BC23" s="480"/>
      <c r="BD23" s="481"/>
      <c r="BE23" s="482">
        <f t="shared" si="0"/>
        <v>0</v>
      </c>
      <c r="BF23" s="482">
        <f>SUM($U23:V23)</f>
        <v>0</v>
      </c>
      <c r="BG23" s="482">
        <f>SUM($U23:W23)</f>
        <v>0</v>
      </c>
      <c r="BH23" s="482">
        <f>SUM($U23:X23)</f>
        <v>0</v>
      </c>
      <c r="BI23" s="482">
        <f>SUM($U23:Y23)</f>
        <v>0</v>
      </c>
      <c r="BJ23" s="482">
        <f>SUM($U23:Z23)</f>
        <v>0</v>
      </c>
      <c r="BK23" s="482">
        <f>SUM($U23:AA23)</f>
        <v>0</v>
      </c>
      <c r="BL23" s="482">
        <f>SUM($U23:AB23)</f>
        <v>0</v>
      </c>
      <c r="BM23" s="482">
        <f>SUM($U23:AC23)</f>
        <v>0</v>
      </c>
      <c r="BN23" s="482">
        <f>SUM($U23:AD23)</f>
        <v>0</v>
      </c>
      <c r="BO23" s="482">
        <f>SUM($U23:AE23)</f>
        <v>0</v>
      </c>
      <c r="BP23" s="483">
        <f>SUM($U23:AF23)</f>
        <v>0</v>
      </c>
      <c r="BQ23" s="484">
        <f t="shared" si="1"/>
        <v>0</v>
      </c>
      <c r="BR23" s="482">
        <f>SUM($AS23:AT23)</f>
        <v>0</v>
      </c>
      <c r="BS23" s="482">
        <f>SUM($AS23:AU23)</f>
        <v>0</v>
      </c>
      <c r="BT23" s="482">
        <f>SUM($AS23:AV23)</f>
        <v>0</v>
      </c>
      <c r="BU23" s="482">
        <f>SUM($AS23:AW23)</f>
        <v>0</v>
      </c>
      <c r="BV23" s="482">
        <f>SUM($AS23:AX23)</f>
        <v>0</v>
      </c>
      <c r="BW23" s="482">
        <f>SUM($AS23:AY23)</f>
        <v>0</v>
      </c>
      <c r="BX23" s="482">
        <f>SUM($AS23:AZ23)</f>
        <v>0</v>
      </c>
      <c r="BY23" s="482">
        <f>SUM($AS23:BA23)</f>
        <v>0</v>
      </c>
      <c r="BZ23" s="482">
        <f>SUM($AS23:BB23)</f>
        <v>0</v>
      </c>
      <c r="CA23" s="482">
        <f>SUM($AS23:BC23)</f>
        <v>0</v>
      </c>
      <c r="CB23" s="483">
        <f>SUM($AS23:BD23)</f>
        <v>0</v>
      </c>
    </row>
    <row r="24" spans="1:80" s="471" customFormat="1" hidden="1">
      <c r="A24" s="471">
        <f t="shared" si="2"/>
        <v>15</v>
      </c>
      <c r="B24" s="628"/>
      <c r="C24" s="533"/>
      <c r="D24" s="533"/>
      <c r="E24" s="427"/>
      <c r="F24" s="586"/>
      <c r="G24" s="629"/>
      <c r="H24" s="582">
        <f t="shared" si="3"/>
        <v>17</v>
      </c>
      <c r="I24" s="524"/>
      <c r="J24" s="473"/>
      <c r="K24" s="473"/>
      <c r="L24" s="473"/>
      <c r="M24" s="473"/>
      <c r="N24" s="473"/>
      <c r="O24" s="473"/>
      <c r="P24" s="473"/>
      <c r="Q24" s="473"/>
      <c r="R24" s="473"/>
      <c r="S24" s="473"/>
      <c r="T24" s="474"/>
      <c r="U24" s="475"/>
      <c r="V24" s="473"/>
      <c r="W24" s="473"/>
      <c r="X24" s="473"/>
      <c r="Y24" s="473"/>
      <c r="Z24" s="473"/>
      <c r="AA24" s="473"/>
      <c r="AB24" s="473"/>
      <c r="AC24" s="473"/>
      <c r="AD24" s="473"/>
      <c r="AE24" s="473"/>
      <c r="AF24" s="473"/>
      <c r="AG24" s="476"/>
      <c r="AH24" s="477"/>
      <c r="AI24" s="477"/>
      <c r="AJ24" s="477"/>
      <c r="AK24" s="477"/>
      <c r="AL24" s="477"/>
      <c r="AM24" s="477"/>
      <c r="AN24" s="477"/>
      <c r="AO24" s="477"/>
      <c r="AP24" s="477"/>
      <c r="AQ24" s="477"/>
      <c r="AR24" s="478"/>
      <c r="AS24" s="479"/>
      <c r="AT24" s="480"/>
      <c r="AU24" s="480"/>
      <c r="AV24" s="480"/>
      <c r="AW24" s="480"/>
      <c r="AX24" s="480"/>
      <c r="AY24" s="480"/>
      <c r="AZ24" s="480"/>
      <c r="BA24" s="480"/>
      <c r="BB24" s="480"/>
      <c r="BC24" s="480"/>
      <c r="BD24" s="481"/>
      <c r="BE24" s="482">
        <f t="shared" si="0"/>
        <v>0</v>
      </c>
      <c r="BF24" s="482">
        <f>SUM($U24:V24)</f>
        <v>0</v>
      </c>
      <c r="BG24" s="482">
        <f>SUM($U24:W24)</f>
        <v>0</v>
      </c>
      <c r="BH24" s="482">
        <f>SUM($U24:X24)</f>
        <v>0</v>
      </c>
      <c r="BI24" s="482">
        <f>SUM($U24:Y24)</f>
        <v>0</v>
      </c>
      <c r="BJ24" s="482">
        <f>SUM($U24:Z24)</f>
        <v>0</v>
      </c>
      <c r="BK24" s="482">
        <f>SUM($U24:AA24)</f>
        <v>0</v>
      </c>
      <c r="BL24" s="482">
        <f>SUM($U24:AB24)</f>
        <v>0</v>
      </c>
      <c r="BM24" s="482">
        <f>SUM($U24:AC24)</f>
        <v>0</v>
      </c>
      <c r="BN24" s="482">
        <f>SUM($U24:AD24)</f>
        <v>0</v>
      </c>
      <c r="BO24" s="482">
        <f>SUM($U24:AE24)</f>
        <v>0</v>
      </c>
      <c r="BP24" s="483">
        <f>SUM($U24:AF24)</f>
        <v>0</v>
      </c>
      <c r="BQ24" s="484">
        <f t="shared" si="1"/>
        <v>0</v>
      </c>
      <c r="BR24" s="482">
        <f>SUM($AS24:AT24)</f>
        <v>0</v>
      </c>
      <c r="BS24" s="482">
        <f>SUM($AS24:AU24)</f>
        <v>0</v>
      </c>
      <c r="BT24" s="482">
        <f>SUM($AS24:AV24)</f>
        <v>0</v>
      </c>
      <c r="BU24" s="482">
        <f>SUM($AS24:AW24)</f>
        <v>0</v>
      </c>
      <c r="BV24" s="482">
        <f>SUM($AS24:AX24)</f>
        <v>0</v>
      </c>
      <c r="BW24" s="482">
        <f>SUM($AS24:AY24)</f>
        <v>0</v>
      </c>
      <c r="BX24" s="482">
        <f>SUM($AS24:AZ24)</f>
        <v>0</v>
      </c>
      <c r="BY24" s="482">
        <f>SUM($AS24:BA24)</f>
        <v>0</v>
      </c>
      <c r="BZ24" s="482">
        <f>SUM($AS24:BB24)</f>
        <v>0</v>
      </c>
      <c r="CA24" s="482">
        <f>SUM($AS24:BC24)</f>
        <v>0</v>
      </c>
      <c r="CB24" s="483">
        <f>SUM($AS24:BD24)</f>
        <v>0</v>
      </c>
    </row>
    <row r="25" spans="1:80" s="471" customFormat="1" hidden="1">
      <c r="A25" s="471">
        <f t="shared" si="2"/>
        <v>16</v>
      </c>
      <c r="B25" s="628"/>
      <c r="C25" s="533"/>
      <c r="D25" s="533"/>
      <c r="E25" s="427"/>
      <c r="F25" s="586"/>
      <c r="G25" s="629"/>
      <c r="H25" s="582">
        <f t="shared" si="3"/>
        <v>18</v>
      </c>
      <c r="I25" s="524"/>
      <c r="J25" s="473"/>
      <c r="K25" s="473"/>
      <c r="L25" s="473"/>
      <c r="M25" s="473"/>
      <c r="N25" s="473"/>
      <c r="O25" s="473"/>
      <c r="P25" s="473"/>
      <c r="Q25" s="473"/>
      <c r="R25" s="473"/>
      <c r="S25" s="473"/>
      <c r="T25" s="474"/>
      <c r="U25" s="475"/>
      <c r="V25" s="473"/>
      <c r="W25" s="473"/>
      <c r="X25" s="473"/>
      <c r="Y25" s="473"/>
      <c r="Z25" s="473"/>
      <c r="AA25" s="473"/>
      <c r="AB25" s="473"/>
      <c r="AC25" s="473"/>
      <c r="AD25" s="473"/>
      <c r="AE25" s="473"/>
      <c r="AF25" s="473"/>
      <c r="AG25" s="476"/>
      <c r="AH25" s="477"/>
      <c r="AI25" s="477"/>
      <c r="AJ25" s="477"/>
      <c r="AK25" s="477"/>
      <c r="AL25" s="477"/>
      <c r="AM25" s="477"/>
      <c r="AN25" s="477"/>
      <c r="AO25" s="477"/>
      <c r="AP25" s="477"/>
      <c r="AQ25" s="477"/>
      <c r="AR25" s="478"/>
      <c r="AS25" s="479"/>
      <c r="AT25" s="480"/>
      <c r="AU25" s="480"/>
      <c r="AV25" s="480"/>
      <c r="AW25" s="480"/>
      <c r="AX25" s="480"/>
      <c r="AY25" s="480"/>
      <c r="AZ25" s="480"/>
      <c r="BA25" s="480"/>
      <c r="BB25" s="480"/>
      <c r="BC25" s="480"/>
      <c r="BD25" s="481"/>
      <c r="BE25" s="482">
        <f t="shared" si="0"/>
        <v>0</v>
      </c>
      <c r="BF25" s="482">
        <f>SUM($U25:V25)</f>
        <v>0</v>
      </c>
      <c r="BG25" s="482">
        <f>SUM($U25:W25)</f>
        <v>0</v>
      </c>
      <c r="BH25" s="482">
        <f>SUM($U25:X25)</f>
        <v>0</v>
      </c>
      <c r="BI25" s="482">
        <f>SUM($U25:Y25)</f>
        <v>0</v>
      </c>
      <c r="BJ25" s="482">
        <f>SUM($U25:Z25)</f>
        <v>0</v>
      </c>
      <c r="BK25" s="482">
        <f>SUM($U25:AA25)</f>
        <v>0</v>
      </c>
      <c r="BL25" s="482">
        <f>SUM($U25:AB25)</f>
        <v>0</v>
      </c>
      <c r="BM25" s="482">
        <f>SUM($U25:AC25)</f>
        <v>0</v>
      </c>
      <c r="BN25" s="482">
        <f>SUM($U25:AD25)</f>
        <v>0</v>
      </c>
      <c r="BO25" s="482">
        <f>SUM($U25:AE25)</f>
        <v>0</v>
      </c>
      <c r="BP25" s="483">
        <f>SUM($U25:AF25)</f>
        <v>0</v>
      </c>
      <c r="BQ25" s="484">
        <f t="shared" si="1"/>
        <v>0</v>
      </c>
      <c r="BR25" s="482">
        <f>SUM($AS25:AT25)</f>
        <v>0</v>
      </c>
      <c r="BS25" s="482">
        <f>SUM($AS25:AU25)</f>
        <v>0</v>
      </c>
      <c r="BT25" s="482">
        <f>SUM($AS25:AV25)</f>
        <v>0</v>
      </c>
      <c r="BU25" s="482">
        <f>SUM($AS25:AW25)</f>
        <v>0</v>
      </c>
      <c r="BV25" s="482">
        <f>SUM($AS25:AX25)</f>
        <v>0</v>
      </c>
      <c r="BW25" s="482">
        <f>SUM($AS25:AY25)</f>
        <v>0</v>
      </c>
      <c r="BX25" s="482">
        <f>SUM($AS25:AZ25)</f>
        <v>0</v>
      </c>
      <c r="BY25" s="482">
        <f>SUM($AS25:BA25)</f>
        <v>0</v>
      </c>
      <c r="BZ25" s="482">
        <f>SUM($AS25:BB25)</f>
        <v>0</v>
      </c>
      <c r="CA25" s="482">
        <f>SUM($AS25:BC25)</f>
        <v>0</v>
      </c>
      <c r="CB25" s="483">
        <f>SUM($AS25:BD25)</f>
        <v>0</v>
      </c>
    </row>
    <row r="26" spans="1:80" s="471" customFormat="1" hidden="1">
      <c r="A26" s="471">
        <f t="shared" si="2"/>
        <v>17</v>
      </c>
      <c r="B26" s="628"/>
      <c r="C26" s="533"/>
      <c r="D26" s="533"/>
      <c r="E26" s="427"/>
      <c r="F26" s="586"/>
      <c r="G26" s="629"/>
      <c r="H26" s="582">
        <f t="shared" si="3"/>
        <v>19</v>
      </c>
      <c r="I26" s="524"/>
      <c r="J26" s="473"/>
      <c r="K26" s="473"/>
      <c r="L26" s="473"/>
      <c r="M26" s="473"/>
      <c r="N26" s="473"/>
      <c r="O26" s="473"/>
      <c r="P26" s="473"/>
      <c r="Q26" s="473"/>
      <c r="R26" s="473"/>
      <c r="S26" s="473"/>
      <c r="T26" s="474"/>
      <c r="U26" s="475"/>
      <c r="V26" s="473"/>
      <c r="W26" s="473"/>
      <c r="X26" s="473"/>
      <c r="Y26" s="473"/>
      <c r="Z26" s="473"/>
      <c r="AA26" s="473"/>
      <c r="AB26" s="473"/>
      <c r="AC26" s="473"/>
      <c r="AD26" s="473"/>
      <c r="AE26" s="473"/>
      <c r="AF26" s="473"/>
      <c r="AG26" s="476"/>
      <c r="AH26" s="477"/>
      <c r="AI26" s="477"/>
      <c r="AJ26" s="477"/>
      <c r="AK26" s="477"/>
      <c r="AL26" s="477"/>
      <c r="AM26" s="477"/>
      <c r="AN26" s="477"/>
      <c r="AO26" s="477"/>
      <c r="AP26" s="477"/>
      <c r="AQ26" s="477"/>
      <c r="AR26" s="478"/>
      <c r="AS26" s="479"/>
      <c r="AT26" s="480"/>
      <c r="AU26" s="480"/>
      <c r="AV26" s="480"/>
      <c r="AW26" s="480"/>
      <c r="AX26" s="480"/>
      <c r="AY26" s="480"/>
      <c r="AZ26" s="480"/>
      <c r="BA26" s="480"/>
      <c r="BB26" s="480"/>
      <c r="BC26" s="480"/>
      <c r="BD26" s="481"/>
      <c r="BE26" s="482">
        <f t="shared" si="0"/>
        <v>0</v>
      </c>
      <c r="BF26" s="482">
        <f>SUM($U26:V26)</f>
        <v>0</v>
      </c>
      <c r="BG26" s="482">
        <f>SUM($U26:W26)</f>
        <v>0</v>
      </c>
      <c r="BH26" s="482">
        <f>SUM($U26:X26)</f>
        <v>0</v>
      </c>
      <c r="BI26" s="482">
        <f>SUM($U26:Y26)</f>
        <v>0</v>
      </c>
      <c r="BJ26" s="482">
        <f>SUM($U26:Z26)</f>
        <v>0</v>
      </c>
      <c r="BK26" s="482">
        <f>SUM($U26:AA26)</f>
        <v>0</v>
      </c>
      <c r="BL26" s="482">
        <f>SUM($U26:AB26)</f>
        <v>0</v>
      </c>
      <c r="BM26" s="482">
        <f>SUM($U26:AC26)</f>
        <v>0</v>
      </c>
      <c r="BN26" s="482">
        <f>SUM($U26:AD26)</f>
        <v>0</v>
      </c>
      <c r="BO26" s="482">
        <f>SUM($U26:AE26)</f>
        <v>0</v>
      </c>
      <c r="BP26" s="483">
        <f>SUM($U26:AF26)</f>
        <v>0</v>
      </c>
      <c r="BQ26" s="484">
        <f t="shared" si="1"/>
        <v>0</v>
      </c>
      <c r="BR26" s="482">
        <f>SUM($AS26:AT26)</f>
        <v>0</v>
      </c>
      <c r="BS26" s="482">
        <f>SUM($AS26:AU26)</f>
        <v>0</v>
      </c>
      <c r="BT26" s="482">
        <f>SUM($AS26:AV26)</f>
        <v>0</v>
      </c>
      <c r="BU26" s="482">
        <f>SUM($AS26:AW26)</f>
        <v>0</v>
      </c>
      <c r="BV26" s="482">
        <f>SUM($AS26:AX26)</f>
        <v>0</v>
      </c>
      <c r="BW26" s="482">
        <f>SUM($AS26:AY26)</f>
        <v>0</v>
      </c>
      <c r="BX26" s="482">
        <f>SUM($AS26:AZ26)</f>
        <v>0</v>
      </c>
      <c r="BY26" s="482">
        <f>SUM($AS26:BA26)</f>
        <v>0</v>
      </c>
      <c r="BZ26" s="482">
        <f>SUM($AS26:BB26)</f>
        <v>0</v>
      </c>
      <c r="CA26" s="482">
        <f>SUM($AS26:BC26)</f>
        <v>0</v>
      </c>
      <c r="CB26" s="483">
        <f>SUM($AS26:BD26)</f>
        <v>0</v>
      </c>
    </row>
    <row r="27" spans="1:80" s="471" customFormat="1" hidden="1">
      <c r="A27" s="471">
        <f t="shared" si="2"/>
        <v>18</v>
      </c>
      <c r="B27" s="628"/>
      <c r="C27" s="533"/>
      <c r="D27" s="533"/>
      <c r="E27" s="427"/>
      <c r="F27" s="586"/>
      <c r="G27" s="629"/>
      <c r="H27" s="582">
        <f t="shared" si="3"/>
        <v>20</v>
      </c>
      <c r="I27" s="524"/>
      <c r="J27" s="473"/>
      <c r="K27" s="473"/>
      <c r="L27" s="473"/>
      <c r="M27" s="473"/>
      <c r="N27" s="473"/>
      <c r="O27" s="473"/>
      <c r="P27" s="473"/>
      <c r="Q27" s="473"/>
      <c r="R27" s="473"/>
      <c r="S27" s="473"/>
      <c r="T27" s="474"/>
      <c r="U27" s="475"/>
      <c r="V27" s="473"/>
      <c r="W27" s="473"/>
      <c r="X27" s="473"/>
      <c r="Y27" s="473"/>
      <c r="Z27" s="473"/>
      <c r="AA27" s="473"/>
      <c r="AB27" s="473"/>
      <c r="AC27" s="473"/>
      <c r="AD27" s="473"/>
      <c r="AE27" s="473"/>
      <c r="AF27" s="473"/>
      <c r="AG27" s="476"/>
      <c r="AH27" s="477"/>
      <c r="AI27" s="477"/>
      <c r="AJ27" s="477"/>
      <c r="AK27" s="477"/>
      <c r="AL27" s="477"/>
      <c r="AM27" s="477"/>
      <c r="AN27" s="477"/>
      <c r="AO27" s="477"/>
      <c r="AP27" s="477"/>
      <c r="AQ27" s="477"/>
      <c r="AR27" s="478"/>
      <c r="AS27" s="479"/>
      <c r="AT27" s="480"/>
      <c r="AU27" s="480"/>
      <c r="AV27" s="480"/>
      <c r="AW27" s="480"/>
      <c r="AX27" s="480"/>
      <c r="AY27" s="480"/>
      <c r="AZ27" s="480"/>
      <c r="BA27" s="480"/>
      <c r="BB27" s="480"/>
      <c r="BC27" s="480"/>
      <c r="BD27" s="481"/>
      <c r="BE27" s="482">
        <f t="shared" si="0"/>
        <v>0</v>
      </c>
      <c r="BF27" s="482">
        <f>SUM($U27:V27)</f>
        <v>0</v>
      </c>
      <c r="BG27" s="482">
        <f>SUM($U27:W27)</f>
        <v>0</v>
      </c>
      <c r="BH27" s="482">
        <f>SUM($U27:X27)</f>
        <v>0</v>
      </c>
      <c r="BI27" s="482">
        <f>SUM($U27:Y27)</f>
        <v>0</v>
      </c>
      <c r="BJ27" s="482">
        <f>SUM($U27:Z27)</f>
        <v>0</v>
      </c>
      <c r="BK27" s="482">
        <f>SUM($U27:AA27)</f>
        <v>0</v>
      </c>
      <c r="BL27" s="482">
        <f>SUM($U27:AB27)</f>
        <v>0</v>
      </c>
      <c r="BM27" s="482">
        <f>SUM($U27:AC27)</f>
        <v>0</v>
      </c>
      <c r="BN27" s="482">
        <f>SUM($U27:AD27)</f>
        <v>0</v>
      </c>
      <c r="BO27" s="482">
        <f>SUM($U27:AE27)</f>
        <v>0</v>
      </c>
      <c r="BP27" s="483">
        <f>SUM($U27:AF27)</f>
        <v>0</v>
      </c>
      <c r="BQ27" s="484">
        <f t="shared" si="1"/>
        <v>0</v>
      </c>
      <c r="BR27" s="482">
        <f>SUM($AS27:AT27)</f>
        <v>0</v>
      </c>
      <c r="BS27" s="482">
        <f>SUM($AS27:AU27)</f>
        <v>0</v>
      </c>
      <c r="BT27" s="482">
        <f>SUM($AS27:AV27)</f>
        <v>0</v>
      </c>
      <c r="BU27" s="482">
        <f>SUM($AS27:AW27)</f>
        <v>0</v>
      </c>
      <c r="BV27" s="482">
        <f>SUM($AS27:AX27)</f>
        <v>0</v>
      </c>
      <c r="BW27" s="482">
        <f>SUM($AS27:AY27)</f>
        <v>0</v>
      </c>
      <c r="BX27" s="482">
        <f>SUM($AS27:AZ27)</f>
        <v>0</v>
      </c>
      <c r="BY27" s="482">
        <f>SUM($AS27:BA27)</f>
        <v>0</v>
      </c>
      <c r="BZ27" s="482">
        <f>SUM($AS27:BB27)</f>
        <v>0</v>
      </c>
      <c r="CA27" s="482">
        <f>SUM($AS27:BC27)</f>
        <v>0</v>
      </c>
      <c r="CB27" s="483">
        <f>SUM($AS27:BD27)</f>
        <v>0</v>
      </c>
    </row>
    <row r="28" spans="1:80" s="471" customFormat="1" hidden="1">
      <c r="A28" s="471">
        <f t="shared" si="2"/>
        <v>19</v>
      </c>
      <c r="B28" s="628"/>
      <c r="C28" s="533"/>
      <c r="D28" s="533"/>
      <c r="E28" s="427"/>
      <c r="F28" s="586"/>
      <c r="G28" s="629"/>
      <c r="H28" s="582">
        <f t="shared" si="3"/>
        <v>21</v>
      </c>
      <c r="I28" s="524"/>
      <c r="J28" s="473"/>
      <c r="K28" s="473"/>
      <c r="L28" s="473"/>
      <c r="M28" s="473"/>
      <c r="N28" s="473"/>
      <c r="O28" s="473"/>
      <c r="P28" s="473"/>
      <c r="Q28" s="473"/>
      <c r="R28" s="473"/>
      <c r="S28" s="473"/>
      <c r="T28" s="474"/>
      <c r="U28" s="475"/>
      <c r="V28" s="473"/>
      <c r="W28" s="473"/>
      <c r="X28" s="473"/>
      <c r="Y28" s="473"/>
      <c r="Z28" s="473"/>
      <c r="AA28" s="473"/>
      <c r="AB28" s="473"/>
      <c r="AC28" s="473"/>
      <c r="AD28" s="473"/>
      <c r="AE28" s="473"/>
      <c r="AF28" s="473"/>
      <c r="AG28" s="476"/>
      <c r="AH28" s="477"/>
      <c r="AI28" s="477"/>
      <c r="AJ28" s="477"/>
      <c r="AK28" s="477"/>
      <c r="AL28" s="477"/>
      <c r="AM28" s="477"/>
      <c r="AN28" s="477"/>
      <c r="AO28" s="477"/>
      <c r="AP28" s="477"/>
      <c r="AQ28" s="477"/>
      <c r="AR28" s="478"/>
      <c r="AS28" s="479"/>
      <c r="AT28" s="480"/>
      <c r="AU28" s="480"/>
      <c r="AV28" s="480"/>
      <c r="AW28" s="480"/>
      <c r="AX28" s="480"/>
      <c r="AY28" s="480"/>
      <c r="AZ28" s="480"/>
      <c r="BA28" s="480"/>
      <c r="BB28" s="480"/>
      <c r="BC28" s="480"/>
      <c r="BD28" s="481"/>
      <c r="BE28" s="482">
        <f t="shared" si="0"/>
        <v>0</v>
      </c>
      <c r="BF28" s="482">
        <f>SUM($U28:V28)</f>
        <v>0</v>
      </c>
      <c r="BG28" s="482">
        <f>SUM($U28:W28)</f>
        <v>0</v>
      </c>
      <c r="BH28" s="482">
        <f>SUM($U28:X28)</f>
        <v>0</v>
      </c>
      <c r="BI28" s="482">
        <f>SUM($U28:Y28)</f>
        <v>0</v>
      </c>
      <c r="BJ28" s="482">
        <f>SUM($U28:Z28)</f>
        <v>0</v>
      </c>
      <c r="BK28" s="482">
        <f>SUM($U28:AA28)</f>
        <v>0</v>
      </c>
      <c r="BL28" s="482">
        <f>SUM($U28:AB28)</f>
        <v>0</v>
      </c>
      <c r="BM28" s="482">
        <f>SUM($U28:AC28)</f>
        <v>0</v>
      </c>
      <c r="BN28" s="482">
        <f>SUM($U28:AD28)</f>
        <v>0</v>
      </c>
      <c r="BO28" s="482">
        <f>SUM($U28:AE28)</f>
        <v>0</v>
      </c>
      <c r="BP28" s="483">
        <f>SUM($U28:AF28)</f>
        <v>0</v>
      </c>
      <c r="BQ28" s="484">
        <f t="shared" si="1"/>
        <v>0</v>
      </c>
      <c r="BR28" s="482">
        <f>SUM($AS28:AT28)</f>
        <v>0</v>
      </c>
      <c r="BS28" s="482">
        <f>SUM($AS28:AU28)</f>
        <v>0</v>
      </c>
      <c r="BT28" s="482">
        <f>SUM($AS28:AV28)</f>
        <v>0</v>
      </c>
      <c r="BU28" s="482">
        <f>SUM($AS28:AW28)</f>
        <v>0</v>
      </c>
      <c r="BV28" s="482">
        <f>SUM($AS28:AX28)</f>
        <v>0</v>
      </c>
      <c r="BW28" s="482">
        <f>SUM($AS28:AY28)</f>
        <v>0</v>
      </c>
      <c r="BX28" s="482">
        <f>SUM($AS28:AZ28)</f>
        <v>0</v>
      </c>
      <c r="BY28" s="482">
        <f>SUM($AS28:BA28)</f>
        <v>0</v>
      </c>
      <c r="BZ28" s="482">
        <f>SUM($AS28:BB28)</f>
        <v>0</v>
      </c>
      <c r="CA28" s="482">
        <f>SUM($AS28:BC28)</f>
        <v>0</v>
      </c>
      <c r="CB28" s="483">
        <f>SUM($AS28:BD28)</f>
        <v>0</v>
      </c>
    </row>
    <row r="29" spans="1:80" s="471" customFormat="1" hidden="1">
      <c r="A29" s="471">
        <f t="shared" si="2"/>
        <v>20</v>
      </c>
      <c r="B29" s="628"/>
      <c r="C29" s="533"/>
      <c r="D29" s="533"/>
      <c r="E29" s="427"/>
      <c r="F29" s="586"/>
      <c r="G29" s="629"/>
      <c r="H29" s="582">
        <f t="shared" si="3"/>
        <v>22</v>
      </c>
      <c r="I29" s="524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4"/>
      <c r="U29" s="475"/>
      <c r="V29" s="473"/>
      <c r="W29" s="473"/>
      <c r="X29" s="473"/>
      <c r="Y29" s="473"/>
      <c r="Z29" s="473"/>
      <c r="AA29" s="473"/>
      <c r="AB29" s="473"/>
      <c r="AC29" s="473"/>
      <c r="AD29" s="473"/>
      <c r="AE29" s="473"/>
      <c r="AF29" s="473"/>
      <c r="AG29" s="476"/>
      <c r="AH29" s="477"/>
      <c r="AI29" s="477"/>
      <c r="AJ29" s="477"/>
      <c r="AK29" s="477"/>
      <c r="AL29" s="477"/>
      <c r="AM29" s="477"/>
      <c r="AN29" s="477"/>
      <c r="AO29" s="477"/>
      <c r="AP29" s="477"/>
      <c r="AQ29" s="477"/>
      <c r="AR29" s="478"/>
      <c r="AS29" s="479"/>
      <c r="AT29" s="480"/>
      <c r="AU29" s="480"/>
      <c r="AV29" s="480"/>
      <c r="AW29" s="480"/>
      <c r="AX29" s="480"/>
      <c r="AY29" s="480"/>
      <c r="AZ29" s="480"/>
      <c r="BA29" s="480"/>
      <c r="BB29" s="480"/>
      <c r="BC29" s="480"/>
      <c r="BD29" s="481"/>
      <c r="BE29" s="482">
        <f t="shared" si="0"/>
        <v>0</v>
      </c>
      <c r="BF29" s="482">
        <f>SUM($U29:V29)</f>
        <v>0</v>
      </c>
      <c r="BG29" s="482">
        <f>SUM($U29:W29)</f>
        <v>0</v>
      </c>
      <c r="BH29" s="482">
        <f>SUM($U29:X29)</f>
        <v>0</v>
      </c>
      <c r="BI29" s="482">
        <f>SUM($U29:Y29)</f>
        <v>0</v>
      </c>
      <c r="BJ29" s="482">
        <f>SUM($U29:Z29)</f>
        <v>0</v>
      </c>
      <c r="BK29" s="482">
        <f>SUM($U29:AA29)</f>
        <v>0</v>
      </c>
      <c r="BL29" s="482">
        <f>SUM($U29:AB29)</f>
        <v>0</v>
      </c>
      <c r="BM29" s="482">
        <f>SUM($U29:AC29)</f>
        <v>0</v>
      </c>
      <c r="BN29" s="482">
        <f>SUM($U29:AD29)</f>
        <v>0</v>
      </c>
      <c r="BO29" s="482">
        <f>SUM($U29:AE29)</f>
        <v>0</v>
      </c>
      <c r="BP29" s="483">
        <f>SUM($U29:AF29)</f>
        <v>0</v>
      </c>
      <c r="BQ29" s="484">
        <f t="shared" si="1"/>
        <v>0</v>
      </c>
      <c r="BR29" s="482">
        <f>SUM($AS29:AT29)</f>
        <v>0</v>
      </c>
      <c r="BS29" s="482">
        <f>SUM($AS29:AU29)</f>
        <v>0</v>
      </c>
      <c r="BT29" s="482">
        <f>SUM($AS29:AV29)</f>
        <v>0</v>
      </c>
      <c r="BU29" s="482">
        <f>SUM($AS29:AW29)</f>
        <v>0</v>
      </c>
      <c r="BV29" s="482">
        <f>SUM($AS29:AX29)</f>
        <v>0</v>
      </c>
      <c r="BW29" s="482">
        <f>SUM($AS29:AY29)</f>
        <v>0</v>
      </c>
      <c r="BX29" s="482">
        <f>SUM($AS29:AZ29)</f>
        <v>0</v>
      </c>
      <c r="BY29" s="482">
        <f>SUM($AS29:BA29)</f>
        <v>0</v>
      </c>
      <c r="BZ29" s="482">
        <f>SUM($AS29:BB29)</f>
        <v>0</v>
      </c>
      <c r="CA29" s="482">
        <f>SUM($AS29:BC29)</f>
        <v>0</v>
      </c>
      <c r="CB29" s="483">
        <f>SUM($AS29:BD29)</f>
        <v>0</v>
      </c>
    </row>
    <row r="30" spans="1:80" s="471" customFormat="1" hidden="1">
      <c r="A30" s="471">
        <f t="shared" si="2"/>
        <v>21</v>
      </c>
      <c r="B30" s="628"/>
      <c r="C30" s="533"/>
      <c r="D30" s="533"/>
      <c r="E30" s="427"/>
      <c r="F30" s="586"/>
      <c r="G30" s="629"/>
      <c r="H30" s="582">
        <f t="shared" si="3"/>
        <v>23</v>
      </c>
      <c r="I30" s="524"/>
      <c r="J30" s="473"/>
      <c r="K30" s="473"/>
      <c r="L30" s="473"/>
      <c r="M30" s="473"/>
      <c r="N30" s="473"/>
      <c r="O30" s="473"/>
      <c r="P30" s="473"/>
      <c r="Q30" s="473"/>
      <c r="R30" s="473"/>
      <c r="S30" s="473"/>
      <c r="T30" s="474"/>
      <c r="U30" s="475"/>
      <c r="V30" s="473"/>
      <c r="W30" s="473"/>
      <c r="X30" s="473"/>
      <c r="Y30" s="473"/>
      <c r="Z30" s="473"/>
      <c r="AA30" s="473"/>
      <c r="AB30" s="473"/>
      <c r="AC30" s="473"/>
      <c r="AD30" s="473"/>
      <c r="AE30" s="473"/>
      <c r="AF30" s="473"/>
      <c r="AG30" s="485"/>
      <c r="AH30" s="486"/>
      <c r="AI30" s="486"/>
      <c r="AJ30" s="486"/>
      <c r="AK30" s="486"/>
      <c r="AL30" s="486"/>
      <c r="AM30" s="486"/>
      <c r="AN30" s="486"/>
      <c r="AO30" s="486"/>
      <c r="AP30" s="486"/>
      <c r="AQ30" s="486"/>
      <c r="AR30" s="487"/>
      <c r="AS30" s="479"/>
      <c r="AT30" s="480"/>
      <c r="AU30" s="480"/>
      <c r="AV30" s="480"/>
      <c r="AW30" s="480"/>
      <c r="AX30" s="480"/>
      <c r="AY30" s="480"/>
      <c r="AZ30" s="480"/>
      <c r="BA30" s="480"/>
      <c r="BB30" s="480"/>
      <c r="BC30" s="480"/>
      <c r="BD30" s="481"/>
      <c r="BE30" s="482">
        <f t="shared" si="0"/>
        <v>0</v>
      </c>
      <c r="BF30" s="482">
        <f>SUM($U30:V30)</f>
        <v>0</v>
      </c>
      <c r="BG30" s="482">
        <f>SUM($U30:W30)</f>
        <v>0</v>
      </c>
      <c r="BH30" s="482">
        <f>SUM($U30:X30)</f>
        <v>0</v>
      </c>
      <c r="BI30" s="482">
        <f>SUM($U30:Y30)</f>
        <v>0</v>
      </c>
      <c r="BJ30" s="482">
        <f>SUM($U30:Z30)</f>
        <v>0</v>
      </c>
      <c r="BK30" s="482">
        <f>SUM($U30:AA30)</f>
        <v>0</v>
      </c>
      <c r="BL30" s="482">
        <f>SUM($U30:AB30)</f>
        <v>0</v>
      </c>
      <c r="BM30" s="482">
        <f>SUM($U30:AC30)</f>
        <v>0</v>
      </c>
      <c r="BN30" s="482">
        <f>SUM($U30:AD30)</f>
        <v>0</v>
      </c>
      <c r="BO30" s="482">
        <f>SUM($U30:AE30)</f>
        <v>0</v>
      </c>
      <c r="BP30" s="483">
        <f>SUM($U30:AF30)</f>
        <v>0</v>
      </c>
      <c r="BQ30" s="484">
        <f t="shared" si="1"/>
        <v>0</v>
      </c>
      <c r="BR30" s="482">
        <f>SUM($AS30:AT30)</f>
        <v>0</v>
      </c>
      <c r="BS30" s="482">
        <f>SUM($AS30:AU30)</f>
        <v>0</v>
      </c>
      <c r="BT30" s="482">
        <f>SUM($AS30:AV30)</f>
        <v>0</v>
      </c>
      <c r="BU30" s="482">
        <f>SUM($AS30:AW30)</f>
        <v>0</v>
      </c>
      <c r="BV30" s="482">
        <f>SUM($AS30:AX30)</f>
        <v>0</v>
      </c>
      <c r="BW30" s="482">
        <f>SUM($AS30:AY30)</f>
        <v>0</v>
      </c>
      <c r="BX30" s="482">
        <f>SUM($AS30:AZ30)</f>
        <v>0</v>
      </c>
      <c r="BY30" s="482">
        <f>SUM($AS30:BA30)</f>
        <v>0</v>
      </c>
      <c r="BZ30" s="482">
        <f>SUM($AS30:BB30)</f>
        <v>0</v>
      </c>
      <c r="CA30" s="482">
        <f>SUM($AS30:BC30)</f>
        <v>0</v>
      </c>
      <c r="CB30" s="483">
        <f>SUM($AS30:BD30)</f>
        <v>0</v>
      </c>
    </row>
    <row r="31" spans="1:80" s="471" customFormat="1" hidden="1">
      <c r="A31" s="471">
        <f t="shared" si="2"/>
        <v>22</v>
      </c>
      <c r="B31" s="628"/>
      <c r="C31" s="533"/>
      <c r="D31" s="533"/>
      <c r="E31" s="427"/>
      <c r="F31" s="586"/>
      <c r="G31" s="629"/>
      <c r="H31" s="582">
        <f t="shared" si="3"/>
        <v>24</v>
      </c>
      <c r="I31" s="524"/>
      <c r="J31" s="473"/>
      <c r="K31" s="473"/>
      <c r="L31" s="473"/>
      <c r="M31" s="473"/>
      <c r="N31" s="473"/>
      <c r="O31" s="473"/>
      <c r="P31" s="473"/>
      <c r="Q31" s="473"/>
      <c r="R31" s="473"/>
      <c r="S31" s="473"/>
      <c r="T31" s="474"/>
      <c r="U31" s="475"/>
      <c r="V31" s="473"/>
      <c r="W31" s="473"/>
      <c r="X31" s="473"/>
      <c r="Y31" s="473"/>
      <c r="Z31" s="473"/>
      <c r="AA31" s="473"/>
      <c r="AB31" s="473"/>
      <c r="AC31" s="473"/>
      <c r="AD31" s="473"/>
      <c r="AE31" s="473"/>
      <c r="AF31" s="473"/>
      <c r="AG31" s="476"/>
      <c r="AH31" s="477"/>
      <c r="AI31" s="477"/>
      <c r="AJ31" s="477"/>
      <c r="AK31" s="477"/>
      <c r="AL31" s="477"/>
      <c r="AM31" s="477"/>
      <c r="AN31" s="477"/>
      <c r="AO31" s="477"/>
      <c r="AP31" s="477"/>
      <c r="AQ31" s="477"/>
      <c r="AR31" s="478"/>
      <c r="AS31" s="479"/>
      <c r="AT31" s="480"/>
      <c r="AU31" s="480"/>
      <c r="AV31" s="480"/>
      <c r="AW31" s="480"/>
      <c r="AX31" s="480"/>
      <c r="AY31" s="480"/>
      <c r="AZ31" s="480"/>
      <c r="BA31" s="480"/>
      <c r="BB31" s="480"/>
      <c r="BC31" s="480"/>
      <c r="BD31" s="481"/>
      <c r="BE31" s="482">
        <f t="shared" si="0"/>
        <v>0</v>
      </c>
      <c r="BF31" s="482">
        <f>SUM($U31:V31)</f>
        <v>0</v>
      </c>
      <c r="BG31" s="482">
        <f>SUM($U31:W31)</f>
        <v>0</v>
      </c>
      <c r="BH31" s="482">
        <f>SUM($U31:X31)</f>
        <v>0</v>
      </c>
      <c r="BI31" s="482">
        <f>SUM($U31:Y31)</f>
        <v>0</v>
      </c>
      <c r="BJ31" s="482">
        <f>SUM($U31:Z31)</f>
        <v>0</v>
      </c>
      <c r="BK31" s="482">
        <f>SUM($U31:AA31)</f>
        <v>0</v>
      </c>
      <c r="BL31" s="482">
        <f>SUM($U31:AB31)</f>
        <v>0</v>
      </c>
      <c r="BM31" s="482">
        <f>SUM($U31:AC31)</f>
        <v>0</v>
      </c>
      <c r="BN31" s="482">
        <f>SUM($U31:AD31)</f>
        <v>0</v>
      </c>
      <c r="BO31" s="482">
        <f>SUM($U31:AE31)</f>
        <v>0</v>
      </c>
      <c r="BP31" s="483">
        <f>SUM($U31:AF31)</f>
        <v>0</v>
      </c>
      <c r="BQ31" s="484">
        <f t="shared" si="1"/>
        <v>0</v>
      </c>
      <c r="BR31" s="482">
        <f>SUM($AS31:AT31)</f>
        <v>0</v>
      </c>
      <c r="BS31" s="482">
        <f>SUM($AS31:AU31)</f>
        <v>0</v>
      </c>
      <c r="BT31" s="482">
        <f>SUM($AS31:AV31)</f>
        <v>0</v>
      </c>
      <c r="BU31" s="482">
        <f>SUM($AS31:AW31)</f>
        <v>0</v>
      </c>
      <c r="BV31" s="482">
        <f>SUM($AS31:AX31)</f>
        <v>0</v>
      </c>
      <c r="BW31" s="482">
        <f>SUM($AS31:AY31)</f>
        <v>0</v>
      </c>
      <c r="BX31" s="482">
        <f>SUM($AS31:AZ31)</f>
        <v>0</v>
      </c>
      <c r="BY31" s="482">
        <f>SUM($AS31:BA31)</f>
        <v>0</v>
      </c>
      <c r="BZ31" s="482">
        <f>SUM($AS31:BB31)</f>
        <v>0</v>
      </c>
      <c r="CA31" s="482">
        <f>SUM($AS31:BC31)</f>
        <v>0</v>
      </c>
      <c r="CB31" s="483">
        <f>SUM($AS31:BD31)</f>
        <v>0</v>
      </c>
    </row>
    <row r="32" spans="1:80" s="471" customFormat="1" hidden="1">
      <c r="A32" s="471">
        <f t="shared" si="2"/>
        <v>23</v>
      </c>
      <c r="B32" s="628"/>
      <c r="C32" s="533"/>
      <c r="D32" s="533"/>
      <c r="E32" s="427"/>
      <c r="F32" s="586"/>
      <c r="G32" s="629"/>
      <c r="H32" s="582">
        <f t="shared" si="3"/>
        <v>25</v>
      </c>
      <c r="I32" s="524"/>
      <c r="J32" s="473"/>
      <c r="K32" s="473"/>
      <c r="L32" s="473"/>
      <c r="M32" s="473"/>
      <c r="N32" s="473"/>
      <c r="O32" s="473"/>
      <c r="P32" s="473"/>
      <c r="Q32" s="473"/>
      <c r="R32" s="473"/>
      <c r="S32" s="473"/>
      <c r="T32" s="474"/>
      <c r="U32" s="475"/>
      <c r="V32" s="473"/>
      <c r="W32" s="473"/>
      <c r="X32" s="473"/>
      <c r="Y32" s="473"/>
      <c r="Z32" s="473"/>
      <c r="AA32" s="473"/>
      <c r="AB32" s="473"/>
      <c r="AC32" s="473"/>
      <c r="AD32" s="473"/>
      <c r="AE32" s="473"/>
      <c r="AF32" s="473"/>
      <c r="AG32" s="476"/>
      <c r="AH32" s="477"/>
      <c r="AI32" s="477"/>
      <c r="AJ32" s="477"/>
      <c r="AK32" s="477"/>
      <c r="AL32" s="477"/>
      <c r="AM32" s="477"/>
      <c r="AN32" s="477"/>
      <c r="AO32" s="477"/>
      <c r="AP32" s="477"/>
      <c r="AQ32" s="477"/>
      <c r="AR32" s="478"/>
      <c r="AS32" s="479"/>
      <c r="AT32" s="480"/>
      <c r="AU32" s="480"/>
      <c r="AV32" s="480"/>
      <c r="AW32" s="480"/>
      <c r="AX32" s="480"/>
      <c r="AY32" s="480"/>
      <c r="AZ32" s="480"/>
      <c r="BA32" s="480"/>
      <c r="BB32" s="480"/>
      <c r="BC32" s="480"/>
      <c r="BD32" s="481"/>
      <c r="BE32" s="482">
        <f t="shared" si="0"/>
        <v>0</v>
      </c>
      <c r="BF32" s="482">
        <f>SUM($U32:V32)</f>
        <v>0</v>
      </c>
      <c r="BG32" s="482">
        <f>SUM($U32:W32)</f>
        <v>0</v>
      </c>
      <c r="BH32" s="482">
        <f>SUM($U32:X32)</f>
        <v>0</v>
      </c>
      <c r="BI32" s="482">
        <f>SUM($U32:Y32)</f>
        <v>0</v>
      </c>
      <c r="BJ32" s="482">
        <f>SUM($U32:Z32)</f>
        <v>0</v>
      </c>
      <c r="BK32" s="482">
        <f>SUM($U32:AA32)</f>
        <v>0</v>
      </c>
      <c r="BL32" s="482">
        <f>SUM($U32:AB32)</f>
        <v>0</v>
      </c>
      <c r="BM32" s="482">
        <f>SUM($U32:AC32)</f>
        <v>0</v>
      </c>
      <c r="BN32" s="482">
        <f>SUM($U32:AD32)</f>
        <v>0</v>
      </c>
      <c r="BO32" s="482">
        <f>SUM($U32:AE32)</f>
        <v>0</v>
      </c>
      <c r="BP32" s="483">
        <f>SUM($U32:AF32)</f>
        <v>0</v>
      </c>
      <c r="BQ32" s="484">
        <f t="shared" si="1"/>
        <v>0</v>
      </c>
      <c r="BR32" s="482">
        <f>SUM($AS32:AT32)</f>
        <v>0</v>
      </c>
      <c r="BS32" s="482">
        <f>SUM($AS32:AU32)</f>
        <v>0</v>
      </c>
      <c r="BT32" s="482">
        <f>SUM($AS32:AV32)</f>
        <v>0</v>
      </c>
      <c r="BU32" s="482">
        <f>SUM($AS32:AW32)</f>
        <v>0</v>
      </c>
      <c r="BV32" s="482">
        <f>SUM($AS32:AX32)</f>
        <v>0</v>
      </c>
      <c r="BW32" s="482">
        <f>SUM($AS32:AY32)</f>
        <v>0</v>
      </c>
      <c r="BX32" s="482">
        <f>SUM($AS32:AZ32)</f>
        <v>0</v>
      </c>
      <c r="BY32" s="482">
        <f>SUM($AS32:BA32)</f>
        <v>0</v>
      </c>
      <c r="BZ32" s="482">
        <f>SUM($AS32:BB32)</f>
        <v>0</v>
      </c>
      <c r="CA32" s="482">
        <f>SUM($AS32:BC32)</f>
        <v>0</v>
      </c>
      <c r="CB32" s="483">
        <f>SUM($AS32:BD32)</f>
        <v>0</v>
      </c>
    </row>
    <row r="33" spans="1:80" s="471" customFormat="1" hidden="1">
      <c r="A33" s="471">
        <f t="shared" si="2"/>
        <v>24</v>
      </c>
      <c r="B33" s="628"/>
      <c r="C33" s="533"/>
      <c r="D33" s="533"/>
      <c r="E33" s="427"/>
      <c r="F33" s="586"/>
      <c r="G33" s="629"/>
      <c r="H33" s="582">
        <f t="shared" si="3"/>
        <v>26</v>
      </c>
      <c r="I33" s="524"/>
      <c r="J33" s="473"/>
      <c r="K33" s="473"/>
      <c r="L33" s="473"/>
      <c r="M33" s="473"/>
      <c r="N33" s="473"/>
      <c r="O33" s="473"/>
      <c r="P33" s="473"/>
      <c r="Q33" s="473"/>
      <c r="R33" s="473"/>
      <c r="S33" s="473"/>
      <c r="T33" s="474"/>
      <c r="U33" s="475"/>
      <c r="V33" s="473"/>
      <c r="W33" s="473"/>
      <c r="X33" s="473"/>
      <c r="Y33" s="473"/>
      <c r="Z33" s="473"/>
      <c r="AA33" s="473"/>
      <c r="AB33" s="473"/>
      <c r="AC33" s="473"/>
      <c r="AD33" s="473"/>
      <c r="AE33" s="473"/>
      <c r="AF33" s="473"/>
      <c r="AG33" s="476"/>
      <c r="AH33" s="477"/>
      <c r="AI33" s="477"/>
      <c r="AJ33" s="477"/>
      <c r="AK33" s="477"/>
      <c r="AL33" s="477"/>
      <c r="AM33" s="477"/>
      <c r="AN33" s="477"/>
      <c r="AO33" s="477"/>
      <c r="AP33" s="477"/>
      <c r="AQ33" s="477"/>
      <c r="AR33" s="478"/>
      <c r="AS33" s="479"/>
      <c r="AT33" s="480"/>
      <c r="AU33" s="480"/>
      <c r="AV33" s="480"/>
      <c r="AW33" s="480"/>
      <c r="AX33" s="480"/>
      <c r="AY33" s="480"/>
      <c r="AZ33" s="480"/>
      <c r="BA33" s="480"/>
      <c r="BB33" s="480"/>
      <c r="BC33" s="480"/>
      <c r="BD33" s="481"/>
      <c r="BE33" s="482">
        <f t="shared" si="0"/>
        <v>0</v>
      </c>
      <c r="BF33" s="482">
        <f>SUM($U33:V33)</f>
        <v>0</v>
      </c>
      <c r="BG33" s="482">
        <f>SUM($U33:W33)</f>
        <v>0</v>
      </c>
      <c r="BH33" s="482">
        <f>SUM($U33:X33)</f>
        <v>0</v>
      </c>
      <c r="BI33" s="482">
        <f>SUM($U33:Y33)</f>
        <v>0</v>
      </c>
      <c r="BJ33" s="482">
        <f>SUM($U33:Z33)</f>
        <v>0</v>
      </c>
      <c r="BK33" s="482">
        <f>SUM($U33:AA33)</f>
        <v>0</v>
      </c>
      <c r="BL33" s="482">
        <f>SUM($U33:AB33)</f>
        <v>0</v>
      </c>
      <c r="BM33" s="482">
        <f>SUM($U33:AC33)</f>
        <v>0</v>
      </c>
      <c r="BN33" s="482">
        <f>SUM($U33:AD33)</f>
        <v>0</v>
      </c>
      <c r="BO33" s="482">
        <f>SUM($U33:AE33)</f>
        <v>0</v>
      </c>
      <c r="BP33" s="483">
        <f>SUM($U33:AF33)</f>
        <v>0</v>
      </c>
      <c r="BQ33" s="484">
        <f t="shared" si="1"/>
        <v>0</v>
      </c>
      <c r="BR33" s="482">
        <f>SUM($AS33:AT33)</f>
        <v>0</v>
      </c>
      <c r="BS33" s="482">
        <f>SUM($AS33:AU33)</f>
        <v>0</v>
      </c>
      <c r="BT33" s="482">
        <f>SUM($AS33:AV33)</f>
        <v>0</v>
      </c>
      <c r="BU33" s="482">
        <f>SUM($AS33:AW33)</f>
        <v>0</v>
      </c>
      <c r="BV33" s="482">
        <f>SUM($AS33:AX33)</f>
        <v>0</v>
      </c>
      <c r="BW33" s="482">
        <f>SUM($AS33:AY33)</f>
        <v>0</v>
      </c>
      <c r="BX33" s="482">
        <f>SUM($AS33:AZ33)</f>
        <v>0</v>
      </c>
      <c r="BY33" s="482">
        <f>SUM($AS33:BA33)</f>
        <v>0</v>
      </c>
      <c r="BZ33" s="482">
        <f>SUM($AS33:BB33)</f>
        <v>0</v>
      </c>
      <c r="CA33" s="482">
        <f>SUM($AS33:BC33)</f>
        <v>0</v>
      </c>
      <c r="CB33" s="483">
        <f>SUM($AS33:BD33)</f>
        <v>0</v>
      </c>
    </row>
    <row r="34" spans="1:80" s="471" customFormat="1" hidden="1">
      <c r="A34" s="471">
        <f t="shared" si="2"/>
        <v>25</v>
      </c>
      <c r="B34" s="628"/>
      <c r="C34" s="533"/>
      <c r="D34" s="533"/>
      <c r="E34" s="427"/>
      <c r="F34" s="586"/>
      <c r="G34" s="629"/>
      <c r="H34" s="582">
        <f t="shared" si="3"/>
        <v>27</v>
      </c>
      <c r="I34" s="524"/>
      <c r="J34" s="473"/>
      <c r="K34" s="473"/>
      <c r="L34" s="473"/>
      <c r="M34" s="473"/>
      <c r="N34" s="473"/>
      <c r="O34" s="473"/>
      <c r="P34" s="473"/>
      <c r="Q34" s="473"/>
      <c r="R34" s="473"/>
      <c r="S34" s="473"/>
      <c r="T34" s="474"/>
      <c r="U34" s="475"/>
      <c r="V34" s="473"/>
      <c r="W34" s="473"/>
      <c r="X34" s="473"/>
      <c r="Y34" s="473"/>
      <c r="Z34" s="473"/>
      <c r="AA34" s="473"/>
      <c r="AB34" s="473"/>
      <c r="AC34" s="473"/>
      <c r="AD34" s="473"/>
      <c r="AE34" s="473"/>
      <c r="AF34" s="473"/>
      <c r="AG34" s="476"/>
      <c r="AH34" s="477"/>
      <c r="AI34" s="477"/>
      <c r="AJ34" s="477"/>
      <c r="AK34" s="477"/>
      <c r="AL34" s="477"/>
      <c r="AM34" s="477"/>
      <c r="AN34" s="477"/>
      <c r="AO34" s="477"/>
      <c r="AP34" s="477"/>
      <c r="AQ34" s="477"/>
      <c r="AR34" s="478"/>
      <c r="AS34" s="479"/>
      <c r="AT34" s="480"/>
      <c r="AU34" s="480"/>
      <c r="AV34" s="480"/>
      <c r="AW34" s="480"/>
      <c r="AX34" s="480"/>
      <c r="AY34" s="480"/>
      <c r="AZ34" s="480"/>
      <c r="BA34" s="480"/>
      <c r="BB34" s="480"/>
      <c r="BC34" s="480"/>
      <c r="BD34" s="481"/>
      <c r="BE34" s="482">
        <f t="shared" si="0"/>
        <v>0</v>
      </c>
      <c r="BF34" s="482">
        <f>SUM($U34:V34)</f>
        <v>0</v>
      </c>
      <c r="BG34" s="482">
        <f>SUM($U34:W34)</f>
        <v>0</v>
      </c>
      <c r="BH34" s="482">
        <f>SUM($U34:X34)</f>
        <v>0</v>
      </c>
      <c r="BI34" s="482">
        <f>SUM($U34:Y34)</f>
        <v>0</v>
      </c>
      <c r="BJ34" s="482">
        <f>SUM($U34:Z34)</f>
        <v>0</v>
      </c>
      <c r="BK34" s="482">
        <f>SUM($U34:AA34)</f>
        <v>0</v>
      </c>
      <c r="BL34" s="482">
        <f>SUM($U34:AB34)</f>
        <v>0</v>
      </c>
      <c r="BM34" s="482">
        <f>SUM($U34:AC34)</f>
        <v>0</v>
      </c>
      <c r="BN34" s="482">
        <f>SUM($U34:AD34)</f>
        <v>0</v>
      </c>
      <c r="BO34" s="482">
        <f>SUM($U34:AE34)</f>
        <v>0</v>
      </c>
      <c r="BP34" s="483">
        <f>SUM($U34:AF34)</f>
        <v>0</v>
      </c>
      <c r="BQ34" s="484">
        <f t="shared" si="1"/>
        <v>0</v>
      </c>
      <c r="BR34" s="482">
        <f>SUM($AS34:AT34)</f>
        <v>0</v>
      </c>
      <c r="BS34" s="482">
        <f>SUM($AS34:AU34)</f>
        <v>0</v>
      </c>
      <c r="BT34" s="482">
        <f>SUM($AS34:AV34)</f>
        <v>0</v>
      </c>
      <c r="BU34" s="482">
        <f>SUM($AS34:AW34)</f>
        <v>0</v>
      </c>
      <c r="BV34" s="482">
        <f>SUM($AS34:AX34)</f>
        <v>0</v>
      </c>
      <c r="BW34" s="482">
        <f>SUM($AS34:AY34)</f>
        <v>0</v>
      </c>
      <c r="BX34" s="482">
        <f>SUM($AS34:AZ34)</f>
        <v>0</v>
      </c>
      <c r="BY34" s="482">
        <f>SUM($AS34:BA34)</f>
        <v>0</v>
      </c>
      <c r="BZ34" s="482">
        <f>SUM($AS34:BB34)</f>
        <v>0</v>
      </c>
      <c r="CA34" s="482">
        <f>SUM($AS34:BC34)</f>
        <v>0</v>
      </c>
      <c r="CB34" s="483">
        <f>SUM($AS34:BD34)</f>
        <v>0</v>
      </c>
    </row>
    <row r="35" spans="1:80" s="471" customFormat="1" hidden="1">
      <c r="A35" s="471">
        <f t="shared" si="2"/>
        <v>26</v>
      </c>
      <c r="B35" s="628"/>
      <c r="C35" s="533"/>
      <c r="D35" s="533"/>
      <c r="E35" s="427"/>
      <c r="F35" s="586"/>
      <c r="G35" s="629"/>
      <c r="H35" s="582">
        <f t="shared" si="3"/>
        <v>28</v>
      </c>
      <c r="I35" s="524"/>
      <c r="J35" s="473"/>
      <c r="K35" s="473"/>
      <c r="L35" s="473"/>
      <c r="M35" s="473"/>
      <c r="N35" s="473"/>
      <c r="O35" s="473"/>
      <c r="P35" s="473"/>
      <c r="Q35" s="473"/>
      <c r="R35" s="473"/>
      <c r="S35" s="473"/>
      <c r="T35" s="474"/>
      <c r="U35" s="475"/>
      <c r="V35" s="473"/>
      <c r="W35" s="473"/>
      <c r="X35" s="473"/>
      <c r="Y35" s="473"/>
      <c r="Z35" s="473"/>
      <c r="AA35" s="473"/>
      <c r="AB35" s="473"/>
      <c r="AC35" s="473"/>
      <c r="AD35" s="473"/>
      <c r="AE35" s="473"/>
      <c r="AF35" s="473"/>
      <c r="AG35" s="476"/>
      <c r="AH35" s="477"/>
      <c r="AI35" s="477"/>
      <c r="AJ35" s="477"/>
      <c r="AK35" s="477"/>
      <c r="AL35" s="477"/>
      <c r="AM35" s="477"/>
      <c r="AN35" s="477"/>
      <c r="AO35" s="477"/>
      <c r="AP35" s="477"/>
      <c r="AQ35" s="477"/>
      <c r="AR35" s="478"/>
      <c r="AS35" s="479"/>
      <c r="AT35" s="480"/>
      <c r="AU35" s="480"/>
      <c r="AV35" s="480"/>
      <c r="AW35" s="480"/>
      <c r="AX35" s="480"/>
      <c r="AY35" s="480"/>
      <c r="AZ35" s="480"/>
      <c r="BA35" s="480"/>
      <c r="BB35" s="480"/>
      <c r="BC35" s="480"/>
      <c r="BD35" s="481"/>
      <c r="BE35" s="482">
        <f t="shared" si="0"/>
        <v>0</v>
      </c>
      <c r="BF35" s="482">
        <f>SUM($U35:V35)</f>
        <v>0</v>
      </c>
      <c r="BG35" s="482">
        <f>SUM($U35:W35)</f>
        <v>0</v>
      </c>
      <c r="BH35" s="482">
        <f>SUM($U35:X35)</f>
        <v>0</v>
      </c>
      <c r="BI35" s="482">
        <f>SUM($U35:Y35)</f>
        <v>0</v>
      </c>
      <c r="BJ35" s="482">
        <f>SUM($U35:Z35)</f>
        <v>0</v>
      </c>
      <c r="BK35" s="482">
        <f>SUM($U35:AA35)</f>
        <v>0</v>
      </c>
      <c r="BL35" s="482">
        <f>SUM($U35:AB35)</f>
        <v>0</v>
      </c>
      <c r="BM35" s="482">
        <f>SUM($U35:AC35)</f>
        <v>0</v>
      </c>
      <c r="BN35" s="482">
        <f>SUM($U35:AD35)</f>
        <v>0</v>
      </c>
      <c r="BO35" s="482">
        <f>SUM($U35:AE35)</f>
        <v>0</v>
      </c>
      <c r="BP35" s="483">
        <f>SUM($U35:AF35)</f>
        <v>0</v>
      </c>
      <c r="BQ35" s="484">
        <f t="shared" si="1"/>
        <v>0</v>
      </c>
      <c r="BR35" s="482">
        <f>SUM($AS35:AT35)</f>
        <v>0</v>
      </c>
      <c r="BS35" s="482">
        <f>SUM($AS35:AU35)</f>
        <v>0</v>
      </c>
      <c r="BT35" s="482">
        <f>SUM($AS35:AV35)</f>
        <v>0</v>
      </c>
      <c r="BU35" s="482">
        <f>SUM($AS35:AW35)</f>
        <v>0</v>
      </c>
      <c r="BV35" s="482">
        <f>SUM($AS35:AX35)</f>
        <v>0</v>
      </c>
      <c r="BW35" s="482">
        <f>SUM($AS35:AY35)</f>
        <v>0</v>
      </c>
      <c r="BX35" s="482">
        <f>SUM($AS35:AZ35)</f>
        <v>0</v>
      </c>
      <c r="BY35" s="482">
        <f>SUM($AS35:BA35)</f>
        <v>0</v>
      </c>
      <c r="BZ35" s="482">
        <f>SUM($AS35:BB35)</f>
        <v>0</v>
      </c>
      <c r="CA35" s="482">
        <f>SUM($AS35:BC35)</f>
        <v>0</v>
      </c>
      <c r="CB35" s="483">
        <f>SUM($AS35:BD35)</f>
        <v>0</v>
      </c>
    </row>
    <row r="36" spans="1:80" s="471" customFormat="1" hidden="1">
      <c r="A36" s="471">
        <f t="shared" si="2"/>
        <v>27</v>
      </c>
      <c r="B36" s="628"/>
      <c r="C36" s="533"/>
      <c r="D36" s="533"/>
      <c r="E36" s="427"/>
      <c r="F36" s="586"/>
      <c r="G36" s="629"/>
      <c r="H36" s="582">
        <f t="shared" si="3"/>
        <v>29</v>
      </c>
      <c r="I36" s="524"/>
      <c r="J36" s="473"/>
      <c r="K36" s="473"/>
      <c r="L36" s="473"/>
      <c r="M36" s="473"/>
      <c r="N36" s="473"/>
      <c r="O36" s="473"/>
      <c r="P36" s="473"/>
      <c r="Q36" s="473"/>
      <c r="R36" s="473"/>
      <c r="S36" s="473"/>
      <c r="T36" s="474"/>
      <c r="U36" s="475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6"/>
      <c r="AH36" s="477"/>
      <c r="AI36" s="477"/>
      <c r="AJ36" s="477"/>
      <c r="AK36" s="477"/>
      <c r="AL36" s="477"/>
      <c r="AM36" s="477"/>
      <c r="AN36" s="477"/>
      <c r="AO36" s="477"/>
      <c r="AP36" s="477"/>
      <c r="AQ36" s="477"/>
      <c r="AR36" s="478"/>
      <c r="AS36" s="479"/>
      <c r="AT36" s="480"/>
      <c r="AU36" s="480"/>
      <c r="AV36" s="480"/>
      <c r="AW36" s="480"/>
      <c r="AX36" s="480"/>
      <c r="AY36" s="480"/>
      <c r="AZ36" s="480"/>
      <c r="BA36" s="480"/>
      <c r="BB36" s="480"/>
      <c r="BC36" s="480"/>
      <c r="BD36" s="481"/>
      <c r="BE36" s="482">
        <f t="shared" si="0"/>
        <v>0</v>
      </c>
      <c r="BF36" s="482">
        <f>SUM($U36:V36)</f>
        <v>0</v>
      </c>
      <c r="BG36" s="482">
        <f>SUM($U36:W36)</f>
        <v>0</v>
      </c>
      <c r="BH36" s="482">
        <f>SUM($U36:X36)</f>
        <v>0</v>
      </c>
      <c r="BI36" s="482">
        <f>SUM($U36:Y36)</f>
        <v>0</v>
      </c>
      <c r="BJ36" s="482">
        <f>SUM($U36:Z36)</f>
        <v>0</v>
      </c>
      <c r="BK36" s="482">
        <f>SUM($U36:AA36)</f>
        <v>0</v>
      </c>
      <c r="BL36" s="482">
        <f>SUM($U36:AB36)</f>
        <v>0</v>
      </c>
      <c r="BM36" s="482">
        <f>SUM($U36:AC36)</f>
        <v>0</v>
      </c>
      <c r="BN36" s="482">
        <f>SUM($U36:AD36)</f>
        <v>0</v>
      </c>
      <c r="BO36" s="482">
        <f>SUM($U36:AE36)</f>
        <v>0</v>
      </c>
      <c r="BP36" s="483">
        <f>SUM($U36:AF36)</f>
        <v>0</v>
      </c>
      <c r="BQ36" s="484">
        <f t="shared" si="1"/>
        <v>0</v>
      </c>
      <c r="BR36" s="482">
        <f>SUM($AS36:AT36)</f>
        <v>0</v>
      </c>
      <c r="BS36" s="482">
        <f>SUM($AS36:AU36)</f>
        <v>0</v>
      </c>
      <c r="BT36" s="482">
        <f>SUM($AS36:AV36)</f>
        <v>0</v>
      </c>
      <c r="BU36" s="482">
        <f>SUM($AS36:AW36)</f>
        <v>0</v>
      </c>
      <c r="BV36" s="482">
        <f>SUM($AS36:AX36)</f>
        <v>0</v>
      </c>
      <c r="BW36" s="482">
        <f>SUM($AS36:AY36)</f>
        <v>0</v>
      </c>
      <c r="BX36" s="482">
        <f>SUM($AS36:AZ36)</f>
        <v>0</v>
      </c>
      <c r="BY36" s="482">
        <f>SUM($AS36:BA36)</f>
        <v>0</v>
      </c>
      <c r="BZ36" s="482">
        <f>SUM($AS36:BB36)</f>
        <v>0</v>
      </c>
      <c r="CA36" s="482">
        <f>SUM($AS36:BC36)</f>
        <v>0</v>
      </c>
      <c r="CB36" s="483">
        <f>SUM($AS36:BD36)</f>
        <v>0</v>
      </c>
    </row>
    <row r="37" spans="1:80" s="471" customFormat="1" hidden="1">
      <c r="A37" s="471">
        <f t="shared" si="2"/>
        <v>28</v>
      </c>
      <c r="B37" s="628"/>
      <c r="C37" s="533"/>
      <c r="D37" s="533"/>
      <c r="E37" s="427"/>
      <c r="F37" s="586"/>
      <c r="G37" s="629"/>
      <c r="H37" s="582">
        <f t="shared" si="3"/>
        <v>30</v>
      </c>
      <c r="I37" s="524"/>
      <c r="J37" s="473"/>
      <c r="K37" s="473"/>
      <c r="L37" s="473"/>
      <c r="M37" s="473"/>
      <c r="N37" s="473"/>
      <c r="O37" s="473"/>
      <c r="P37" s="473"/>
      <c r="Q37" s="473"/>
      <c r="R37" s="473"/>
      <c r="S37" s="473"/>
      <c r="T37" s="473"/>
      <c r="U37" s="475"/>
      <c r="V37" s="473"/>
      <c r="W37" s="473"/>
      <c r="X37" s="473"/>
      <c r="Y37" s="473"/>
      <c r="Z37" s="473"/>
      <c r="AA37" s="473"/>
      <c r="AB37" s="473"/>
      <c r="AC37" s="473"/>
      <c r="AD37" s="473"/>
      <c r="AE37" s="473"/>
      <c r="AF37" s="473"/>
      <c r="AG37" s="485"/>
      <c r="AH37" s="486"/>
      <c r="AI37" s="486"/>
      <c r="AJ37" s="486"/>
      <c r="AK37" s="486"/>
      <c r="AL37" s="486"/>
      <c r="AM37" s="486"/>
      <c r="AN37" s="486"/>
      <c r="AO37" s="486"/>
      <c r="AP37" s="486"/>
      <c r="AQ37" s="486"/>
      <c r="AR37" s="478"/>
      <c r="AS37" s="480"/>
      <c r="AT37" s="480"/>
      <c r="AU37" s="480"/>
      <c r="AV37" s="480"/>
      <c r="AW37" s="480"/>
      <c r="AX37" s="480"/>
      <c r="AY37" s="480"/>
      <c r="AZ37" s="480"/>
      <c r="BA37" s="480"/>
      <c r="BB37" s="480"/>
      <c r="BC37" s="480"/>
      <c r="BD37" s="481"/>
      <c r="BE37" s="482">
        <f t="shared" si="0"/>
        <v>0</v>
      </c>
      <c r="BF37" s="482">
        <f>SUM($U37:V37)</f>
        <v>0</v>
      </c>
      <c r="BG37" s="482">
        <f>SUM($U37:W37)</f>
        <v>0</v>
      </c>
      <c r="BH37" s="482">
        <f>SUM($U37:X37)</f>
        <v>0</v>
      </c>
      <c r="BI37" s="482">
        <f>SUM($U37:Y37)</f>
        <v>0</v>
      </c>
      <c r="BJ37" s="482">
        <f>SUM($U37:Z37)</f>
        <v>0</v>
      </c>
      <c r="BK37" s="482">
        <f>SUM($U37:AA37)</f>
        <v>0</v>
      </c>
      <c r="BL37" s="482">
        <f>SUM($U37:AB37)</f>
        <v>0</v>
      </c>
      <c r="BM37" s="482">
        <f>SUM($U37:AC37)</f>
        <v>0</v>
      </c>
      <c r="BN37" s="482">
        <f>SUM($U37:AD37)</f>
        <v>0</v>
      </c>
      <c r="BO37" s="482">
        <f>SUM($U37:AE37)</f>
        <v>0</v>
      </c>
      <c r="BP37" s="483">
        <f>SUM($U37:AF37)</f>
        <v>0</v>
      </c>
      <c r="BQ37" s="482">
        <f t="shared" si="1"/>
        <v>0</v>
      </c>
      <c r="BR37" s="482">
        <f>SUM($AS37:AT37)</f>
        <v>0</v>
      </c>
      <c r="BS37" s="482">
        <f>SUM($AS37:AU37)</f>
        <v>0</v>
      </c>
      <c r="BT37" s="482">
        <f>SUM($AS37:AV37)</f>
        <v>0</v>
      </c>
      <c r="BU37" s="482">
        <f>SUM($AS37:AW37)</f>
        <v>0</v>
      </c>
      <c r="BV37" s="482">
        <f>SUM($AS37:AX37)</f>
        <v>0</v>
      </c>
      <c r="BW37" s="482">
        <f>SUM($AS37:AY37)</f>
        <v>0</v>
      </c>
      <c r="BX37" s="482">
        <f>SUM($AS37:AZ37)</f>
        <v>0</v>
      </c>
      <c r="BY37" s="482">
        <f>SUM($AS37:BA37)</f>
        <v>0</v>
      </c>
      <c r="BZ37" s="482">
        <f>SUM($AS37:BB37)</f>
        <v>0</v>
      </c>
      <c r="CA37" s="482">
        <f>SUM($AS37:BC37)</f>
        <v>0</v>
      </c>
      <c r="CB37" s="483">
        <f>SUM($AS37:BD37)</f>
        <v>0</v>
      </c>
    </row>
    <row r="38" spans="1:80" s="471" customFormat="1" hidden="1">
      <c r="A38" s="471">
        <f t="shared" si="2"/>
        <v>29</v>
      </c>
      <c r="B38" s="628"/>
      <c r="C38" s="533"/>
      <c r="D38" s="533"/>
      <c r="E38" s="427"/>
      <c r="F38" s="586"/>
      <c r="G38" s="629"/>
      <c r="H38" s="582">
        <f t="shared" ref="H38:H101" si="4">1+H37</f>
        <v>31</v>
      </c>
      <c r="I38" s="524">
        <v>0</v>
      </c>
      <c r="J38" s="473">
        <v>0</v>
      </c>
      <c r="K38" s="473">
        <v>0</v>
      </c>
      <c r="L38" s="473"/>
      <c r="M38" s="473"/>
      <c r="N38" s="473"/>
      <c r="O38" s="473"/>
      <c r="P38" s="473"/>
      <c r="Q38" s="473"/>
      <c r="R38" s="473"/>
      <c r="S38" s="473"/>
      <c r="T38" s="474"/>
      <c r="U38" s="475">
        <v>0</v>
      </c>
      <c r="V38" s="473">
        <v>0</v>
      </c>
      <c r="W38" s="473">
        <v>0</v>
      </c>
      <c r="X38" s="473"/>
      <c r="Y38" s="473"/>
      <c r="Z38" s="473"/>
      <c r="AA38" s="473"/>
      <c r="AB38" s="473"/>
      <c r="AC38" s="473"/>
      <c r="AD38" s="473"/>
      <c r="AE38" s="473"/>
      <c r="AF38" s="473"/>
      <c r="AG38" s="476"/>
      <c r="AH38" s="477"/>
      <c r="AI38" s="477"/>
      <c r="AJ38" s="477"/>
      <c r="AK38" s="477"/>
      <c r="AL38" s="477"/>
      <c r="AM38" s="477"/>
      <c r="AN38" s="477"/>
      <c r="AO38" s="477"/>
      <c r="AP38" s="477"/>
      <c r="AQ38" s="477"/>
      <c r="AR38" s="478"/>
      <c r="AS38" s="479"/>
      <c r="AT38" s="480"/>
      <c r="AU38" s="480"/>
      <c r="AV38" s="480"/>
      <c r="AW38" s="480"/>
      <c r="AX38" s="480"/>
      <c r="AY38" s="480"/>
      <c r="AZ38" s="480"/>
      <c r="BA38" s="480"/>
      <c r="BB38" s="480"/>
      <c r="BC38" s="480"/>
      <c r="BD38" s="481"/>
      <c r="BE38" s="482">
        <f t="shared" si="0"/>
        <v>0</v>
      </c>
      <c r="BF38" s="482">
        <f>SUM($U38:V38)</f>
        <v>0</v>
      </c>
      <c r="BG38" s="482">
        <f>SUM($U38:W38)</f>
        <v>0</v>
      </c>
      <c r="BH38" s="482">
        <f>SUM($U38:X38)</f>
        <v>0</v>
      </c>
      <c r="BI38" s="482">
        <f>SUM($U38:Y38)</f>
        <v>0</v>
      </c>
      <c r="BJ38" s="482">
        <f>SUM($U38:Z38)</f>
        <v>0</v>
      </c>
      <c r="BK38" s="482">
        <f>SUM($U38:AA38)</f>
        <v>0</v>
      </c>
      <c r="BL38" s="482">
        <f>SUM($U38:AB38)</f>
        <v>0</v>
      </c>
      <c r="BM38" s="482">
        <f>SUM($U38:AC38)</f>
        <v>0</v>
      </c>
      <c r="BN38" s="482">
        <f>SUM($U38:AD38)</f>
        <v>0</v>
      </c>
      <c r="BO38" s="482">
        <f>SUM($U38:AE38)</f>
        <v>0</v>
      </c>
      <c r="BP38" s="483">
        <f>SUM($U38:AF38)</f>
        <v>0</v>
      </c>
      <c r="BQ38" s="484">
        <f t="shared" si="1"/>
        <v>0</v>
      </c>
      <c r="BR38" s="482">
        <f>SUM($AS38:AT38)</f>
        <v>0</v>
      </c>
      <c r="BS38" s="482">
        <f>SUM($AS38:AU38)</f>
        <v>0</v>
      </c>
      <c r="BT38" s="482">
        <f>SUM($AS38:AV38)</f>
        <v>0</v>
      </c>
      <c r="BU38" s="482">
        <f>SUM($AS38:AW38)</f>
        <v>0</v>
      </c>
      <c r="BV38" s="482">
        <f>SUM($AS38:AX38)</f>
        <v>0</v>
      </c>
      <c r="BW38" s="482">
        <f>SUM($AS38:AY38)</f>
        <v>0</v>
      </c>
      <c r="BX38" s="482">
        <f>SUM($AS38:AZ38)</f>
        <v>0</v>
      </c>
      <c r="BY38" s="482">
        <f>SUM($AS38:BA38)</f>
        <v>0</v>
      </c>
      <c r="BZ38" s="482">
        <f>SUM($AS38:BB38)</f>
        <v>0</v>
      </c>
      <c r="CA38" s="482">
        <f>SUM($AS38:BC38)</f>
        <v>0</v>
      </c>
      <c r="CB38" s="483">
        <f>SUM($AS38:BD38)</f>
        <v>0</v>
      </c>
    </row>
    <row r="39" spans="1:80" s="471" customFormat="1" hidden="1">
      <c r="A39" s="471">
        <f t="shared" si="2"/>
        <v>30</v>
      </c>
      <c r="B39" s="628"/>
      <c r="C39" s="533"/>
      <c r="D39" s="533"/>
      <c r="E39" s="427"/>
      <c r="F39" s="586"/>
      <c r="G39" s="629"/>
      <c r="H39" s="582">
        <f t="shared" si="4"/>
        <v>32</v>
      </c>
      <c r="I39" s="524">
        <v>0</v>
      </c>
      <c r="J39" s="473">
        <v>0</v>
      </c>
      <c r="K39" s="473">
        <v>0</v>
      </c>
      <c r="L39" s="473"/>
      <c r="M39" s="473"/>
      <c r="N39" s="473"/>
      <c r="O39" s="473"/>
      <c r="P39" s="473"/>
      <c r="Q39" s="473"/>
      <c r="R39" s="473"/>
      <c r="S39" s="473"/>
      <c r="T39" s="474"/>
      <c r="U39" s="475">
        <v>0</v>
      </c>
      <c r="V39" s="473">
        <v>0</v>
      </c>
      <c r="W39" s="473">
        <v>0</v>
      </c>
      <c r="X39" s="473"/>
      <c r="Y39" s="473"/>
      <c r="Z39" s="473"/>
      <c r="AA39" s="473"/>
      <c r="AB39" s="473"/>
      <c r="AC39" s="473"/>
      <c r="AD39" s="473"/>
      <c r="AE39" s="473"/>
      <c r="AF39" s="473"/>
      <c r="AG39" s="485"/>
      <c r="AH39" s="486"/>
      <c r="AI39" s="486"/>
      <c r="AJ39" s="486"/>
      <c r="AK39" s="486"/>
      <c r="AL39" s="486"/>
      <c r="AM39" s="486"/>
      <c r="AN39" s="486"/>
      <c r="AO39" s="486"/>
      <c r="AP39" s="486"/>
      <c r="AQ39" s="486"/>
      <c r="AR39" s="487"/>
      <c r="AS39" s="479"/>
      <c r="AT39" s="480"/>
      <c r="AU39" s="480"/>
      <c r="AV39" s="480"/>
      <c r="AW39" s="480"/>
      <c r="AX39" s="480"/>
      <c r="AY39" s="480"/>
      <c r="AZ39" s="480"/>
      <c r="BA39" s="480"/>
      <c r="BB39" s="480"/>
      <c r="BC39" s="480"/>
      <c r="BD39" s="481"/>
      <c r="BE39" s="482">
        <f t="shared" si="0"/>
        <v>0</v>
      </c>
      <c r="BF39" s="482">
        <f>SUM($U39:V39)</f>
        <v>0</v>
      </c>
      <c r="BG39" s="482">
        <f>SUM($U39:W39)</f>
        <v>0</v>
      </c>
      <c r="BH39" s="482">
        <f>SUM($U39:X39)</f>
        <v>0</v>
      </c>
      <c r="BI39" s="482">
        <f>SUM($U39:Y39)</f>
        <v>0</v>
      </c>
      <c r="BJ39" s="482">
        <f>SUM($U39:Z39)</f>
        <v>0</v>
      </c>
      <c r="BK39" s="482">
        <f>SUM($U39:AA39)</f>
        <v>0</v>
      </c>
      <c r="BL39" s="482">
        <f>SUM($U39:AB39)</f>
        <v>0</v>
      </c>
      <c r="BM39" s="482">
        <f>SUM($U39:AC39)</f>
        <v>0</v>
      </c>
      <c r="BN39" s="482">
        <f>SUM($U39:AD39)</f>
        <v>0</v>
      </c>
      <c r="BO39" s="482">
        <f>SUM($U39:AE39)</f>
        <v>0</v>
      </c>
      <c r="BP39" s="483">
        <f>SUM($U39:AF39)</f>
        <v>0</v>
      </c>
      <c r="BQ39" s="484">
        <f t="shared" si="1"/>
        <v>0</v>
      </c>
      <c r="BR39" s="482">
        <f>SUM($AS39:AT39)</f>
        <v>0</v>
      </c>
      <c r="BS39" s="482">
        <f>SUM($AS39:AU39)</f>
        <v>0</v>
      </c>
      <c r="BT39" s="482">
        <f>SUM($AS39:AV39)</f>
        <v>0</v>
      </c>
      <c r="BU39" s="482">
        <f>SUM($AS39:AW39)</f>
        <v>0</v>
      </c>
      <c r="BV39" s="482">
        <f>SUM($AS39:AX39)</f>
        <v>0</v>
      </c>
      <c r="BW39" s="482">
        <f>SUM($AS39:AY39)</f>
        <v>0</v>
      </c>
      <c r="BX39" s="482">
        <f>SUM($AS39:AZ39)</f>
        <v>0</v>
      </c>
      <c r="BY39" s="482">
        <f>SUM($AS39:BA39)</f>
        <v>0</v>
      </c>
      <c r="BZ39" s="482">
        <f>SUM($AS39:BB39)</f>
        <v>0</v>
      </c>
      <c r="CA39" s="482">
        <f>SUM($AS39:BC39)</f>
        <v>0</v>
      </c>
      <c r="CB39" s="483">
        <f>SUM($AS39:BD39)</f>
        <v>0</v>
      </c>
    </row>
    <row r="40" spans="1:80" s="471" customFormat="1" hidden="1">
      <c r="A40" s="471">
        <f t="shared" si="2"/>
        <v>31</v>
      </c>
      <c r="B40" s="628"/>
      <c r="C40" s="533"/>
      <c r="D40" s="533"/>
      <c r="E40" s="427"/>
      <c r="F40" s="586"/>
      <c r="G40" s="629"/>
      <c r="H40" s="582">
        <f t="shared" si="4"/>
        <v>33</v>
      </c>
      <c r="I40" s="524">
        <v>0</v>
      </c>
      <c r="J40" s="473">
        <v>0</v>
      </c>
      <c r="K40" s="473">
        <v>0</v>
      </c>
      <c r="L40" s="473"/>
      <c r="M40" s="473"/>
      <c r="N40" s="473"/>
      <c r="O40" s="473"/>
      <c r="P40" s="473"/>
      <c r="Q40" s="473"/>
      <c r="R40" s="473"/>
      <c r="S40" s="473"/>
      <c r="T40" s="474"/>
      <c r="U40" s="475">
        <v>0</v>
      </c>
      <c r="V40" s="473">
        <v>0</v>
      </c>
      <c r="W40" s="473">
        <v>0</v>
      </c>
      <c r="X40" s="473"/>
      <c r="Y40" s="473"/>
      <c r="Z40" s="473"/>
      <c r="AA40" s="473"/>
      <c r="AB40" s="473"/>
      <c r="AC40" s="473"/>
      <c r="AD40" s="473"/>
      <c r="AE40" s="473"/>
      <c r="AF40" s="473"/>
      <c r="AG40" s="476"/>
      <c r="AH40" s="477"/>
      <c r="AI40" s="477"/>
      <c r="AJ40" s="477"/>
      <c r="AK40" s="477"/>
      <c r="AL40" s="477"/>
      <c r="AM40" s="477"/>
      <c r="AN40" s="477"/>
      <c r="AO40" s="477"/>
      <c r="AP40" s="477"/>
      <c r="AQ40" s="477"/>
      <c r="AR40" s="478"/>
      <c r="AS40" s="479"/>
      <c r="AT40" s="480"/>
      <c r="AU40" s="480"/>
      <c r="AV40" s="480"/>
      <c r="AW40" s="480"/>
      <c r="AX40" s="480"/>
      <c r="AY40" s="480"/>
      <c r="AZ40" s="480"/>
      <c r="BA40" s="480"/>
      <c r="BB40" s="480"/>
      <c r="BC40" s="480"/>
      <c r="BD40" s="481"/>
      <c r="BE40" s="482">
        <f t="shared" si="0"/>
        <v>0</v>
      </c>
      <c r="BF40" s="482">
        <f>SUM($U40:V40)</f>
        <v>0</v>
      </c>
      <c r="BG40" s="482">
        <f>SUM($U40:W40)</f>
        <v>0</v>
      </c>
      <c r="BH40" s="482">
        <f>SUM($U40:X40)</f>
        <v>0</v>
      </c>
      <c r="BI40" s="482">
        <f>SUM($U40:Y40)</f>
        <v>0</v>
      </c>
      <c r="BJ40" s="482">
        <f>SUM($U40:Z40)</f>
        <v>0</v>
      </c>
      <c r="BK40" s="482">
        <f>SUM($U40:AA40)</f>
        <v>0</v>
      </c>
      <c r="BL40" s="482">
        <f>SUM($U40:AB40)</f>
        <v>0</v>
      </c>
      <c r="BM40" s="482">
        <f>SUM($U40:AC40)</f>
        <v>0</v>
      </c>
      <c r="BN40" s="482">
        <f>SUM($U40:AD40)</f>
        <v>0</v>
      </c>
      <c r="BO40" s="482">
        <f>SUM($U40:AE40)</f>
        <v>0</v>
      </c>
      <c r="BP40" s="483">
        <f>SUM($U40:AF40)</f>
        <v>0</v>
      </c>
      <c r="BQ40" s="484">
        <f t="shared" si="1"/>
        <v>0</v>
      </c>
      <c r="BR40" s="482">
        <f>SUM($AS40:AT40)</f>
        <v>0</v>
      </c>
      <c r="BS40" s="482">
        <f>SUM($AS40:AU40)</f>
        <v>0</v>
      </c>
      <c r="BT40" s="482">
        <f>SUM($AS40:AV40)</f>
        <v>0</v>
      </c>
      <c r="BU40" s="482">
        <f>SUM($AS40:AW40)</f>
        <v>0</v>
      </c>
      <c r="BV40" s="482">
        <f>SUM($AS40:AX40)</f>
        <v>0</v>
      </c>
      <c r="BW40" s="482">
        <f>SUM($AS40:AY40)</f>
        <v>0</v>
      </c>
      <c r="BX40" s="482">
        <f>SUM($AS40:AZ40)</f>
        <v>0</v>
      </c>
      <c r="BY40" s="482">
        <f>SUM($AS40:BA40)</f>
        <v>0</v>
      </c>
      <c r="BZ40" s="482">
        <f>SUM($AS40:BB40)</f>
        <v>0</v>
      </c>
      <c r="CA40" s="482">
        <f>SUM($AS40:BC40)</f>
        <v>0</v>
      </c>
      <c r="CB40" s="483">
        <f>SUM($AS40:BD40)</f>
        <v>0</v>
      </c>
    </row>
    <row r="41" spans="1:80" s="471" customFormat="1" ht="12.75" hidden="1" customHeight="1">
      <c r="A41" s="471">
        <f t="shared" si="2"/>
        <v>32</v>
      </c>
      <c r="B41" s="628"/>
      <c r="C41" s="533"/>
      <c r="D41" s="533"/>
      <c r="E41" s="427"/>
      <c r="F41" s="586"/>
      <c r="G41" s="629"/>
      <c r="H41" s="582">
        <f t="shared" si="4"/>
        <v>34</v>
      </c>
      <c r="I41" s="524"/>
      <c r="J41" s="473"/>
      <c r="K41" s="473"/>
      <c r="L41" s="473"/>
      <c r="M41" s="473"/>
      <c r="N41" s="473"/>
      <c r="O41" s="473"/>
      <c r="P41" s="473"/>
      <c r="Q41" s="473"/>
      <c r="R41" s="473"/>
      <c r="S41" s="473"/>
      <c r="T41" s="474"/>
      <c r="U41" s="475"/>
      <c r="V41" s="473"/>
      <c r="W41" s="473"/>
      <c r="X41" s="473"/>
      <c r="Y41" s="473"/>
      <c r="Z41" s="473"/>
      <c r="AA41" s="473"/>
      <c r="AB41" s="473"/>
      <c r="AC41" s="473"/>
      <c r="AD41" s="473"/>
      <c r="AE41" s="473"/>
      <c r="AF41" s="473"/>
      <c r="AG41" s="476"/>
      <c r="AH41" s="477"/>
      <c r="AI41" s="477"/>
      <c r="AJ41" s="477"/>
      <c r="AK41" s="477"/>
      <c r="AL41" s="477"/>
      <c r="AM41" s="477"/>
      <c r="AN41" s="477"/>
      <c r="AO41" s="477"/>
      <c r="AP41" s="477"/>
      <c r="AQ41" s="477"/>
      <c r="AR41" s="478"/>
      <c r="AS41" s="479"/>
      <c r="AT41" s="480"/>
      <c r="AU41" s="480"/>
      <c r="AV41" s="480"/>
      <c r="AW41" s="480"/>
      <c r="AX41" s="480"/>
      <c r="AY41" s="480"/>
      <c r="AZ41" s="480"/>
      <c r="BA41" s="480"/>
      <c r="BB41" s="480"/>
      <c r="BC41" s="480"/>
      <c r="BD41" s="481"/>
      <c r="BE41" s="482">
        <f t="shared" si="0"/>
        <v>0</v>
      </c>
      <c r="BF41" s="482">
        <f>SUM($U41:V41)</f>
        <v>0</v>
      </c>
      <c r="BG41" s="482">
        <f>SUM($U41:W41)</f>
        <v>0</v>
      </c>
      <c r="BH41" s="482">
        <f>SUM($U41:X41)</f>
        <v>0</v>
      </c>
      <c r="BI41" s="482">
        <f>SUM($U41:Y41)</f>
        <v>0</v>
      </c>
      <c r="BJ41" s="482">
        <f>SUM($U41:Z41)</f>
        <v>0</v>
      </c>
      <c r="BK41" s="482">
        <f>SUM($U41:AA41)</f>
        <v>0</v>
      </c>
      <c r="BL41" s="482">
        <f>SUM($U41:AB41)</f>
        <v>0</v>
      </c>
      <c r="BM41" s="482">
        <f>SUM($U41:AC41)</f>
        <v>0</v>
      </c>
      <c r="BN41" s="482">
        <f>SUM($U41:AD41)</f>
        <v>0</v>
      </c>
      <c r="BO41" s="482">
        <f>SUM($U41:AE41)</f>
        <v>0</v>
      </c>
      <c r="BP41" s="483">
        <f>SUM($U41:AF41)</f>
        <v>0</v>
      </c>
      <c r="BQ41" s="484">
        <f t="shared" si="1"/>
        <v>0</v>
      </c>
      <c r="BR41" s="482">
        <f>SUM($AS41:AT41)</f>
        <v>0</v>
      </c>
      <c r="BS41" s="482">
        <f>SUM($AS41:AU41)</f>
        <v>0</v>
      </c>
      <c r="BT41" s="482">
        <f>SUM($AS41:AV41)</f>
        <v>0</v>
      </c>
      <c r="BU41" s="482">
        <f>SUM($AS41:AW41)</f>
        <v>0</v>
      </c>
      <c r="BV41" s="482">
        <f>SUM($AS41:AX41)</f>
        <v>0</v>
      </c>
      <c r="BW41" s="482">
        <f>SUM($AS41:AY41)</f>
        <v>0</v>
      </c>
      <c r="BX41" s="482">
        <f>SUM($AS41:AZ41)</f>
        <v>0</v>
      </c>
      <c r="BY41" s="482">
        <f>SUM($AS41:BA41)</f>
        <v>0</v>
      </c>
      <c r="BZ41" s="482">
        <f>SUM($AS41:BB41)</f>
        <v>0</v>
      </c>
      <c r="CA41" s="482">
        <f>SUM($AS41:BC41)</f>
        <v>0</v>
      </c>
      <c r="CB41" s="483">
        <f>SUM($AS41:BD41)</f>
        <v>0</v>
      </c>
    </row>
    <row r="42" spans="1:80" s="471" customFormat="1" ht="12.75" hidden="1" customHeight="1">
      <c r="A42" s="471">
        <f t="shared" si="2"/>
        <v>33</v>
      </c>
      <c r="B42" s="628"/>
      <c r="C42" s="533"/>
      <c r="D42" s="533"/>
      <c r="E42" s="427"/>
      <c r="F42" s="586"/>
      <c r="G42" s="629"/>
      <c r="H42" s="582">
        <f t="shared" si="4"/>
        <v>35</v>
      </c>
      <c r="I42" s="524"/>
      <c r="J42" s="473"/>
      <c r="K42" s="473"/>
      <c r="L42" s="473"/>
      <c r="M42" s="473"/>
      <c r="N42" s="473"/>
      <c r="O42" s="473"/>
      <c r="P42" s="473"/>
      <c r="Q42" s="473"/>
      <c r="R42" s="473"/>
      <c r="S42" s="473"/>
      <c r="T42" s="474"/>
      <c r="U42" s="475"/>
      <c r="V42" s="473"/>
      <c r="W42" s="473"/>
      <c r="X42" s="473"/>
      <c r="Y42" s="473"/>
      <c r="Z42" s="473"/>
      <c r="AA42" s="473"/>
      <c r="AB42" s="473"/>
      <c r="AC42" s="473"/>
      <c r="AD42" s="473"/>
      <c r="AE42" s="473"/>
      <c r="AF42" s="473"/>
      <c r="AG42" s="476"/>
      <c r="AH42" s="477"/>
      <c r="AI42" s="477"/>
      <c r="AJ42" s="477"/>
      <c r="AK42" s="477"/>
      <c r="AL42" s="477"/>
      <c r="AM42" s="477"/>
      <c r="AN42" s="477"/>
      <c r="AO42" s="477"/>
      <c r="AP42" s="477"/>
      <c r="AQ42" s="477"/>
      <c r="AR42" s="478"/>
      <c r="AS42" s="479"/>
      <c r="AT42" s="480"/>
      <c r="AU42" s="480"/>
      <c r="AV42" s="480"/>
      <c r="AW42" s="480"/>
      <c r="AX42" s="480"/>
      <c r="AY42" s="480"/>
      <c r="AZ42" s="480"/>
      <c r="BA42" s="480"/>
      <c r="BB42" s="480"/>
      <c r="BC42" s="480"/>
      <c r="BD42" s="481"/>
      <c r="BE42" s="482">
        <f t="shared" ref="BE42:BE73" si="5">(U42)</f>
        <v>0</v>
      </c>
      <c r="BF42" s="482">
        <f>SUM($U42:V42)</f>
        <v>0</v>
      </c>
      <c r="BG42" s="482">
        <f>SUM($U42:W42)</f>
        <v>0</v>
      </c>
      <c r="BH42" s="482">
        <f>SUM($U42:X42)</f>
        <v>0</v>
      </c>
      <c r="BI42" s="482">
        <f>SUM($U42:Y42)</f>
        <v>0</v>
      </c>
      <c r="BJ42" s="482">
        <f>SUM($U42:Z42)</f>
        <v>0</v>
      </c>
      <c r="BK42" s="482">
        <f>SUM($U42:AA42)</f>
        <v>0</v>
      </c>
      <c r="BL42" s="482">
        <f>SUM($U42:AB42)</f>
        <v>0</v>
      </c>
      <c r="BM42" s="482">
        <f>SUM($U42:AC42)</f>
        <v>0</v>
      </c>
      <c r="BN42" s="482">
        <f>SUM($U42:AD42)</f>
        <v>0</v>
      </c>
      <c r="BO42" s="482">
        <f>SUM($U42:AE42)</f>
        <v>0</v>
      </c>
      <c r="BP42" s="483">
        <f>SUM($U42:AF42)</f>
        <v>0</v>
      </c>
      <c r="BQ42" s="484">
        <f t="shared" ref="BQ42:BQ73" si="6">(AS42)</f>
        <v>0</v>
      </c>
      <c r="BR42" s="482">
        <f>SUM($AS42:AT42)</f>
        <v>0</v>
      </c>
      <c r="BS42" s="482">
        <f>SUM($AS42:AU42)</f>
        <v>0</v>
      </c>
      <c r="BT42" s="482">
        <f>SUM($AS42:AV42)</f>
        <v>0</v>
      </c>
      <c r="BU42" s="482">
        <f>SUM($AS42:AW42)</f>
        <v>0</v>
      </c>
      <c r="BV42" s="482">
        <f>SUM($AS42:AX42)</f>
        <v>0</v>
      </c>
      <c r="BW42" s="482">
        <f>SUM($AS42:AY42)</f>
        <v>0</v>
      </c>
      <c r="BX42" s="482">
        <f>SUM($AS42:AZ42)</f>
        <v>0</v>
      </c>
      <c r="BY42" s="482">
        <f>SUM($AS42:BA42)</f>
        <v>0</v>
      </c>
      <c r="BZ42" s="482">
        <f>SUM($AS42:BB42)</f>
        <v>0</v>
      </c>
      <c r="CA42" s="482">
        <f>SUM($AS42:BC42)</f>
        <v>0</v>
      </c>
      <c r="CB42" s="483">
        <f>SUM($AS42:BD42)</f>
        <v>0</v>
      </c>
    </row>
    <row r="43" spans="1:80" s="471" customFormat="1" ht="12.75" hidden="1" customHeight="1">
      <c r="A43" s="471">
        <f t="shared" si="2"/>
        <v>34</v>
      </c>
      <c r="B43" s="628"/>
      <c r="C43" s="533"/>
      <c r="D43" s="533"/>
      <c r="E43" s="427"/>
      <c r="F43" s="586"/>
      <c r="G43" s="629"/>
      <c r="H43" s="582">
        <f t="shared" si="4"/>
        <v>36</v>
      </c>
      <c r="I43" s="524"/>
      <c r="J43" s="473"/>
      <c r="K43" s="473"/>
      <c r="L43" s="473"/>
      <c r="M43" s="473"/>
      <c r="N43" s="473"/>
      <c r="O43" s="473"/>
      <c r="P43" s="473"/>
      <c r="Q43" s="473"/>
      <c r="R43" s="473"/>
      <c r="S43" s="473"/>
      <c r="T43" s="474"/>
      <c r="U43" s="475"/>
      <c r="V43" s="473"/>
      <c r="W43" s="473"/>
      <c r="X43" s="473"/>
      <c r="Y43" s="473"/>
      <c r="Z43" s="473"/>
      <c r="AA43" s="473"/>
      <c r="AB43" s="473"/>
      <c r="AC43" s="473"/>
      <c r="AD43" s="473"/>
      <c r="AE43" s="473"/>
      <c r="AF43" s="473"/>
      <c r="AG43" s="476"/>
      <c r="AH43" s="477"/>
      <c r="AI43" s="477"/>
      <c r="AJ43" s="477"/>
      <c r="AK43" s="477"/>
      <c r="AL43" s="477"/>
      <c r="AM43" s="477"/>
      <c r="AN43" s="477"/>
      <c r="AO43" s="477"/>
      <c r="AP43" s="477"/>
      <c r="AQ43" s="477"/>
      <c r="AR43" s="478"/>
      <c r="AS43" s="479"/>
      <c r="AT43" s="480"/>
      <c r="AU43" s="480"/>
      <c r="AV43" s="480"/>
      <c r="AW43" s="480"/>
      <c r="AX43" s="480"/>
      <c r="AY43" s="480"/>
      <c r="AZ43" s="480"/>
      <c r="BA43" s="480"/>
      <c r="BB43" s="480"/>
      <c r="BC43" s="480"/>
      <c r="BD43" s="481"/>
      <c r="BE43" s="482">
        <f t="shared" si="5"/>
        <v>0</v>
      </c>
      <c r="BF43" s="482">
        <f>SUM($U43:V43)</f>
        <v>0</v>
      </c>
      <c r="BG43" s="482">
        <f>SUM($U43:W43)</f>
        <v>0</v>
      </c>
      <c r="BH43" s="482">
        <f>SUM($U43:X43)</f>
        <v>0</v>
      </c>
      <c r="BI43" s="482">
        <f>SUM($U43:Y43)</f>
        <v>0</v>
      </c>
      <c r="BJ43" s="482">
        <f>SUM($U43:Z43)</f>
        <v>0</v>
      </c>
      <c r="BK43" s="482">
        <f>SUM($U43:AA43)</f>
        <v>0</v>
      </c>
      <c r="BL43" s="482">
        <f>SUM($U43:AB43)</f>
        <v>0</v>
      </c>
      <c r="BM43" s="482">
        <f>SUM($U43:AC43)</f>
        <v>0</v>
      </c>
      <c r="BN43" s="482">
        <f>SUM($U43:AD43)</f>
        <v>0</v>
      </c>
      <c r="BO43" s="482">
        <f>SUM($U43:AE43)</f>
        <v>0</v>
      </c>
      <c r="BP43" s="483">
        <f>SUM($U43:AF43)</f>
        <v>0</v>
      </c>
      <c r="BQ43" s="484">
        <f t="shared" si="6"/>
        <v>0</v>
      </c>
      <c r="BR43" s="482">
        <f>SUM($AS43:AT43)</f>
        <v>0</v>
      </c>
      <c r="BS43" s="482">
        <f>SUM($AS43:AU43)</f>
        <v>0</v>
      </c>
      <c r="BT43" s="482">
        <f>SUM($AS43:AV43)</f>
        <v>0</v>
      </c>
      <c r="BU43" s="482">
        <f>SUM($AS43:AW43)</f>
        <v>0</v>
      </c>
      <c r="BV43" s="482">
        <f>SUM($AS43:AX43)</f>
        <v>0</v>
      </c>
      <c r="BW43" s="482">
        <f>SUM($AS43:AY43)</f>
        <v>0</v>
      </c>
      <c r="BX43" s="482">
        <f>SUM($AS43:AZ43)</f>
        <v>0</v>
      </c>
      <c r="BY43" s="482">
        <f>SUM($AS43:BA43)</f>
        <v>0</v>
      </c>
      <c r="BZ43" s="482">
        <f>SUM($AS43:BB43)</f>
        <v>0</v>
      </c>
      <c r="CA43" s="482">
        <f>SUM($AS43:BC43)</f>
        <v>0</v>
      </c>
      <c r="CB43" s="483">
        <f>SUM($AS43:BD43)</f>
        <v>0</v>
      </c>
    </row>
    <row r="44" spans="1:80" s="471" customFormat="1" ht="12.75" hidden="1" customHeight="1">
      <c r="A44" s="471">
        <f t="shared" si="2"/>
        <v>35</v>
      </c>
      <c r="B44" s="628"/>
      <c r="C44" s="533"/>
      <c r="D44" s="533"/>
      <c r="E44" s="427"/>
      <c r="F44" s="586"/>
      <c r="G44" s="629"/>
      <c r="H44" s="582">
        <f t="shared" si="4"/>
        <v>37</v>
      </c>
      <c r="I44" s="524"/>
      <c r="J44" s="473"/>
      <c r="K44" s="473"/>
      <c r="L44" s="473"/>
      <c r="M44" s="473"/>
      <c r="N44" s="473"/>
      <c r="O44" s="473"/>
      <c r="P44" s="473"/>
      <c r="Q44" s="473"/>
      <c r="R44" s="473"/>
      <c r="S44" s="473"/>
      <c r="T44" s="474"/>
      <c r="U44" s="475"/>
      <c r="V44" s="473"/>
      <c r="W44" s="473"/>
      <c r="X44" s="473"/>
      <c r="Y44" s="473"/>
      <c r="Z44" s="473"/>
      <c r="AA44" s="473"/>
      <c r="AB44" s="473"/>
      <c r="AC44" s="473"/>
      <c r="AD44" s="473"/>
      <c r="AE44" s="473"/>
      <c r="AF44" s="473"/>
      <c r="AG44" s="476"/>
      <c r="AH44" s="477"/>
      <c r="AI44" s="477"/>
      <c r="AJ44" s="477"/>
      <c r="AK44" s="477"/>
      <c r="AL44" s="477"/>
      <c r="AM44" s="477"/>
      <c r="AN44" s="477"/>
      <c r="AO44" s="477"/>
      <c r="AP44" s="477"/>
      <c r="AQ44" s="477"/>
      <c r="AR44" s="478"/>
      <c r="AS44" s="479"/>
      <c r="AT44" s="480"/>
      <c r="AU44" s="480"/>
      <c r="AV44" s="480"/>
      <c r="AW44" s="480"/>
      <c r="AX44" s="480"/>
      <c r="AY44" s="480"/>
      <c r="AZ44" s="480"/>
      <c r="BA44" s="480"/>
      <c r="BB44" s="480"/>
      <c r="BC44" s="480"/>
      <c r="BD44" s="481"/>
      <c r="BE44" s="482">
        <f t="shared" si="5"/>
        <v>0</v>
      </c>
      <c r="BF44" s="482">
        <f>SUM($U44:V44)</f>
        <v>0</v>
      </c>
      <c r="BG44" s="482">
        <f>SUM($U44:W44)</f>
        <v>0</v>
      </c>
      <c r="BH44" s="482">
        <f>SUM($U44:X44)</f>
        <v>0</v>
      </c>
      <c r="BI44" s="482">
        <f>SUM($U44:Y44)</f>
        <v>0</v>
      </c>
      <c r="BJ44" s="482">
        <f>SUM($U44:Z44)</f>
        <v>0</v>
      </c>
      <c r="BK44" s="482">
        <f>SUM($U44:AA44)</f>
        <v>0</v>
      </c>
      <c r="BL44" s="482">
        <f>SUM($U44:AB44)</f>
        <v>0</v>
      </c>
      <c r="BM44" s="482">
        <f>SUM($U44:AC44)</f>
        <v>0</v>
      </c>
      <c r="BN44" s="482">
        <f>SUM($U44:AD44)</f>
        <v>0</v>
      </c>
      <c r="BO44" s="482">
        <f>SUM($U44:AE44)</f>
        <v>0</v>
      </c>
      <c r="BP44" s="483">
        <f>SUM($U44:AF44)</f>
        <v>0</v>
      </c>
      <c r="BQ44" s="484">
        <f t="shared" si="6"/>
        <v>0</v>
      </c>
      <c r="BR44" s="482">
        <f>SUM($AS44:AT44)</f>
        <v>0</v>
      </c>
      <c r="BS44" s="482">
        <f>SUM($AS44:AU44)</f>
        <v>0</v>
      </c>
      <c r="BT44" s="482">
        <f>SUM($AS44:AV44)</f>
        <v>0</v>
      </c>
      <c r="BU44" s="482">
        <f>SUM($AS44:AW44)</f>
        <v>0</v>
      </c>
      <c r="BV44" s="482">
        <f>SUM($AS44:AX44)</f>
        <v>0</v>
      </c>
      <c r="BW44" s="482">
        <f>SUM($AS44:AY44)</f>
        <v>0</v>
      </c>
      <c r="BX44" s="482">
        <f>SUM($AS44:AZ44)</f>
        <v>0</v>
      </c>
      <c r="BY44" s="482">
        <f>SUM($AS44:BA44)</f>
        <v>0</v>
      </c>
      <c r="BZ44" s="482">
        <f>SUM($AS44:BB44)</f>
        <v>0</v>
      </c>
      <c r="CA44" s="482">
        <f>SUM($AS44:BC44)</f>
        <v>0</v>
      </c>
      <c r="CB44" s="483">
        <f>SUM($AS44:BD44)</f>
        <v>0</v>
      </c>
    </row>
    <row r="45" spans="1:80" s="471" customFormat="1" ht="12.75" hidden="1" customHeight="1">
      <c r="A45" s="471">
        <f t="shared" si="2"/>
        <v>36</v>
      </c>
      <c r="B45" s="628"/>
      <c r="C45" s="533"/>
      <c r="D45" s="533"/>
      <c r="E45" s="427"/>
      <c r="F45" s="586"/>
      <c r="G45" s="629"/>
      <c r="H45" s="582">
        <f t="shared" si="4"/>
        <v>38</v>
      </c>
      <c r="I45" s="524"/>
      <c r="J45" s="473"/>
      <c r="K45" s="473"/>
      <c r="L45" s="473"/>
      <c r="M45" s="473"/>
      <c r="N45" s="473"/>
      <c r="O45" s="473"/>
      <c r="P45" s="473"/>
      <c r="Q45" s="473"/>
      <c r="R45" s="473"/>
      <c r="S45" s="473"/>
      <c r="T45" s="474"/>
      <c r="U45" s="475"/>
      <c r="V45" s="473"/>
      <c r="W45" s="473"/>
      <c r="X45" s="473"/>
      <c r="Y45" s="473"/>
      <c r="Z45" s="473"/>
      <c r="AA45" s="473"/>
      <c r="AB45" s="473"/>
      <c r="AC45" s="473"/>
      <c r="AD45" s="473"/>
      <c r="AE45" s="473"/>
      <c r="AF45" s="473"/>
      <c r="AG45" s="476"/>
      <c r="AH45" s="477"/>
      <c r="AI45" s="477"/>
      <c r="AJ45" s="477"/>
      <c r="AK45" s="477"/>
      <c r="AL45" s="477"/>
      <c r="AM45" s="477"/>
      <c r="AN45" s="477"/>
      <c r="AO45" s="477"/>
      <c r="AP45" s="477"/>
      <c r="AQ45" s="477"/>
      <c r="AR45" s="478"/>
      <c r="AS45" s="479"/>
      <c r="AT45" s="480"/>
      <c r="AU45" s="480"/>
      <c r="AV45" s="480"/>
      <c r="AW45" s="480"/>
      <c r="AX45" s="480"/>
      <c r="AY45" s="480"/>
      <c r="AZ45" s="480"/>
      <c r="BA45" s="480"/>
      <c r="BB45" s="480"/>
      <c r="BC45" s="480"/>
      <c r="BD45" s="481"/>
      <c r="BE45" s="482">
        <f t="shared" si="5"/>
        <v>0</v>
      </c>
      <c r="BF45" s="482">
        <f>SUM($U45:V45)</f>
        <v>0</v>
      </c>
      <c r="BG45" s="482">
        <f>SUM($U45:W45)</f>
        <v>0</v>
      </c>
      <c r="BH45" s="482">
        <f>SUM($U45:X45)</f>
        <v>0</v>
      </c>
      <c r="BI45" s="482">
        <f>SUM($U45:Y45)</f>
        <v>0</v>
      </c>
      <c r="BJ45" s="482">
        <f>SUM($U45:Z45)</f>
        <v>0</v>
      </c>
      <c r="BK45" s="482">
        <f>SUM($U45:AA45)</f>
        <v>0</v>
      </c>
      <c r="BL45" s="482">
        <f>SUM($U45:AB45)</f>
        <v>0</v>
      </c>
      <c r="BM45" s="482">
        <f>SUM($U45:AC45)</f>
        <v>0</v>
      </c>
      <c r="BN45" s="482">
        <f>SUM($U45:AD45)</f>
        <v>0</v>
      </c>
      <c r="BO45" s="482">
        <f>SUM($U45:AE45)</f>
        <v>0</v>
      </c>
      <c r="BP45" s="483">
        <f>SUM($U45:AF45)</f>
        <v>0</v>
      </c>
      <c r="BQ45" s="484">
        <f t="shared" si="6"/>
        <v>0</v>
      </c>
      <c r="BR45" s="482">
        <f>SUM($AS45:AT45)</f>
        <v>0</v>
      </c>
      <c r="BS45" s="482">
        <f>SUM($AS45:AU45)</f>
        <v>0</v>
      </c>
      <c r="BT45" s="482">
        <f>SUM($AS45:AV45)</f>
        <v>0</v>
      </c>
      <c r="BU45" s="482">
        <f>SUM($AS45:AW45)</f>
        <v>0</v>
      </c>
      <c r="BV45" s="482">
        <f>SUM($AS45:AX45)</f>
        <v>0</v>
      </c>
      <c r="BW45" s="482">
        <f>SUM($AS45:AY45)</f>
        <v>0</v>
      </c>
      <c r="BX45" s="482">
        <f>SUM($AS45:AZ45)</f>
        <v>0</v>
      </c>
      <c r="BY45" s="482">
        <f>SUM($AS45:BA45)</f>
        <v>0</v>
      </c>
      <c r="BZ45" s="482">
        <f>SUM($AS45:BB45)</f>
        <v>0</v>
      </c>
      <c r="CA45" s="482">
        <f>SUM($AS45:BC45)</f>
        <v>0</v>
      </c>
      <c r="CB45" s="483">
        <f>SUM($AS45:BD45)</f>
        <v>0</v>
      </c>
    </row>
    <row r="46" spans="1:80" s="471" customFormat="1" ht="12.75" hidden="1" customHeight="1">
      <c r="A46" s="471">
        <f t="shared" si="2"/>
        <v>37</v>
      </c>
      <c r="B46" s="628"/>
      <c r="C46" s="533"/>
      <c r="D46" s="533"/>
      <c r="E46" s="427"/>
      <c r="F46" s="586"/>
      <c r="G46" s="629"/>
      <c r="H46" s="582">
        <f t="shared" si="4"/>
        <v>39</v>
      </c>
      <c r="I46" s="524"/>
      <c r="J46" s="473"/>
      <c r="K46" s="473"/>
      <c r="L46" s="473"/>
      <c r="M46" s="473"/>
      <c r="N46" s="473"/>
      <c r="O46" s="473"/>
      <c r="P46" s="473"/>
      <c r="Q46" s="473"/>
      <c r="R46" s="473"/>
      <c r="S46" s="473"/>
      <c r="T46" s="474"/>
      <c r="U46" s="475"/>
      <c r="V46" s="473"/>
      <c r="W46" s="473"/>
      <c r="X46" s="473"/>
      <c r="Y46" s="473"/>
      <c r="Z46" s="473"/>
      <c r="AA46" s="473"/>
      <c r="AB46" s="473"/>
      <c r="AC46" s="473"/>
      <c r="AD46" s="473"/>
      <c r="AE46" s="473"/>
      <c r="AF46" s="473"/>
      <c r="AG46" s="476"/>
      <c r="AH46" s="477"/>
      <c r="AI46" s="477"/>
      <c r="AJ46" s="477"/>
      <c r="AK46" s="477"/>
      <c r="AL46" s="477"/>
      <c r="AM46" s="477"/>
      <c r="AN46" s="477"/>
      <c r="AO46" s="477"/>
      <c r="AP46" s="477"/>
      <c r="AQ46" s="477"/>
      <c r="AR46" s="478"/>
      <c r="AS46" s="479"/>
      <c r="AT46" s="480"/>
      <c r="AU46" s="480"/>
      <c r="AV46" s="480"/>
      <c r="AW46" s="480"/>
      <c r="AX46" s="480"/>
      <c r="AY46" s="480"/>
      <c r="AZ46" s="480"/>
      <c r="BA46" s="480"/>
      <c r="BB46" s="480"/>
      <c r="BC46" s="480"/>
      <c r="BD46" s="481"/>
      <c r="BE46" s="482">
        <f t="shared" si="5"/>
        <v>0</v>
      </c>
      <c r="BF46" s="482">
        <f>SUM($U46:V46)</f>
        <v>0</v>
      </c>
      <c r="BG46" s="482">
        <f>SUM($U46:W46)</f>
        <v>0</v>
      </c>
      <c r="BH46" s="482">
        <f>SUM($U46:X46)</f>
        <v>0</v>
      </c>
      <c r="BI46" s="482">
        <f>SUM($U46:Y46)</f>
        <v>0</v>
      </c>
      <c r="BJ46" s="482">
        <f>SUM($U46:Z46)</f>
        <v>0</v>
      </c>
      <c r="BK46" s="482">
        <f>SUM($U46:AA46)</f>
        <v>0</v>
      </c>
      <c r="BL46" s="482">
        <f>SUM($U46:AB46)</f>
        <v>0</v>
      </c>
      <c r="BM46" s="482">
        <f>SUM($U46:AC46)</f>
        <v>0</v>
      </c>
      <c r="BN46" s="482">
        <f>SUM($U46:AD46)</f>
        <v>0</v>
      </c>
      <c r="BO46" s="482">
        <f>SUM($U46:AE46)</f>
        <v>0</v>
      </c>
      <c r="BP46" s="483">
        <f>SUM($U46:AF46)</f>
        <v>0</v>
      </c>
      <c r="BQ46" s="484">
        <f t="shared" si="6"/>
        <v>0</v>
      </c>
      <c r="BR46" s="482">
        <f>SUM($AS46:AT46)</f>
        <v>0</v>
      </c>
      <c r="BS46" s="482">
        <f>SUM($AS46:AU46)</f>
        <v>0</v>
      </c>
      <c r="BT46" s="482">
        <f>SUM($AS46:AV46)</f>
        <v>0</v>
      </c>
      <c r="BU46" s="482">
        <f>SUM($AS46:AW46)</f>
        <v>0</v>
      </c>
      <c r="BV46" s="482">
        <f>SUM($AS46:AX46)</f>
        <v>0</v>
      </c>
      <c r="BW46" s="482">
        <f>SUM($AS46:AY46)</f>
        <v>0</v>
      </c>
      <c r="BX46" s="482">
        <f>SUM($AS46:AZ46)</f>
        <v>0</v>
      </c>
      <c r="BY46" s="482">
        <f>SUM($AS46:BA46)</f>
        <v>0</v>
      </c>
      <c r="BZ46" s="482">
        <f>SUM($AS46:BB46)</f>
        <v>0</v>
      </c>
      <c r="CA46" s="482">
        <f>SUM($AS46:BC46)</f>
        <v>0</v>
      </c>
      <c r="CB46" s="483">
        <f>SUM($AS46:BD46)</f>
        <v>0</v>
      </c>
    </row>
    <row r="47" spans="1:80" s="471" customFormat="1" ht="12.75" hidden="1" customHeight="1">
      <c r="A47" s="471">
        <f t="shared" si="2"/>
        <v>38</v>
      </c>
      <c r="B47" s="628"/>
      <c r="C47" s="533"/>
      <c r="D47" s="533"/>
      <c r="E47" s="427"/>
      <c r="F47" s="586"/>
      <c r="G47" s="629"/>
      <c r="H47" s="582">
        <f t="shared" si="4"/>
        <v>40</v>
      </c>
      <c r="I47" s="524"/>
      <c r="J47" s="473"/>
      <c r="K47" s="473"/>
      <c r="L47" s="473"/>
      <c r="M47" s="473"/>
      <c r="N47" s="473"/>
      <c r="O47" s="473"/>
      <c r="P47" s="473"/>
      <c r="Q47" s="473"/>
      <c r="R47" s="473"/>
      <c r="S47" s="473"/>
      <c r="T47" s="474"/>
      <c r="U47" s="475"/>
      <c r="V47" s="473"/>
      <c r="W47" s="473"/>
      <c r="X47" s="473"/>
      <c r="Y47" s="473"/>
      <c r="Z47" s="473"/>
      <c r="AA47" s="473"/>
      <c r="AB47" s="473"/>
      <c r="AC47" s="473"/>
      <c r="AD47" s="473"/>
      <c r="AE47" s="473"/>
      <c r="AF47" s="473"/>
      <c r="AG47" s="476"/>
      <c r="AH47" s="477"/>
      <c r="AI47" s="477"/>
      <c r="AJ47" s="477"/>
      <c r="AK47" s="477"/>
      <c r="AL47" s="477"/>
      <c r="AM47" s="477"/>
      <c r="AN47" s="477"/>
      <c r="AO47" s="477"/>
      <c r="AP47" s="477"/>
      <c r="AQ47" s="477"/>
      <c r="AR47" s="478"/>
      <c r="AS47" s="479"/>
      <c r="AT47" s="480"/>
      <c r="AU47" s="480"/>
      <c r="AV47" s="480"/>
      <c r="AW47" s="480"/>
      <c r="AX47" s="480"/>
      <c r="AY47" s="480"/>
      <c r="AZ47" s="480"/>
      <c r="BA47" s="480"/>
      <c r="BB47" s="480"/>
      <c r="BC47" s="480"/>
      <c r="BD47" s="481"/>
      <c r="BE47" s="482">
        <f t="shared" si="5"/>
        <v>0</v>
      </c>
      <c r="BF47" s="482">
        <f>SUM($U47:V47)</f>
        <v>0</v>
      </c>
      <c r="BG47" s="482">
        <f>SUM($U47:W47)</f>
        <v>0</v>
      </c>
      <c r="BH47" s="482">
        <f>SUM($U47:X47)</f>
        <v>0</v>
      </c>
      <c r="BI47" s="482">
        <f>SUM($U47:Y47)</f>
        <v>0</v>
      </c>
      <c r="BJ47" s="482">
        <f>SUM($U47:Z47)</f>
        <v>0</v>
      </c>
      <c r="BK47" s="482">
        <f>SUM($U47:AA47)</f>
        <v>0</v>
      </c>
      <c r="BL47" s="482">
        <f>SUM($U47:AB47)</f>
        <v>0</v>
      </c>
      <c r="BM47" s="482">
        <f>SUM($U47:AC47)</f>
        <v>0</v>
      </c>
      <c r="BN47" s="482">
        <f>SUM($U47:AD47)</f>
        <v>0</v>
      </c>
      <c r="BO47" s="482">
        <f>SUM($U47:AE47)</f>
        <v>0</v>
      </c>
      <c r="BP47" s="483">
        <f>SUM($U47:AF47)</f>
        <v>0</v>
      </c>
      <c r="BQ47" s="484">
        <f t="shared" si="6"/>
        <v>0</v>
      </c>
      <c r="BR47" s="482">
        <f>SUM($AS47:AT47)</f>
        <v>0</v>
      </c>
      <c r="BS47" s="482">
        <f>SUM($AS47:AU47)</f>
        <v>0</v>
      </c>
      <c r="BT47" s="482">
        <f>SUM($AS47:AV47)</f>
        <v>0</v>
      </c>
      <c r="BU47" s="482">
        <f>SUM($AS47:AW47)</f>
        <v>0</v>
      </c>
      <c r="BV47" s="482">
        <f>SUM($AS47:AX47)</f>
        <v>0</v>
      </c>
      <c r="BW47" s="482">
        <f>SUM($AS47:AY47)</f>
        <v>0</v>
      </c>
      <c r="BX47" s="482">
        <f>SUM($AS47:AZ47)</f>
        <v>0</v>
      </c>
      <c r="BY47" s="482">
        <f>SUM($AS47:BA47)</f>
        <v>0</v>
      </c>
      <c r="BZ47" s="482">
        <f>SUM($AS47:BB47)</f>
        <v>0</v>
      </c>
      <c r="CA47" s="482">
        <f>SUM($AS47:BC47)</f>
        <v>0</v>
      </c>
      <c r="CB47" s="483">
        <f>SUM($AS47:BD47)</f>
        <v>0</v>
      </c>
    </row>
    <row r="48" spans="1:80" s="471" customFormat="1" ht="12.75" hidden="1" customHeight="1">
      <c r="A48" s="471">
        <f t="shared" si="2"/>
        <v>39</v>
      </c>
      <c r="B48" s="628"/>
      <c r="C48" s="533"/>
      <c r="D48" s="533"/>
      <c r="E48" s="427"/>
      <c r="F48" s="586"/>
      <c r="G48" s="629"/>
      <c r="H48" s="582">
        <f t="shared" si="4"/>
        <v>41</v>
      </c>
      <c r="I48" s="524"/>
      <c r="J48" s="473"/>
      <c r="K48" s="473"/>
      <c r="L48" s="473"/>
      <c r="M48" s="473"/>
      <c r="N48" s="473"/>
      <c r="O48" s="473"/>
      <c r="P48" s="473"/>
      <c r="Q48" s="473"/>
      <c r="R48" s="473"/>
      <c r="S48" s="473"/>
      <c r="T48" s="474"/>
      <c r="U48" s="475"/>
      <c r="V48" s="473"/>
      <c r="W48" s="473"/>
      <c r="X48" s="473"/>
      <c r="Y48" s="473"/>
      <c r="Z48" s="473"/>
      <c r="AA48" s="473"/>
      <c r="AB48" s="473"/>
      <c r="AC48" s="473"/>
      <c r="AD48" s="473"/>
      <c r="AE48" s="473"/>
      <c r="AF48" s="473"/>
      <c r="AG48" s="476"/>
      <c r="AH48" s="477"/>
      <c r="AI48" s="477"/>
      <c r="AJ48" s="477"/>
      <c r="AK48" s="477"/>
      <c r="AL48" s="477"/>
      <c r="AM48" s="477"/>
      <c r="AN48" s="477"/>
      <c r="AO48" s="477"/>
      <c r="AP48" s="477"/>
      <c r="AQ48" s="477"/>
      <c r="AR48" s="478"/>
      <c r="AS48" s="479"/>
      <c r="AT48" s="480"/>
      <c r="AU48" s="480"/>
      <c r="AV48" s="480"/>
      <c r="AW48" s="480"/>
      <c r="AX48" s="480"/>
      <c r="AY48" s="480"/>
      <c r="AZ48" s="480"/>
      <c r="BA48" s="480"/>
      <c r="BB48" s="480"/>
      <c r="BC48" s="480"/>
      <c r="BD48" s="481"/>
      <c r="BE48" s="482">
        <f t="shared" si="5"/>
        <v>0</v>
      </c>
      <c r="BF48" s="482">
        <f>SUM($U48:V48)</f>
        <v>0</v>
      </c>
      <c r="BG48" s="482">
        <f>SUM($U48:W48)</f>
        <v>0</v>
      </c>
      <c r="BH48" s="482">
        <f>SUM($U48:X48)</f>
        <v>0</v>
      </c>
      <c r="BI48" s="482">
        <f>SUM($U48:Y48)</f>
        <v>0</v>
      </c>
      <c r="BJ48" s="482">
        <f>SUM($U48:Z48)</f>
        <v>0</v>
      </c>
      <c r="BK48" s="482">
        <f>SUM($U48:AA48)</f>
        <v>0</v>
      </c>
      <c r="BL48" s="482">
        <f>SUM($U48:AB48)</f>
        <v>0</v>
      </c>
      <c r="BM48" s="482">
        <f>SUM($U48:AC48)</f>
        <v>0</v>
      </c>
      <c r="BN48" s="482">
        <f>SUM($U48:AD48)</f>
        <v>0</v>
      </c>
      <c r="BO48" s="482">
        <f>SUM($U48:AE48)</f>
        <v>0</v>
      </c>
      <c r="BP48" s="483">
        <f>SUM($U48:AF48)</f>
        <v>0</v>
      </c>
      <c r="BQ48" s="484">
        <f t="shared" si="6"/>
        <v>0</v>
      </c>
      <c r="BR48" s="482">
        <f>SUM($AS48:AT48)</f>
        <v>0</v>
      </c>
      <c r="BS48" s="482">
        <f>SUM($AS48:AU48)</f>
        <v>0</v>
      </c>
      <c r="BT48" s="482">
        <f>SUM($AS48:AV48)</f>
        <v>0</v>
      </c>
      <c r="BU48" s="482">
        <f>SUM($AS48:AW48)</f>
        <v>0</v>
      </c>
      <c r="BV48" s="482">
        <f>SUM($AS48:AX48)</f>
        <v>0</v>
      </c>
      <c r="BW48" s="482">
        <f>SUM($AS48:AY48)</f>
        <v>0</v>
      </c>
      <c r="BX48" s="482">
        <f>SUM($AS48:AZ48)</f>
        <v>0</v>
      </c>
      <c r="BY48" s="482">
        <f>SUM($AS48:BA48)</f>
        <v>0</v>
      </c>
      <c r="BZ48" s="482">
        <f>SUM($AS48:BB48)</f>
        <v>0</v>
      </c>
      <c r="CA48" s="482">
        <f>SUM($AS48:BC48)</f>
        <v>0</v>
      </c>
      <c r="CB48" s="483">
        <f>SUM($AS48:BD48)</f>
        <v>0</v>
      </c>
    </row>
    <row r="49" spans="1:80" s="471" customFormat="1" ht="12.75" hidden="1" customHeight="1">
      <c r="A49" s="471">
        <f t="shared" si="2"/>
        <v>40</v>
      </c>
      <c r="B49" s="628"/>
      <c r="C49" s="533"/>
      <c r="D49" s="533"/>
      <c r="E49" s="427"/>
      <c r="F49" s="586"/>
      <c r="G49" s="629"/>
      <c r="H49" s="582">
        <f t="shared" si="4"/>
        <v>42</v>
      </c>
      <c r="I49" s="524"/>
      <c r="J49" s="473"/>
      <c r="K49" s="473"/>
      <c r="L49" s="473"/>
      <c r="M49" s="473"/>
      <c r="N49" s="473"/>
      <c r="O49" s="473"/>
      <c r="P49" s="473"/>
      <c r="Q49" s="473"/>
      <c r="R49" s="473"/>
      <c r="S49" s="473"/>
      <c r="T49" s="474"/>
      <c r="U49" s="475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6"/>
      <c r="AH49" s="477"/>
      <c r="AI49" s="477"/>
      <c r="AJ49" s="477"/>
      <c r="AK49" s="477"/>
      <c r="AL49" s="477"/>
      <c r="AM49" s="477"/>
      <c r="AN49" s="477"/>
      <c r="AO49" s="477"/>
      <c r="AP49" s="477"/>
      <c r="AQ49" s="477"/>
      <c r="AR49" s="478"/>
      <c r="AS49" s="479"/>
      <c r="AT49" s="480"/>
      <c r="AU49" s="480"/>
      <c r="AV49" s="480"/>
      <c r="AW49" s="480"/>
      <c r="AX49" s="480"/>
      <c r="AY49" s="480"/>
      <c r="AZ49" s="480"/>
      <c r="BA49" s="480"/>
      <c r="BB49" s="480"/>
      <c r="BC49" s="480"/>
      <c r="BD49" s="481"/>
      <c r="BE49" s="482">
        <f t="shared" si="5"/>
        <v>0</v>
      </c>
      <c r="BF49" s="482">
        <f>SUM($U49:V49)</f>
        <v>0</v>
      </c>
      <c r="BG49" s="482">
        <f>SUM($U49:W49)</f>
        <v>0</v>
      </c>
      <c r="BH49" s="482">
        <f>SUM($U49:X49)</f>
        <v>0</v>
      </c>
      <c r="BI49" s="482">
        <f>SUM($U49:Y49)</f>
        <v>0</v>
      </c>
      <c r="BJ49" s="482">
        <f>SUM($U49:Z49)</f>
        <v>0</v>
      </c>
      <c r="BK49" s="482">
        <f>SUM($U49:AA49)</f>
        <v>0</v>
      </c>
      <c r="BL49" s="482">
        <f>SUM($U49:AB49)</f>
        <v>0</v>
      </c>
      <c r="BM49" s="482">
        <f>SUM($U49:AC49)</f>
        <v>0</v>
      </c>
      <c r="BN49" s="482">
        <f>SUM($U49:AD49)</f>
        <v>0</v>
      </c>
      <c r="BO49" s="482">
        <f>SUM($U49:AE49)</f>
        <v>0</v>
      </c>
      <c r="BP49" s="483">
        <f>SUM($U49:AF49)</f>
        <v>0</v>
      </c>
      <c r="BQ49" s="484">
        <f t="shared" si="6"/>
        <v>0</v>
      </c>
      <c r="BR49" s="482">
        <f>SUM($AS49:AT49)</f>
        <v>0</v>
      </c>
      <c r="BS49" s="482">
        <f>SUM($AS49:AU49)</f>
        <v>0</v>
      </c>
      <c r="BT49" s="482">
        <f>SUM($AS49:AV49)</f>
        <v>0</v>
      </c>
      <c r="BU49" s="482">
        <f>SUM($AS49:AW49)</f>
        <v>0</v>
      </c>
      <c r="BV49" s="482">
        <f>SUM($AS49:AX49)</f>
        <v>0</v>
      </c>
      <c r="BW49" s="482">
        <f>SUM($AS49:AY49)</f>
        <v>0</v>
      </c>
      <c r="BX49" s="482">
        <f>SUM($AS49:AZ49)</f>
        <v>0</v>
      </c>
      <c r="BY49" s="482">
        <f>SUM($AS49:BA49)</f>
        <v>0</v>
      </c>
      <c r="BZ49" s="482">
        <f>SUM($AS49:BB49)</f>
        <v>0</v>
      </c>
      <c r="CA49" s="482">
        <f>SUM($AS49:BC49)</f>
        <v>0</v>
      </c>
      <c r="CB49" s="483">
        <f>SUM($AS49:BD49)</f>
        <v>0</v>
      </c>
    </row>
    <row r="50" spans="1:80" s="471" customFormat="1" ht="12.75" hidden="1" customHeight="1">
      <c r="A50" s="471">
        <f t="shared" si="2"/>
        <v>41</v>
      </c>
      <c r="B50" s="628"/>
      <c r="C50" s="533"/>
      <c r="D50" s="533"/>
      <c r="E50" s="427"/>
      <c r="F50" s="586"/>
      <c r="G50" s="629"/>
      <c r="H50" s="582">
        <f t="shared" si="4"/>
        <v>43</v>
      </c>
      <c r="I50" s="524"/>
      <c r="J50" s="473"/>
      <c r="K50" s="473"/>
      <c r="L50" s="473"/>
      <c r="M50" s="473"/>
      <c r="N50" s="473"/>
      <c r="O50" s="473"/>
      <c r="P50" s="473"/>
      <c r="Q50" s="473"/>
      <c r="R50" s="473"/>
      <c r="S50" s="473"/>
      <c r="T50" s="474"/>
      <c r="U50" s="475"/>
      <c r="V50" s="473"/>
      <c r="W50" s="473"/>
      <c r="X50" s="473"/>
      <c r="Y50" s="473"/>
      <c r="Z50" s="473"/>
      <c r="AA50" s="473"/>
      <c r="AB50" s="473"/>
      <c r="AC50" s="473"/>
      <c r="AD50" s="473"/>
      <c r="AE50" s="473"/>
      <c r="AF50" s="473"/>
      <c r="AG50" s="476"/>
      <c r="AH50" s="477"/>
      <c r="AI50" s="477"/>
      <c r="AJ50" s="477"/>
      <c r="AK50" s="477"/>
      <c r="AL50" s="477"/>
      <c r="AM50" s="477"/>
      <c r="AN50" s="477"/>
      <c r="AO50" s="477"/>
      <c r="AP50" s="477"/>
      <c r="AQ50" s="477"/>
      <c r="AR50" s="478"/>
      <c r="AS50" s="479"/>
      <c r="AT50" s="480"/>
      <c r="AU50" s="480"/>
      <c r="AV50" s="480"/>
      <c r="AW50" s="480"/>
      <c r="AX50" s="480"/>
      <c r="AY50" s="480"/>
      <c r="AZ50" s="480"/>
      <c r="BA50" s="480"/>
      <c r="BB50" s="480"/>
      <c r="BC50" s="480"/>
      <c r="BD50" s="481"/>
      <c r="BE50" s="482">
        <f t="shared" si="5"/>
        <v>0</v>
      </c>
      <c r="BF50" s="482">
        <f>SUM($U50:V50)</f>
        <v>0</v>
      </c>
      <c r="BG50" s="482">
        <f>SUM($U50:W50)</f>
        <v>0</v>
      </c>
      <c r="BH50" s="482">
        <f>SUM($U50:X50)</f>
        <v>0</v>
      </c>
      <c r="BI50" s="482">
        <f>SUM($U50:Y50)</f>
        <v>0</v>
      </c>
      <c r="BJ50" s="482">
        <f>SUM($U50:Z50)</f>
        <v>0</v>
      </c>
      <c r="BK50" s="482">
        <f>SUM($U50:AA50)</f>
        <v>0</v>
      </c>
      <c r="BL50" s="482">
        <f>SUM($U50:AB50)</f>
        <v>0</v>
      </c>
      <c r="BM50" s="482">
        <f>SUM($U50:AC50)</f>
        <v>0</v>
      </c>
      <c r="BN50" s="482">
        <f>SUM($U50:AD50)</f>
        <v>0</v>
      </c>
      <c r="BO50" s="482">
        <f>SUM($U50:AE50)</f>
        <v>0</v>
      </c>
      <c r="BP50" s="483">
        <f>SUM($U50:AF50)</f>
        <v>0</v>
      </c>
      <c r="BQ50" s="484">
        <f t="shared" si="6"/>
        <v>0</v>
      </c>
      <c r="BR50" s="482">
        <f>SUM($AS50:AT50)</f>
        <v>0</v>
      </c>
      <c r="BS50" s="482">
        <f>SUM($AS50:AU50)</f>
        <v>0</v>
      </c>
      <c r="BT50" s="482">
        <f>SUM($AS50:AV50)</f>
        <v>0</v>
      </c>
      <c r="BU50" s="482">
        <f>SUM($AS50:AW50)</f>
        <v>0</v>
      </c>
      <c r="BV50" s="482">
        <f>SUM($AS50:AX50)</f>
        <v>0</v>
      </c>
      <c r="BW50" s="482">
        <f>SUM($AS50:AY50)</f>
        <v>0</v>
      </c>
      <c r="BX50" s="482">
        <f>SUM($AS50:AZ50)</f>
        <v>0</v>
      </c>
      <c r="BY50" s="482">
        <f>SUM($AS50:BA50)</f>
        <v>0</v>
      </c>
      <c r="BZ50" s="482">
        <f>SUM($AS50:BB50)</f>
        <v>0</v>
      </c>
      <c r="CA50" s="482">
        <f>SUM($AS50:BC50)</f>
        <v>0</v>
      </c>
      <c r="CB50" s="483">
        <f>SUM($AS50:BD50)</f>
        <v>0</v>
      </c>
    </row>
    <row r="51" spans="1:80" s="471" customFormat="1" ht="12.75" hidden="1" customHeight="1">
      <c r="A51" s="471">
        <f t="shared" si="2"/>
        <v>42</v>
      </c>
      <c r="B51" s="628"/>
      <c r="C51" s="533"/>
      <c r="D51" s="533"/>
      <c r="E51" s="427"/>
      <c r="F51" s="586"/>
      <c r="G51" s="629"/>
      <c r="H51" s="582">
        <f t="shared" si="4"/>
        <v>44</v>
      </c>
      <c r="I51" s="524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74"/>
      <c r="U51" s="475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6"/>
      <c r="AH51" s="477"/>
      <c r="AI51" s="477"/>
      <c r="AJ51" s="477"/>
      <c r="AK51" s="477"/>
      <c r="AL51" s="477"/>
      <c r="AM51" s="477"/>
      <c r="AN51" s="477"/>
      <c r="AO51" s="477"/>
      <c r="AP51" s="477"/>
      <c r="AQ51" s="477"/>
      <c r="AR51" s="478"/>
      <c r="AS51" s="479"/>
      <c r="AT51" s="480"/>
      <c r="AU51" s="480"/>
      <c r="AV51" s="480"/>
      <c r="AW51" s="480"/>
      <c r="AX51" s="480"/>
      <c r="AY51" s="480"/>
      <c r="AZ51" s="480"/>
      <c r="BA51" s="480"/>
      <c r="BB51" s="480"/>
      <c r="BC51" s="480"/>
      <c r="BD51" s="481"/>
      <c r="BE51" s="482">
        <f t="shared" si="5"/>
        <v>0</v>
      </c>
      <c r="BF51" s="482">
        <f>SUM($U51:V51)</f>
        <v>0</v>
      </c>
      <c r="BG51" s="482">
        <f>SUM($U51:W51)</f>
        <v>0</v>
      </c>
      <c r="BH51" s="482">
        <f>SUM($U51:X51)</f>
        <v>0</v>
      </c>
      <c r="BI51" s="482">
        <f>SUM($U51:Y51)</f>
        <v>0</v>
      </c>
      <c r="BJ51" s="482">
        <f>SUM($U51:Z51)</f>
        <v>0</v>
      </c>
      <c r="BK51" s="482">
        <f>SUM($U51:AA51)</f>
        <v>0</v>
      </c>
      <c r="BL51" s="482">
        <f>SUM($U51:AB51)</f>
        <v>0</v>
      </c>
      <c r="BM51" s="482">
        <f>SUM($U51:AC51)</f>
        <v>0</v>
      </c>
      <c r="BN51" s="482">
        <f>SUM($U51:AD51)</f>
        <v>0</v>
      </c>
      <c r="BO51" s="482">
        <f>SUM($U51:AE51)</f>
        <v>0</v>
      </c>
      <c r="BP51" s="483">
        <f>SUM($U51:AF51)</f>
        <v>0</v>
      </c>
      <c r="BQ51" s="484">
        <f t="shared" si="6"/>
        <v>0</v>
      </c>
      <c r="BR51" s="482">
        <f>SUM($AS51:AT51)</f>
        <v>0</v>
      </c>
      <c r="BS51" s="482">
        <f>SUM($AS51:AU51)</f>
        <v>0</v>
      </c>
      <c r="BT51" s="482">
        <f>SUM($AS51:AV51)</f>
        <v>0</v>
      </c>
      <c r="BU51" s="482">
        <f>SUM($AS51:AW51)</f>
        <v>0</v>
      </c>
      <c r="BV51" s="482">
        <f>SUM($AS51:AX51)</f>
        <v>0</v>
      </c>
      <c r="BW51" s="482">
        <f>SUM($AS51:AY51)</f>
        <v>0</v>
      </c>
      <c r="BX51" s="482">
        <f>SUM($AS51:AZ51)</f>
        <v>0</v>
      </c>
      <c r="BY51" s="482">
        <f>SUM($AS51:BA51)</f>
        <v>0</v>
      </c>
      <c r="BZ51" s="482">
        <f>SUM($AS51:BB51)</f>
        <v>0</v>
      </c>
      <c r="CA51" s="482">
        <f>SUM($AS51:BC51)</f>
        <v>0</v>
      </c>
      <c r="CB51" s="483">
        <f>SUM($AS51:BD51)</f>
        <v>0</v>
      </c>
    </row>
    <row r="52" spans="1:80" s="471" customFormat="1" ht="12.75" hidden="1" customHeight="1">
      <c r="A52" s="471">
        <f t="shared" si="2"/>
        <v>43</v>
      </c>
      <c r="B52" s="628"/>
      <c r="C52" s="533"/>
      <c r="D52" s="533"/>
      <c r="E52" s="427"/>
      <c r="F52" s="586"/>
      <c r="G52" s="629"/>
      <c r="H52" s="582">
        <f t="shared" si="4"/>
        <v>45</v>
      </c>
      <c r="I52" s="524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4"/>
      <c r="U52" s="475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6"/>
      <c r="AH52" s="477"/>
      <c r="AI52" s="477"/>
      <c r="AJ52" s="477"/>
      <c r="AK52" s="477"/>
      <c r="AL52" s="477"/>
      <c r="AM52" s="477"/>
      <c r="AN52" s="477"/>
      <c r="AO52" s="477"/>
      <c r="AP52" s="477"/>
      <c r="AQ52" s="477"/>
      <c r="AR52" s="478"/>
      <c r="AS52" s="479"/>
      <c r="AT52" s="480"/>
      <c r="AU52" s="480"/>
      <c r="AV52" s="480"/>
      <c r="AW52" s="480"/>
      <c r="AX52" s="480"/>
      <c r="AY52" s="480"/>
      <c r="AZ52" s="480"/>
      <c r="BA52" s="480"/>
      <c r="BB52" s="480"/>
      <c r="BC52" s="480"/>
      <c r="BD52" s="481"/>
      <c r="BE52" s="482">
        <f t="shared" si="5"/>
        <v>0</v>
      </c>
      <c r="BF52" s="482">
        <f>SUM($U52:V52)</f>
        <v>0</v>
      </c>
      <c r="BG52" s="482">
        <f>SUM($U52:W52)</f>
        <v>0</v>
      </c>
      <c r="BH52" s="482">
        <f>SUM($U52:X52)</f>
        <v>0</v>
      </c>
      <c r="BI52" s="482">
        <f>SUM($U52:Y52)</f>
        <v>0</v>
      </c>
      <c r="BJ52" s="482">
        <f>SUM($U52:Z52)</f>
        <v>0</v>
      </c>
      <c r="BK52" s="482">
        <f>SUM($U52:AA52)</f>
        <v>0</v>
      </c>
      <c r="BL52" s="482">
        <f>SUM($U52:AB52)</f>
        <v>0</v>
      </c>
      <c r="BM52" s="482">
        <f>SUM($U52:AC52)</f>
        <v>0</v>
      </c>
      <c r="BN52" s="482">
        <f>SUM($U52:AD52)</f>
        <v>0</v>
      </c>
      <c r="BO52" s="482">
        <f>SUM($U52:AE52)</f>
        <v>0</v>
      </c>
      <c r="BP52" s="483">
        <f>SUM($U52:AF52)</f>
        <v>0</v>
      </c>
      <c r="BQ52" s="484">
        <f t="shared" si="6"/>
        <v>0</v>
      </c>
      <c r="BR52" s="482">
        <f>SUM($AS52:AT52)</f>
        <v>0</v>
      </c>
      <c r="BS52" s="482">
        <f>SUM($AS52:AU52)</f>
        <v>0</v>
      </c>
      <c r="BT52" s="482">
        <f>SUM($AS52:AV52)</f>
        <v>0</v>
      </c>
      <c r="BU52" s="482">
        <f>SUM($AS52:AW52)</f>
        <v>0</v>
      </c>
      <c r="BV52" s="482">
        <f>SUM($AS52:AX52)</f>
        <v>0</v>
      </c>
      <c r="BW52" s="482">
        <f>SUM($AS52:AY52)</f>
        <v>0</v>
      </c>
      <c r="BX52" s="482">
        <f>SUM($AS52:AZ52)</f>
        <v>0</v>
      </c>
      <c r="BY52" s="482">
        <f>SUM($AS52:BA52)</f>
        <v>0</v>
      </c>
      <c r="BZ52" s="482">
        <f>SUM($AS52:BB52)</f>
        <v>0</v>
      </c>
      <c r="CA52" s="482">
        <f>SUM($AS52:BC52)</f>
        <v>0</v>
      </c>
      <c r="CB52" s="483">
        <f>SUM($AS52:BD52)</f>
        <v>0</v>
      </c>
    </row>
    <row r="53" spans="1:80" s="471" customFormat="1" ht="12.75" hidden="1" customHeight="1">
      <c r="A53" s="471">
        <f t="shared" si="2"/>
        <v>44</v>
      </c>
      <c r="B53" s="628"/>
      <c r="C53" s="533"/>
      <c r="D53" s="533"/>
      <c r="E53" s="427"/>
      <c r="F53" s="586"/>
      <c r="G53" s="629"/>
      <c r="H53" s="582">
        <f t="shared" si="4"/>
        <v>46</v>
      </c>
      <c r="I53" s="524"/>
      <c r="J53" s="473"/>
      <c r="K53" s="473"/>
      <c r="L53" s="473"/>
      <c r="M53" s="473"/>
      <c r="N53" s="473"/>
      <c r="O53" s="473"/>
      <c r="P53" s="473"/>
      <c r="Q53" s="473"/>
      <c r="R53" s="473"/>
      <c r="S53" s="473"/>
      <c r="T53" s="474"/>
      <c r="U53" s="475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6"/>
      <c r="AH53" s="477"/>
      <c r="AI53" s="477"/>
      <c r="AJ53" s="477"/>
      <c r="AK53" s="477"/>
      <c r="AL53" s="477"/>
      <c r="AM53" s="477"/>
      <c r="AN53" s="477"/>
      <c r="AO53" s="477"/>
      <c r="AP53" s="477"/>
      <c r="AQ53" s="477"/>
      <c r="AR53" s="478"/>
      <c r="AS53" s="479"/>
      <c r="AT53" s="480"/>
      <c r="AU53" s="480"/>
      <c r="AV53" s="480"/>
      <c r="AW53" s="480"/>
      <c r="AX53" s="480"/>
      <c r="AY53" s="480"/>
      <c r="AZ53" s="480"/>
      <c r="BA53" s="480"/>
      <c r="BB53" s="480"/>
      <c r="BC53" s="480"/>
      <c r="BD53" s="481"/>
      <c r="BE53" s="482">
        <f t="shared" si="5"/>
        <v>0</v>
      </c>
      <c r="BF53" s="482">
        <f>SUM($U53:V53)</f>
        <v>0</v>
      </c>
      <c r="BG53" s="482">
        <f>SUM($U53:W53)</f>
        <v>0</v>
      </c>
      <c r="BH53" s="482">
        <f>SUM($U53:X53)</f>
        <v>0</v>
      </c>
      <c r="BI53" s="482">
        <f>SUM($U53:Y53)</f>
        <v>0</v>
      </c>
      <c r="BJ53" s="482">
        <f>SUM($U53:Z53)</f>
        <v>0</v>
      </c>
      <c r="BK53" s="482">
        <f>SUM($U53:AA53)</f>
        <v>0</v>
      </c>
      <c r="BL53" s="482">
        <f>SUM($U53:AB53)</f>
        <v>0</v>
      </c>
      <c r="BM53" s="482">
        <f>SUM($U53:AC53)</f>
        <v>0</v>
      </c>
      <c r="BN53" s="482">
        <f>SUM($U53:AD53)</f>
        <v>0</v>
      </c>
      <c r="BO53" s="482">
        <f>SUM($U53:AE53)</f>
        <v>0</v>
      </c>
      <c r="BP53" s="483">
        <f>SUM($U53:AF53)</f>
        <v>0</v>
      </c>
      <c r="BQ53" s="484">
        <f t="shared" si="6"/>
        <v>0</v>
      </c>
      <c r="BR53" s="482">
        <f>SUM($AS53:AT53)</f>
        <v>0</v>
      </c>
      <c r="BS53" s="482">
        <f>SUM($AS53:AU53)</f>
        <v>0</v>
      </c>
      <c r="BT53" s="482">
        <f>SUM($AS53:AV53)</f>
        <v>0</v>
      </c>
      <c r="BU53" s="482">
        <f>SUM($AS53:AW53)</f>
        <v>0</v>
      </c>
      <c r="BV53" s="482">
        <f>SUM($AS53:AX53)</f>
        <v>0</v>
      </c>
      <c r="BW53" s="482">
        <f>SUM($AS53:AY53)</f>
        <v>0</v>
      </c>
      <c r="BX53" s="482">
        <f>SUM($AS53:AZ53)</f>
        <v>0</v>
      </c>
      <c r="BY53" s="482">
        <f>SUM($AS53:BA53)</f>
        <v>0</v>
      </c>
      <c r="BZ53" s="482">
        <f>SUM($AS53:BB53)</f>
        <v>0</v>
      </c>
      <c r="CA53" s="482">
        <f>SUM($AS53:BC53)</f>
        <v>0</v>
      </c>
      <c r="CB53" s="483">
        <f>SUM($AS53:BD53)</f>
        <v>0</v>
      </c>
    </row>
    <row r="54" spans="1:80" s="471" customFormat="1" ht="12.75" hidden="1" customHeight="1">
      <c r="A54" s="471">
        <f t="shared" si="2"/>
        <v>45</v>
      </c>
      <c r="B54" s="628"/>
      <c r="C54" s="533"/>
      <c r="D54" s="533"/>
      <c r="E54" s="427"/>
      <c r="F54" s="586"/>
      <c r="G54" s="629"/>
      <c r="H54" s="582">
        <f t="shared" si="4"/>
        <v>47</v>
      </c>
      <c r="I54" s="524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4"/>
      <c r="U54" s="475"/>
      <c r="V54" s="473"/>
      <c r="W54" s="473"/>
      <c r="X54" s="473"/>
      <c r="Y54" s="473"/>
      <c r="Z54" s="473"/>
      <c r="AA54" s="473"/>
      <c r="AB54" s="473"/>
      <c r="AC54" s="473"/>
      <c r="AD54" s="473"/>
      <c r="AE54" s="473"/>
      <c r="AF54" s="473"/>
      <c r="AG54" s="476"/>
      <c r="AH54" s="477"/>
      <c r="AI54" s="477"/>
      <c r="AJ54" s="477"/>
      <c r="AK54" s="477"/>
      <c r="AL54" s="477"/>
      <c r="AM54" s="477"/>
      <c r="AN54" s="477"/>
      <c r="AO54" s="477"/>
      <c r="AP54" s="477"/>
      <c r="AQ54" s="477"/>
      <c r="AR54" s="478"/>
      <c r="AS54" s="479"/>
      <c r="AT54" s="480"/>
      <c r="AU54" s="480"/>
      <c r="AV54" s="480"/>
      <c r="AW54" s="480"/>
      <c r="AX54" s="480"/>
      <c r="AY54" s="480"/>
      <c r="AZ54" s="480"/>
      <c r="BA54" s="480"/>
      <c r="BB54" s="480"/>
      <c r="BC54" s="480"/>
      <c r="BD54" s="481"/>
      <c r="BE54" s="482">
        <f t="shared" si="5"/>
        <v>0</v>
      </c>
      <c r="BF54" s="482">
        <f>SUM($U54:V54)</f>
        <v>0</v>
      </c>
      <c r="BG54" s="482">
        <f>SUM($U54:W54)</f>
        <v>0</v>
      </c>
      <c r="BH54" s="482">
        <f>SUM($U54:X54)</f>
        <v>0</v>
      </c>
      <c r="BI54" s="482">
        <f>SUM($U54:Y54)</f>
        <v>0</v>
      </c>
      <c r="BJ54" s="482">
        <f>SUM($U54:Z54)</f>
        <v>0</v>
      </c>
      <c r="BK54" s="482">
        <f>SUM($U54:AA54)</f>
        <v>0</v>
      </c>
      <c r="BL54" s="482">
        <f>SUM($U54:AB54)</f>
        <v>0</v>
      </c>
      <c r="BM54" s="482">
        <f>SUM($U54:AC54)</f>
        <v>0</v>
      </c>
      <c r="BN54" s="482">
        <f>SUM($U54:AD54)</f>
        <v>0</v>
      </c>
      <c r="BO54" s="482">
        <f>SUM($U54:AE54)</f>
        <v>0</v>
      </c>
      <c r="BP54" s="483">
        <f>SUM($U54:AF54)</f>
        <v>0</v>
      </c>
      <c r="BQ54" s="484">
        <f t="shared" si="6"/>
        <v>0</v>
      </c>
      <c r="BR54" s="482">
        <f>SUM($AS54:AT54)</f>
        <v>0</v>
      </c>
      <c r="BS54" s="482">
        <f>SUM($AS54:AU54)</f>
        <v>0</v>
      </c>
      <c r="BT54" s="482">
        <f>SUM($AS54:AV54)</f>
        <v>0</v>
      </c>
      <c r="BU54" s="482">
        <f>SUM($AS54:AW54)</f>
        <v>0</v>
      </c>
      <c r="BV54" s="482">
        <f>SUM($AS54:AX54)</f>
        <v>0</v>
      </c>
      <c r="BW54" s="482">
        <f>SUM($AS54:AY54)</f>
        <v>0</v>
      </c>
      <c r="BX54" s="482">
        <f>SUM($AS54:AZ54)</f>
        <v>0</v>
      </c>
      <c r="BY54" s="482">
        <f>SUM($AS54:BA54)</f>
        <v>0</v>
      </c>
      <c r="BZ54" s="482">
        <f>SUM($AS54:BB54)</f>
        <v>0</v>
      </c>
      <c r="CA54" s="482">
        <f>SUM($AS54:BC54)</f>
        <v>0</v>
      </c>
      <c r="CB54" s="483">
        <f>SUM($AS54:BD54)</f>
        <v>0</v>
      </c>
    </row>
    <row r="55" spans="1:80" s="471" customFormat="1" ht="12.75" hidden="1" customHeight="1">
      <c r="A55" s="471">
        <f t="shared" si="2"/>
        <v>46</v>
      </c>
      <c r="B55" s="628"/>
      <c r="C55" s="533"/>
      <c r="D55" s="533"/>
      <c r="E55" s="427"/>
      <c r="F55" s="586"/>
      <c r="G55" s="629"/>
      <c r="H55" s="582">
        <f t="shared" si="4"/>
        <v>48</v>
      </c>
      <c r="I55" s="524"/>
      <c r="J55" s="473"/>
      <c r="K55" s="473"/>
      <c r="L55" s="473"/>
      <c r="M55" s="473"/>
      <c r="N55" s="473"/>
      <c r="O55" s="473"/>
      <c r="P55" s="473"/>
      <c r="Q55" s="473"/>
      <c r="R55" s="473"/>
      <c r="S55" s="473"/>
      <c r="T55" s="474"/>
      <c r="U55" s="475"/>
      <c r="V55" s="473"/>
      <c r="W55" s="473"/>
      <c r="X55" s="473"/>
      <c r="Y55" s="473"/>
      <c r="Z55" s="473"/>
      <c r="AA55" s="473"/>
      <c r="AB55" s="473"/>
      <c r="AC55" s="473"/>
      <c r="AD55" s="473"/>
      <c r="AE55" s="473"/>
      <c r="AF55" s="473"/>
      <c r="AG55" s="476"/>
      <c r="AH55" s="477"/>
      <c r="AI55" s="477"/>
      <c r="AJ55" s="477"/>
      <c r="AK55" s="477"/>
      <c r="AL55" s="477"/>
      <c r="AM55" s="477"/>
      <c r="AN55" s="477"/>
      <c r="AO55" s="477"/>
      <c r="AP55" s="477"/>
      <c r="AQ55" s="477"/>
      <c r="AR55" s="478"/>
      <c r="AS55" s="479"/>
      <c r="AT55" s="480"/>
      <c r="AU55" s="480"/>
      <c r="AV55" s="480"/>
      <c r="AW55" s="480"/>
      <c r="AX55" s="480"/>
      <c r="AY55" s="480"/>
      <c r="AZ55" s="480"/>
      <c r="BA55" s="480"/>
      <c r="BB55" s="480"/>
      <c r="BC55" s="480"/>
      <c r="BD55" s="481"/>
      <c r="BE55" s="482">
        <f t="shared" si="5"/>
        <v>0</v>
      </c>
      <c r="BF55" s="482">
        <f>SUM($U55:V55)</f>
        <v>0</v>
      </c>
      <c r="BG55" s="482">
        <f>SUM($U55:W55)</f>
        <v>0</v>
      </c>
      <c r="BH55" s="482">
        <f>SUM($U55:X55)</f>
        <v>0</v>
      </c>
      <c r="BI55" s="482">
        <f>SUM($U55:Y55)</f>
        <v>0</v>
      </c>
      <c r="BJ55" s="482">
        <f>SUM($U55:Z55)</f>
        <v>0</v>
      </c>
      <c r="BK55" s="482">
        <f>SUM($U55:AA55)</f>
        <v>0</v>
      </c>
      <c r="BL55" s="482">
        <f>SUM($U55:AB55)</f>
        <v>0</v>
      </c>
      <c r="BM55" s="482">
        <f>SUM($U55:AC55)</f>
        <v>0</v>
      </c>
      <c r="BN55" s="482">
        <f>SUM($U55:AD55)</f>
        <v>0</v>
      </c>
      <c r="BO55" s="482">
        <f>SUM($U55:AE55)</f>
        <v>0</v>
      </c>
      <c r="BP55" s="483">
        <f>SUM($U55:AF55)</f>
        <v>0</v>
      </c>
      <c r="BQ55" s="484">
        <f t="shared" si="6"/>
        <v>0</v>
      </c>
      <c r="BR55" s="482">
        <f>SUM($AS55:AT55)</f>
        <v>0</v>
      </c>
      <c r="BS55" s="482">
        <f>SUM($AS55:AU55)</f>
        <v>0</v>
      </c>
      <c r="BT55" s="482">
        <f>SUM($AS55:AV55)</f>
        <v>0</v>
      </c>
      <c r="BU55" s="482">
        <f>SUM($AS55:AW55)</f>
        <v>0</v>
      </c>
      <c r="BV55" s="482">
        <f>SUM($AS55:AX55)</f>
        <v>0</v>
      </c>
      <c r="BW55" s="482">
        <f>SUM($AS55:AY55)</f>
        <v>0</v>
      </c>
      <c r="BX55" s="482">
        <f>SUM($AS55:AZ55)</f>
        <v>0</v>
      </c>
      <c r="BY55" s="482">
        <f>SUM($AS55:BA55)</f>
        <v>0</v>
      </c>
      <c r="BZ55" s="482">
        <f>SUM($AS55:BB55)</f>
        <v>0</v>
      </c>
      <c r="CA55" s="482">
        <f>SUM($AS55:BC55)</f>
        <v>0</v>
      </c>
      <c r="CB55" s="483">
        <f>SUM($AS55:BD55)</f>
        <v>0</v>
      </c>
    </row>
    <row r="56" spans="1:80" s="471" customFormat="1" ht="12.75" hidden="1" customHeight="1">
      <c r="A56" s="471">
        <f t="shared" si="2"/>
        <v>47</v>
      </c>
      <c r="B56" s="628"/>
      <c r="C56" s="533"/>
      <c r="D56" s="533"/>
      <c r="E56" s="427"/>
      <c r="F56" s="586"/>
      <c r="G56" s="629"/>
      <c r="H56" s="582">
        <f t="shared" si="4"/>
        <v>49</v>
      </c>
      <c r="I56" s="524"/>
      <c r="J56" s="473"/>
      <c r="K56" s="473"/>
      <c r="L56" s="473"/>
      <c r="M56" s="473"/>
      <c r="N56" s="473"/>
      <c r="O56" s="473"/>
      <c r="P56" s="473"/>
      <c r="Q56" s="473"/>
      <c r="R56" s="473"/>
      <c r="S56" s="473"/>
      <c r="T56" s="474"/>
      <c r="U56" s="475"/>
      <c r="V56" s="473"/>
      <c r="W56" s="473"/>
      <c r="X56" s="473"/>
      <c r="Y56" s="473"/>
      <c r="Z56" s="473"/>
      <c r="AA56" s="473"/>
      <c r="AB56" s="473"/>
      <c r="AC56" s="473"/>
      <c r="AD56" s="473"/>
      <c r="AE56" s="473"/>
      <c r="AF56" s="473"/>
      <c r="AG56" s="476"/>
      <c r="AH56" s="477"/>
      <c r="AI56" s="477"/>
      <c r="AJ56" s="477"/>
      <c r="AK56" s="477"/>
      <c r="AL56" s="477"/>
      <c r="AM56" s="477"/>
      <c r="AN56" s="477"/>
      <c r="AO56" s="477"/>
      <c r="AP56" s="477"/>
      <c r="AQ56" s="477"/>
      <c r="AR56" s="478"/>
      <c r="AS56" s="479"/>
      <c r="AT56" s="480"/>
      <c r="AU56" s="480"/>
      <c r="AV56" s="480"/>
      <c r="AW56" s="480"/>
      <c r="AX56" s="480"/>
      <c r="AY56" s="480"/>
      <c r="AZ56" s="480"/>
      <c r="BA56" s="480"/>
      <c r="BB56" s="480"/>
      <c r="BC56" s="480"/>
      <c r="BD56" s="481"/>
      <c r="BE56" s="482">
        <f t="shared" si="5"/>
        <v>0</v>
      </c>
      <c r="BF56" s="482">
        <f>SUM($U56:V56)</f>
        <v>0</v>
      </c>
      <c r="BG56" s="482">
        <f>SUM($U56:W56)</f>
        <v>0</v>
      </c>
      <c r="BH56" s="482">
        <f>SUM($U56:X56)</f>
        <v>0</v>
      </c>
      <c r="BI56" s="482">
        <f>SUM($U56:Y56)</f>
        <v>0</v>
      </c>
      <c r="BJ56" s="482">
        <f>SUM($U56:Z56)</f>
        <v>0</v>
      </c>
      <c r="BK56" s="482">
        <f>SUM($U56:AA56)</f>
        <v>0</v>
      </c>
      <c r="BL56" s="482">
        <f>SUM($U56:AB56)</f>
        <v>0</v>
      </c>
      <c r="BM56" s="482">
        <f>SUM($U56:AC56)</f>
        <v>0</v>
      </c>
      <c r="BN56" s="482">
        <f>SUM($U56:AD56)</f>
        <v>0</v>
      </c>
      <c r="BO56" s="482">
        <f>SUM($U56:AE56)</f>
        <v>0</v>
      </c>
      <c r="BP56" s="483">
        <f>SUM($U56:AF56)</f>
        <v>0</v>
      </c>
      <c r="BQ56" s="484">
        <f t="shared" si="6"/>
        <v>0</v>
      </c>
      <c r="BR56" s="482">
        <f>SUM($AS56:AT56)</f>
        <v>0</v>
      </c>
      <c r="BS56" s="482">
        <f>SUM($AS56:AU56)</f>
        <v>0</v>
      </c>
      <c r="BT56" s="482">
        <f>SUM($AS56:AV56)</f>
        <v>0</v>
      </c>
      <c r="BU56" s="482">
        <f>SUM($AS56:AW56)</f>
        <v>0</v>
      </c>
      <c r="BV56" s="482">
        <f>SUM($AS56:AX56)</f>
        <v>0</v>
      </c>
      <c r="BW56" s="482">
        <f>SUM($AS56:AY56)</f>
        <v>0</v>
      </c>
      <c r="BX56" s="482">
        <f>SUM($AS56:AZ56)</f>
        <v>0</v>
      </c>
      <c r="BY56" s="482">
        <f>SUM($AS56:BA56)</f>
        <v>0</v>
      </c>
      <c r="BZ56" s="482">
        <f>SUM($AS56:BB56)</f>
        <v>0</v>
      </c>
      <c r="CA56" s="482">
        <f>SUM($AS56:BC56)</f>
        <v>0</v>
      </c>
      <c r="CB56" s="483">
        <f>SUM($AS56:BD56)</f>
        <v>0</v>
      </c>
    </row>
    <row r="57" spans="1:80" s="471" customFormat="1" ht="12.75" hidden="1" customHeight="1">
      <c r="A57" s="471">
        <f t="shared" si="2"/>
        <v>48</v>
      </c>
      <c r="B57" s="628"/>
      <c r="C57" s="533"/>
      <c r="D57" s="533"/>
      <c r="E57" s="427"/>
      <c r="F57" s="586"/>
      <c r="G57" s="629"/>
      <c r="H57" s="582">
        <f t="shared" si="4"/>
        <v>50</v>
      </c>
      <c r="I57" s="524"/>
      <c r="J57" s="473"/>
      <c r="K57" s="473"/>
      <c r="L57" s="473"/>
      <c r="M57" s="473"/>
      <c r="N57" s="473"/>
      <c r="O57" s="473"/>
      <c r="P57" s="473"/>
      <c r="Q57" s="473"/>
      <c r="R57" s="473"/>
      <c r="S57" s="473"/>
      <c r="T57" s="474"/>
      <c r="U57" s="475"/>
      <c r="V57" s="473"/>
      <c r="W57" s="473"/>
      <c r="X57" s="473"/>
      <c r="Y57" s="473"/>
      <c r="Z57" s="473"/>
      <c r="AA57" s="473"/>
      <c r="AB57" s="473"/>
      <c r="AC57" s="473"/>
      <c r="AD57" s="473"/>
      <c r="AE57" s="473"/>
      <c r="AF57" s="473"/>
      <c r="AG57" s="476"/>
      <c r="AH57" s="477"/>
      <c r="AI57" s="477"/>
      <c r="AJ57" s="477"/>
      <c r="AK57" s="477"/>
      <c r="AL57" s="477"/>
      <c r="AM57" s="477"/>
      <c r="AN57" s="477"/>
      <c r="AO57" s="477"/>
      <c r="AP57" s="477"/>
      <c r="AQ57" s="477"/>
      <c r="AR57" s="478"/>
      <c r="AS57" s="479"/>
      <c r="AT57" s="480"/>
      <c r="AU57" s="480"/>
      <c r="AV57" s="480"/>
      <c r="AW57" s="480"/>
      <c r="AX57" s="480"/>
      <c r="AY57" s="480"/>
      <c r="AZ57" s="480"/>
      <c r="BA57" s="480"/>
      <c r="BB57" s="480"/>
      <c r="BC57" s="480"/>
      <c r="BD57" s="481"/>
      <c r="BE57" s="482">
        <f t="shared" si="5"/>
        <v>0</v>
      </c>
      <c r="BF57" s="482">
        <f>SUM($U57:V57)</f>
        <v>0</v>
      </c>
      <c r="BG57" s="482">
        <f>SUM($U57:W57)</f>
        <v>0</v>
      </c>
      <c r="BH57" s="482">
        <f>SUM($U57:X57)</f>
        <v>0</v>
      </c>
      <c r="BI57" s="482">
        <f>SUM($U57:Y57)</f>
        <v>0</v>
      </c>
      <c r="BJ57" s="482">
        <f>SUM($U57:Z57)</f>
        <v>0</v>
      </c>
      <c r="BK57" s="482">
        <f>SUM($U57:AA57)</f>
        <v>0</v>
      </c>
      <c r="BL57" s="482">
        <f>SUM($U57:AB57)</f>
        <v>0</v>
      </c>
      <c r="BM57" s="482">
        <f>SUM($U57:AC57)</f>
        <v>0</v>
      </c>
      <c r="BN57" s="482">
        <f>SUM($U57:AD57)</f>
        <v>0</v>
      </c>
      <c r="BO57" s="482">
        <f>SUM($U57:AE57)</f>
        <v>0</v>
      </c>
      <c r="BP57" s="483">
        <f>SUM($U57:AF57)</f>
        <v>0</v>
      </c>
      <c r="BQ57" s="484">
        <f t="shared" si="6"/>
        <v>0</v>
      </c>
      <c r="BR57" s="482">
        <f>SUM($AS57:AT57)</f>
        <v>0</v>
      </c>
      <c r="BS57" s="482">
        <f>SUM($AS57:AU57)</f>
        <v>0</v>
      </c>
      <c r="BT57" s="482">
        <f>SUM($AS57:AV57)</f>
        <v>0</v>
      </c>
      <c r="BU57" s="482">
        <f>SUM($AS57:AW57)</f>
        <v>0</v>
      </c>
      <c r="BV57" s="482">
        <f>SUM($AS57:AX57)</f>
        <v>0</v>
      </c>
      <c r="BW57" s="482">
        <f>SUM($AS57:AY57)</f>
        <v>0</v>
      </c>
      <c r="BX57" s="482">
        <f>SUM($AS57:AZ57)</f>
        <v>0</v>
      </c>
      <c r="BY57" s="482">
        <f>SUM($AS57:BA57)</f>
        <v>0</v>
      </c>
      <c r="BZ57" s="482">
        <f>SUM($AS57:BB57)</f>
        <v>0</v>
      </c>
      <c r="CA57" s="482">
        <f>SUM($AS57:BC57)</f>
        <v>0</v>
      </c>
      <c r="CB57" s="483">
        <f>SUM($AS57:BD57)</f>
        <v>0</v>
      </c>
    </row>
    <row r="58" spans="1:80" s="471" customFormat="1" ht="12.75" hidden="1" customHeight="1">
      <c r="A58" s="471">
        <f t="shared" si="2"/>
        <v>49</v>
      </c>
      <c r="B58" s="628"/>
      <c r="C58" s="533"/>
      <c r="D58" s="533"/>
      <c r="E58" s="427"/>
      <c r="F58" s="586"/>
      <c r="G58" s="629"/>
      <c r="H58" s="582">
        <f t="shared" si="4"/>
        <v>51</v>
      </c>
      <c r="I58" s="524"/>
      <c r="J58" s="473"/>
      <c r="K58" s="473"/>
      <c r="L58" s="473"/>
      <c r="M58" s="473"/>
      <c r="N58" s="473"/>
      <c r="O58" s="473"/>
      <c r="P58" s="473"/>
      <c r="Q58" s="473"/>
      <c r="R58" s="473"/>
      <c r="S58" s="473"/>
      <c r="T58" s="474"/>
      <c r="U58" s="475"/>
      <c r="V58" s="473"/>
      <c r="W58" s="473"/>
      <c r="X58" s="473"/>
      <c r="Y58" s="473"/>
      <c r="Z58" s="473"/>
      <c r="AA58" s="473"/>
      <c r="AB58" s="473"/>
      <c r="AC58" s="473"/>
      <c r="AD58" s="473"/>
      <c r="AE58" s="473"/>
      <c r="AF58" s="473"/>
      <c r="AG58" s="476"/>
      <c r="AH58" s="477"/>
      <c r="AI58" s="477"/>
      <c r="AJ58" s="477"/>
      <c r="AK58" s="477"/>
      <c r="AL58" s="477"/>
      <c r="AM58" s="477"/>
      <c r="AN58" s="477"/>
      <c r="AO58" s="477"/>
      <c r="AP58" s="477"/>
      <c r="AQ58" s="477"/>
      <c r="AR58" s="478"/>
      <c r="AS58" s="479"/>
      <c r="AT58" s="480"/>
      <c r="AU58" s="480"/>
      <c r="AV58" s="480"/>
      <c r="AW58" s="480"/>
      <c r="AX58" s="480"/>
      <c r="AY58" s="480"/>
      <c r="AZ58" s="480"/>
      <c r="BA58" s="480"/>
      <c r="BB58" s="480"/>
      <c r="BC58" s="480"/>
      <c r="BD58" s="481"/>
      <c r="BE58" s="482">
        <f t="shared" si="5"/>
        <v>0</v>
      </c>
      <c r="BF58" s="482">
        <f>SUM($U58:V58)</f>
        <v>0</v>
      </c>
      <c r="BG58" s="482">
        <f>SUM($U58:W58)</f>
        <v>0</v>
      </c>
      <c r="BH58" s="482">
        <f>SUM($U58:X58)</f>
        <v>0</v>
      </c>
      <c r="BI58" s="482">
        <f>SUM($U58:Y58)</f>
        <v>0</v>
      </c>
      <c r="BJ58" s="482">
        <f>SUM($U58:Z58)</f>
        <v>0</v>
      </c>
      <c r="BK58" s="482">
        <f>SUM($U58:AA58)</f>
        <v>0</v>
      </c>
      <c r="BL58" s="482">
        <f>SUM($U58:AB58)</f>
        <v>0</v>
      </c>
      <c r="BM58" s="482">
        <f>SUM($U58:AC58)</f>
        <v>0</v>
      </c>
      <c r="BN58" s="482">
        <f>SUM($U58:AD58)</f>
        <v>0</v>
      </c>
      <c r="BO58" s="482">
        <f>SUM($U58:AE58)</f>
        <v>0</v>
      </c>
      <c r="BP58" s="483">
        <f>SUM($U58:AF58)</f>
        <v>0</v>
      </c>
      <c r="BQ58" s="484">
        <f t="shared" si="6"/>
        <v>0</v>
      </c>
      <c r="BR58" s="482">
        <f>SUM($AS58:AT58)</f>
        <v>0</v>
      </c>
      <c r="BS58" s="482">
        <f>SUM($AS58:AU58)</f>
        <v>0</v>
      </c>
      <c r="BT58" s="482">
        <f>SUM($AS58:AV58)</f>
        <v>0</v>
      </c>
      <c r="BU58" s="482">
        <f>SUM($AS58:AW58)</f>
        <v>0</v>
      </c>
      <c r="BV58" s="482">
        <f>SUM($AS58:AX58)</f>
        <v>0</v>
      </c>
      <c r="BW58" s="482">
        <f>SUM($AS58:AY58)</f>
        <v>0</v>
      </c>
      <c r="BX58" s="482">
        <f>SUM($AS58:AZ58)</f>
        <v>0</v>
      </c>
      <c r="BY58" s="482">
        <f>SUM($AS58:BA58)</f>
        <v>0</v>
      </c>
      <c r="BZ58" s="482">
        <f>SUM($AS58:BB58)</f>
        <v>0</v>
      </c>
      <c r="CA58" s="482">
        <f>SUM($AS58:BC58)</f>
        <v>0</v>
      </c>
      <c r="CB58" s="483">
        <f>SUM($AS58:BD58)</f>
        <v>0</v>
      </c>
    </row>
    <row r="59" spans="1:80" s="471" customFormat="1" ht="12.75" hidden="1" customHeight="1">
      <c r="A59" s="471">
        <f t="shared" si="2"/>
        <v>50</v>
      </c>
      <c r="B59" s="628"/>
      <c r="C59" s="533"/>
      <c r="D59" s="533"/>
      <c r="E59" s="427"/>
      <c r="F59" s="586"/>
      <c r="G59" s="629"/>
      <c r="H59" s="582">
        <f t="shared" si="4"/>
        <v>52</v>
      </c>
      <c r="I59" s="524"/>
      <c r="J59" s="473"/>
      <c r="K59" s="473"/>
      <c r="L59" s="473"/>
      <c r="M59" s="473"/>
      <c r="N59" s="473"/>
      <c r="O59" s="473"/>
      <c r="P59" s="473"/>
      <c r="Q59" s="473"/>
      <c r="R59" s="473"/>
      <c r="S59" s="473"/>
      <c r="T59" s="474"/>
      <c r="U59" s="475"/>
      <c r="V59" s="473"/>
      <c r="W59" s="473"/>
      <c r="X59" s="473"/>
      <c r="Y59" s="473"/>
      <c r="Z59" s="473"/>
      <c r="AA59" s="473"/>
      <c r="AB59" s="473"/>
      <c r="AC59" s="473"/>
      <c r="AD59" s="473"/>
      <c r="AE59" s="473"/>
      <c r="AF59" s="473"/>
      <c r="AG59" s="476"/>
      <c r="AH59" s="477"/>
      <c r="AI59" s="477"/>
      <c r="AJ59" s="477"/>
      <c r="AK59" s="477"/>
      <c r="AL59" s="477"/>
      <c r="AM59" s="477"/>
      <c r="AN59" s="477"/>
      <c r="AO59" s="477"/>
      <c r="AP59" s="477"/>
      <c r="AQ59" s="477"/>
      <c r="AR59" s="478"/>
      <c r="AS59" s="479"/>
      <c r="AT59" s="480"/>
      <c r="AU59" s="480"/>
      <c r="AV59" s="480"/>
      <c r="AW59" s="480"/>
      <c r="AX59" s="480"/>
      <c r="AY59" s="480"/>
      <c r="AZ59" s="480"/>
      <c r="BA59" s="480"/>
      <c r="BB59" s="480"/>
      <c r="BC59" s="480"/>
      <c r="BD59" s="481"/>
      <c r="BE59" s="482">
        <f t="shared" si="5"/>
        <v>0</v>
      </c>
      <c r="BF59" s="482">
        <f>SUM($U59:V59)</f>
        <v>0</v>
      </c>
      <c r="BG59" s="482">
        <f>SUM($U59:W59)</f>
        <v>0</v>
      </c>
      <c r="BH59" s="482">
        <f>SUM($U59:X59)</f>
        <v>0</v>
      </c>
      <c r="BI59" s="482">
        <f>SUM($U59:Y59)</f>
        <v>0</v>
      </c>
      <c r="BJ59" s="482">
        <f>SUM($U59:Z59)</f>
        <v>0</v>
      </c>
      <c r="BK59" s="482">
        <f>SUM($U59:AA59)</f>
        <v>0</v>
      </c>
      <c r="BL59" s="482">
        <f>SUM($U59:AB59)</f>
        <v>0</v>
      </c>
      <c r="BM59" s="482">
        <f>SUM($U59:AC59)</f>
        <v>0</v>
      </c>
      <c r="BN59" s="482">
        <f>SUM($U59:AD59)</f>
        <v>0</v>
      </c>
      <c r="BO59" s="482">
        <f>SUM($U59:AE59)</f>
        <v>0</v>
      </c>
      <c r="BP59" s="483">
        <f>SUM($U59:AF59)</f>
        <v>0</v>
      </c>
      <c r="BQ59" s="484">
        <f t="shared" si="6"/>
        <v>0</v>
      </c>
      <c r="BR59" s="482">
        <f>SUM($AS59:AT59)</f>
        <v>0</v>
      </c>
      <c r="BS59" s="482">
        <f>SUM($AS59:AU59)</f>
        <v>0</v>
      </c>
      <c r="BT59" s="482">
        <f>SUM($AS59:AV59)</f>
        <v>0</v>
      </c>
      <c r="BU59" s="482">
        <f>SUM($AS59:AW59)</f>
        <v>0</v>
      </c>
      <c r="BV59" s="482">
        <f>SUM($AS59:AX59)</f>
        <v>0</v>
      </c>
      <c r="BW59" s="482">
        <f>SUM($AS59:AY59)</f>
        <v>0</v>
      </c>
      <c r="BX59" s="482">
        <f>SUM($AS59:AZ59)</f>
        <v>0</v>
      </c>
      <c r="BY59" s="482">
        <f>SUM($AS59:BA59)</f>
        <v>0</v>
      </c>
      <c r="BZ59" s="482">
        <f>SUM($AS59:BB59)</f>
        <v>0</v>
      </c>
      <c r="CA59" s="482">
        <f>SUM($AS59:BC59)</f>
        <v>0</v>
      </c>
      <c r="CB59" s="483">
        <f>SUM($AS59:BD59)</f>
        <v>0</v>
      </c>
    </row>
    <row r="60" spans="1:80" s="471" customFormat="1" ht="12.75" hidden="1" customHeight="1">
      <c r="A60" s="471">
        <f t="shared" si="2"/>
        <v>51</v>
      </c>
      <c r="B60" s="628"/>
      <c r="C60" s="533"/>
      <c r="D60" s="533"/>
      <c r="E60" s="427"/>
      <c r="F60" s="586"/>
      <c r="G60" s="629"/>
      <c r="H60" s="582">
        <f t="shared" si="4"/>
        <v>53</v>
      </c>
      <c r="I60" s="524"/>
      <c r="J60" s="473"/>
      <c r="K60" s="473"/>
      <c r="L60" s="473"/>
      <c r="M60" s="473"/>
      <c r="N60" s="473"/>
      <c r="O60" s="473"/>
      <c r="P60" s="473"/>
      <c r="Q60" s="473"/>
      <c r="R60" s="473"/>
      <c r="S60" s="473"/>
      <c r="T60" s="474"/>
      <c r="U60" s="475"/>
      <c r="V60" s="473"/>
      <c r="W60" s="473"/>
      <c r="X60" s="473"/>
      <c r="Y60" s="473"/>
      <c r="Z60" s="473"/>
      <c r="AA60" s="473"/>
      <c r="AB60" s="473"/>
      <c r="AC60" s="473"/>
      <c r="AD60" s="473"/>
      <c r="AE60" s="473"/>
      <c r="AF60" s="473"/>
      <c r="AG60" s="476"/>
      <c r="AH60" s="477"/>
      <c r="AI60" s="477"/>
      <c r="AJ60" s="477"/>
      <c r="AK60" s="477"/>
      <c r="AL60" s="477"/>
      <c r="AM60" s="477"/>
      <c r="AN60" s="477"/>
      <c r="AO60" s="477"/>
      <c r="AP60" s="477"/>
      <c r="AQ60" s="477"/>
      <c r="AR60" s="478"/>
      <c r="AS60" s="479"/>
      <c r="AT60" s="480"/>
      <c r="AU60" s="480"/>
      <c r="AV60" s="480"/>
      <c r="AW60" s="480"/>
      <c r="AX60" s="480"/>
      <c r="AY60" s="480"/>
      <c r="AZ60" s="480"/>
      <c r="BA60" s="480"/>
      <c r="BB60" s="480"/>
      <c r="BC60" s="480"/>
      <c r="BD60" s="481"/>
      <c r="BE60" s="482">
        <f t="shared" si="5"/>
        <v>0</v>
      </c>
      <c r="BF60" s="482">
        <f>SUM($U60:V60)</f>
        <v>0</v>
      </c>
      <c r="BG60" s="482">
        <f>SUM($U60:W60)</f>
        <v>0</v>
      </c>
      <c r="BH60" s="482">
        <f>SUM($U60:X60)</f>
        <v>0</v>
      </c>
      <c r="BI60" s="482">
        <f>SUM($U60:Y60)</f>
        <v>0</v>
      </c>
      <c r="BJ60" s="482">
        <f>SUM($U60:Z60)</f>
        <v>0</v>
      </c>
      <c r="BK60" s="482">
        <f>SUM($U60:AA60)</f>
        <v>0</v>
      </c>
      <c r="BL60" s="482">
        <f>SUM($U60:AB60)</f>
        <v>0</v>
      </c>
      <c r="BM60" s="482">
        <f>SUM($U60:AC60)</f>
        <v>0</v>
      </c>
      <c r="BN60" s="482">
        <f>SUM($U60:AD60)</f>
        <v>0</v>
      </c>
      <c r="BO60" s="482">
        <f>SUM($U60:AE60)</f>
        <v>0</v>
      </c>
      <c r="BP60" s="483">
        <f>SUM($U60:AF60)</f>
        <v>0</v>
      </c>
      <c r="BQ60" s="484">
        <f t="shared" si="6"/>
        <v>0</v>
      </c>
      <c r="BR60" s="482">
        <f>SUM($AS60:AT60)</f>
        <v>0</v>
      </c>
      <c r="BS60" s="482">
        <f>SUM($AS60:AU60)</f>
        <v>0</v>
      </c>
      <c r="BT60" s="482">
        <f>SUM($AS60:AV60)</f>
        <v>0</v>
      </c>
      <c r="BU60" s="482">
        <f>SUM($AS60:AW60)</f>
        <v>0</v>
      </c>
      <c r="BV60" s="482">
        <f>SUM($AS60:AX60)</f>
        <v>0</v>
      </c>
      <c r="BW60" s="482">
        <f>SUM($AS60:AY60)</f>
        <v>0</v>
      </c>
      <c r="BX60" s="482">
        <f>SUM($AS60:AZ60)</f>
        <v>0</v>
      </c>
      <c r="BY60" s="482">
        <f>SUM($AS60:BA60)</f>
        <v>0</v>
      </c>
      <c r="BZ60" s="482">
        <f>SUM($AS60:BB60)</f>
        <v>0</v>
      </c>
      <c r="CA60" s="482">
        <f>SUM($AS60:BC60)</f>
        <v>0</v>
      </c>
      <c r="CB60" s="483">
        <f>SUM($AS60:BD60)</f>
        <v>0</v>
      </c>
    </row>
    <row r="61" spans="1:80" s="471" customFormat="1" ht="12.75" hidden="1" customHeight="1">
      <c r="A61" s="471">
        <f t="shared" si="2"/>
        <v>52</v>
      </c>
      <c r="B61" s="628"/>
      <c r="C61" s="533"/>
      <c r="D61" s="533"/>
      <c r="E61" s="427"/>
      <c r="F61" s="586"/>
      <c r="G61" s="629"/>
      <c r="H61" s="582">
        <f t="shared" si="4"/>
        <v>54</v>
      </c>
      <c r="I61" s="524"/>
      <c r="J61" s="473"/>
      <c r="K61" s="473"/>
      <c r="L61" s="473"/>
      <c r="M61" s="473"/>
      <c r="N61" s="473"/>
      <c r="O61" s="473"/>
      <c r="P61" s="473"/>
      <c r="Q61" s="473"/>
      <c r="R61" s="473"/>
      <c r="S61" s="473"/>
      <c r="T61" s="474"/>
      <c r="U61" s="475"/>
      <c r="V61" s="473"/>
      <c r="W61" s="473"/>
      <c r="X61" s="473"/>
      <c r="Y61" s="473"/>
      <c r="Z61" s="473"/>
      <c r="AA61" s="473"/>
      <c r="AB61" s="473"/>
      <c r="AC61" s="473"/>
      <c r="AD61" s="473"/>
      <c r="AE61" s="473"/>
      <c r="AF61" s="473"/>
      <c r="AG61" s="476"/>
      <c r="AH61" s="477"/>
      <c r="AI61" s="477"/>
      <c r="AJ61" s="477"/>
      <c r="AK61" s="477"/>
      <c r="AL61" s="477"/>
      <c r="AM61" s="477"/>
      <c r="AN61" s="477"/>
      <c r="AO61" s="477"/>
      <c r="AP61" s="477"/>
      <c r="AQ61" s="477"/>
      <c r="AR61" s="478"/>
      <c r="AS61" s="479"/>
      <c r="AT61" s="480"/>
      <c r="AU61" s="480"/>
      <c r="AV61" s="480"/>
      <c r="AW61" s="480"/>
      <c r="AX61" s="480"/>
      <c r="AY61" s="480"/>
      <c r="AZ61" s="480"/>
      <c r="BA61" s="480"/>
      <c r="BB61" s="480"/>
      <c r="BC61" s="480"/>
      <c r="BD61" s="481"/>
      <c r="BE61" s="482">
        <f t="shared" si="5"/>
        <v>0</v>
      </c>
      <c r="BF61" s="482">
        <f>SUM($U61:V61)</f>
        <v>0</v>
      </c>
      <c r="BG61" s="482">
        <f>SUM($U61:W61)</f>
        <v>0</v>
      </c>
      <c r="BH61" s="482">
        <f>SUM($U61:X61)</f>
        <v>0</v>
      </c>
      <c r="BI61" s="482">
        <f>SUM($U61:Y61)</f>
        <v>0</v>
      </c>
      <c r="BJ61" s="482">
        <f>SUM($U61:Z61)</f>
        <v>0</v>
      </c>
      <c r="BK61" s="482">
        <f>SUM($U61:AA61)</f>
        <v>0</v>
      </c>
      <c r="BL61" s="482">
        <f>SUM($U61:AB61)</f>
        <v>0</v>
      </c>
      <c r="BM61" s="482">
        <f>SUM($U61:AC61)</f>
        <v>0</v>
      </c>
      <c r="BN61" s="482">
        <f>SUM($U61:AD61)</f>
        <v>0</v>
      </c>
      <c r="BO61" s="482">
        <f>SUM($U61:AE61)</f>
        <v>0</v>
      </c>
      <c r="BP61" s="483">
        <f>SUM($U61:AF61)</f>
        <v>0</v>
      </c>
      <c r="BQ61" s="484">
        <f t="shared" si="6"/>
        <v>0</v>
      </c>
      <c r="BR61" s="482">
        <f>SUM($AS61:AT61)</f>
        <v>0</v>
      </c>
      <c r="BS61" s="482">
        <f>SUM($AS61:AU61)</f>
        <v>0</v>
      </c>
      <c r="BT61" s="482">
        <f>SUM($AS61:AV61)</f>
        <v>0</v>
      </c>
      <c r="BU61" s="482">
        <f>SUM($AS61:AW61)</f>
        <v>0</v>
      </c>
      <c r="BV61" s="482">
        <f>SUM($AS61:AX61)</f>
        <v>0</v>
      </c>
      <c r="BW61" s="482">
        <f>SUM($AS61:AY61)</f>
        <v>0</v>
      </c>
      <c r="BX61" s="482">
        <f>SUM($AS61:AZ61)</f>
        <v>0</v>
      </c>
      <c r="BY61" s="482">
        <f>SUM($AS61:BA61)</f>
        <v>0</v>
      </c>
      <c r="BZ61" s="482">
        <f>SUM($AS61:BB61)</f>
        <v>0</v>
      </c>
      <c r="CA61" s="482">
        <f>SUM($AS61:BC61)</f>
        <v>0</v>
      </c>
      <c r="CB61" s="483">
        <f>SUM($AS61:BD61)</f>
        <v>0</v>
      </c>
    </row>
    <row r="62" spans="1:80" s="471" customFormat="1" ht="12.75" hidden="1" customHeight="1">
      <c r="A62" s="471">
        <f t="shared" si="2"/>
        <v>53</v>
      </c>
      <c r="B62" s="628"/>
      <c r="C62" s="533"/>
      <c r="D62" s="533"/>
      <c r="E62" s="427"/>
      <c r="F62" s="586"/>
      <c r="G62" s="629"/>
      <c r="H62" s="582">
        <f t="shared" si="4"/>
        <v>55</v>
      </c>
      <c r="I62" s="524"/>
      <c r="J62" s="473"/>
      <c r="K62" s="473"/>
      <c r="L62" s="473"/>
      <c r="M62" s="473"/>
      <c r="N62" s="473"/>
      <c r="O62" s="473"/>
      <c r="P62" s="473"/>
      <c r="Q62" s="473"/>
      <c r="R62" s="473"/>
      <c r="S62" s="473"/>
      <c r="T62" s="474"/>
      <c r="U62" s="475"/>
      <c r="V62" s="473"/>
      <c r="W62" s="473"/>
      <c r="X62" s="473"/>
      <c r="Y62" s="473"/>
      <c r="Z62" s="473"/>
      <c r="AA62" s="473"/>
      <c r="AB62" s="473"/>
      <c r="AC62" s="473"/>
      <c r="AD62" s="473"/>
      <c r="AE62" s="473"/>
      <c r="AF62" s="473"/>
      <c r="AG62" s="476"/>
      <c r="AH62" s="477"/>
      <c r="AI62" s="477"/>
      <c r="AJ62" s="477"/>
      <c r="AK62" s="477"/>
      <c r="AL62" s="477"/>
      <c r="AM62" s="477"/>
      <c r="AN62" s="477"/>
      <c r="AO62" s="477"/>
      <c r="AP62" s="477"/>
      <c r="AQ62" s="477"/>
      <c r="AR62" s="478"/>
      <c r="AS62" s="479"/>
      <c r="AT62" s="480"/>
      <c r="AU62" s="480"/>
      <c r="AV62" s="480"/>
      <c r="AW62" s="480"/>
      <c r="AX62" s="480"/>
      <c r="AY62" s="480"/>
      <c r="AZ62" s="480"/>
      <c r="BA62" s="480"/>
      <c r="BB62" s="480"/>
      <c r="BC62" s="480"/>
      <c r="BD62" s="481"/>
      <c r="BE62" s="482">
        <f t="shared" si="5"/>
        <v>0</v>
      </c>
      <c r="BF62" s="482">
        <f>SUM($U62:V62)</f>
        <v>0</v>
      </c>
      <c r="BG62" s="482">
        <f>SUM($U62:W62)</f>
        <v>0</v>
      </c>
      <c r="BH62" s="482">
        <f>SUM($U62:X62)</f>
        <v>0</v>
      </c>
      <c r="BI62" s="482">
        <f>SUM($U62:Y62)</f>
        <v>0</v>
      </c>
      <c r="BJ62" s="482">
        <f>SUM($U62:Z62)</f>
        <v>0</v>
      </c>
      <c r="BK62" s="482">
        <f>SUM($U62:AA62)</f>
        <v>0</v>
      </c>
      <c r="BL62" s="482">
        <f>SUM($U62:AB62)</f>
        <v>0</v>
      </c>
      <c r="BM62" s="482">
        <f>SUM($U62:AC62)</f>
        <v>0</v>
      </c>
      <c r="BN62" s="482">
        <f>SUM($U62:AD62)</f>
        <v>0</v>
      </c>
      <c r="BO62" s="482">
        <f>SUM($U62:AE62)</f>
        <v>0</v>
      </c>
      <c r="BP62" s="483">
        <f>SUM($U62:AF62)</f>
        <v>0</v>
      </c>
      <c r="BQ62" s="484">
        <f t="shared" si="6"/>
        <v>0</v>
      </c>
      <c r="BR62" s="482">
        <f>SUM($AS62:AT62)</f>
        <v>0</v>
      </c>
      <c r="BS62" s="482">
        <f>SUM($AS62:AU62)</f>
        <v>0</v>
      </c>
      <c r="BT62" s="482">
        <f>SUM($AS62:AV62)</f>
        <v>0</v>
      </c>
      <c r="BU62" s="482">
        <f>SUM($AS62:AW62)</f>
        <v>0</v>
      </c>
      <c r="BV62" s="482">
        <f>SUM($AS62:AX62)</f>
        <v>0</v>
      </c>
      <c r="BW62" s="482">
        <f>SUM($AS62:AY62)</f>
        <v>0</v>
      </c>
      <c r="BX62" s="482">
        <f>SUM($AS62:AZ62)</f>
        <v>0</v>
      </c>
      <c r="BY62" s="482">
        <f>SUM($AS62:BA62)</f>
        <v>0</v>
      </c>
      <c r="BZ62" s="482">
        <f>SUM($AS62:BB62)</f>
        <v>0</v>
      </c>
      <c r="CA62" s="482">
        <f>SUM($AS62:BC62)</f>
        <v>0</v>
      </c>
      <c r="CB62" s="483">
        <f>SUM($AS62:BD62)</f>
        <v>0</v>
      </c>
    </row>
    <row r="63" spans="1:80" s="471" customFormat="1" ht="12.75" hidden="1" customHeight="1">
      <c r="A63" s="471">
        <f t="shared" si="2"/>
        <v>54</v>
      </c>
      <c r="B63" s="628"/>
      <c r="C63" s="533"/>
      <c r="D63" s="533"/>
      <c r="E63" s="427"/>
      <c r="F63" s="586"/>
      <c r="G63" s="629"/>
      <c r="H63" s="582">
        <f t="shared" si="4"/>
        <v>56</v>
      </c>
      <c r="I63" s="524"/>
      <c r="J63" s="473"/>
      <c r="K63" s="473"/>
      <c r="L63" s="473"/>
      <c r="M63" s="473"/>
      <c r="N63" s="473"/>
      <c r="O63" s="473"/>
      <c r="P63" s="473"/>
      <c r="Q63" s="473"/>
      <c r="R63" s="473"/>
      <c r="S63" s="473"/>
      <c r="T63" s="474"/>
      <c r="U63" s="475"/>
      <c r="V63" s="473"/>
      <c r="W63" s="473"/>
      <c r="X63" s="473"/>
      <c r="Y63" s="473"/>
      <c r="Z63" s="473"/>
      <c r="AA63" s="473"/>
      <c r="AB63" s="473"/>
      <c r="AC63" s="473"/>
      <c r="AD63" s="473"/>
      <c r="AE63" s="473"/>
      <c r="AF63" s="473"/>
      <c r="AG63" s="476"/>
      <c r="AH63" s="477"/>
      <c r="AI63" s="477"/>
      <c r="AJ63" s="477"/>
      <c r="AK63" s="477"/>
      <c r="AL63" s="477"/>
      <c r="AM63" s="477"/>
      <c r="AN63" s="477"/>
      <c r="AO63" s="477"/>
      <c r="AP63" s="477"/>
      <c r="AQ63" s="477"/>
      <c r="AR63" s="478"/>
      <c r="AS63" s="479"/>
      <c r="AT63" s="480"/>
      <c r="AU63" s="480"/>
      <c r="AV63" s="480"/>
      <c r="AW63" s="480"/>
      <c r="AX63" s="480"/>
      <c r="AY63" s="480"/>
      <c r="AZ63" s="480"/>
      <c r="BA63" s="480"/>
      <c r="BB63" s="480"/>
      <c r="BC63" s="480"/>
      <c r="BD63" s="481"/>
      <c r="BE63" s="482">
        <f t="shared" si="5"/>
        <v>0</v>
      </c>
      <c r="BF63" s="482">
        <f>SUM($U63:V63)</f>
        <v>0</v>
      </c>
      <c r="BG63" s="482">
        <f>SUM($U63:W63)</f>
        <v>0</v>
      </c>
      <c r="BH63" s="482">
        <f>SUM($U63:X63)</f>
        <v>0</v>
      </c>
      <c r="BI63" s="482">
        <f>SUM($U63:Y63)</f>
        <v>0</v>
      </c>
      <c r="BJ63" s="482">
        <f>SUM($U63:Z63)</f>
        <v>0</v>
      </c>
      <c r="BK63" s="482">
        <f>SUM($U63:AA63)</f>
        <v>0</v>
      </c>
      <c r="BL63" s="482">
        <f>SUM($U63:AB63)</f>
        <v>0</v>
      </c>
      <c r="BM63" s="482">
        <f>SUM($U63:AC63)</f>
        <v>0</v>
      </c>
      <c r="BN63" s="482">
        <f>SUM($U63:AD63)</f>
        <v>0</v>
      </c>
      <c r="BO63" s="482">
        <f>SUM($U63:AE63)</f>
        <v>0</v>
      </c>
      <c r="BP63" s="483">
        <f>SUM($U63:AF63)</f>
        <v>0</v>
      </c>
      <c r="BQ63" s="484">
        <f t="shared" si="6"/>
        <v>0</v>
      </c>
      <c r="BR63" s="482">
        <f>SUM($AS63:AT63)</f>
        <v>0</v>
      </c>
      <c r="BS63" s="482">
        <f>SUM($AS63:AU63)</f>
        <v>0</v>
      </c>
      <c r="BT63" s="482">
        <f>SUM($AS63:AV63)</f>
        <v>0</v>
      </c>
      <c r="BU63" s="482">
        <f>SUM($AS63:AW63)</f>
        <v>0</v>
      </c>
      <c r="BV63" s="482">
        <f>SUM($AS63:AX63)</f>
        <v>0</v>
      </c>
      <c r="BW63" s="482">
        <f>SUM($AS63:AY63)</f>
        <v>0</v>
      </c>
      <c r="BX63" s="482">
        <f>SUM($AS63:AZ63)</f>
        <v>0</v>
      </c>
      <c r="BY63" s="482">
        <f>SUM($AS63:BA63)</f>
        <v>0</v>
      </c>
      <c r="BZ63" s="482">
        <f>SUM($AS63:BB63)</f>
        <v>0</v>
      </c>
      <c r="CA63" s="482">
        <f>SUM($AS63:BC63)</f>
        <v>0</v>
      </c>
      <c r="CB63" s="483">
        <f>SUM($AS63:BD63)</f>
        <v>0</v>
      </c>
    </row>
    <row r="64" spans="1:80" s="471" customFormat="1" ht="12.75" hidden="1" customHeight="1">
      <c r="A64" s="471">
        <f t="shared" si="2"/>
        <v>55</v>
      </c>
      <c r="B64" s="628"/>
      <c r="C64" s="533"/>
      <c r="D64" s="533"/>
      <c r="E64" s="427"/>
      <c r="F64" s="586"/>
      <c r="G64" s="629"/>
      <c r="H64" s="582">
        <f t="shared" si="4"/>
        <v>57</v>
      </c>
      <c r="I64" s="524"/>
      <c r="J64" s="473"/>
      <c r="K64" s="473"/>
      <c r="L64" s="473"/>
      <c r="M64" s="473"/>
      <c r="N64" s="473"/>
      <c r="O64" s="473"/>
      <c r="P64" s="473"/>
      <c r="Q64" s="473"/>
      <c r="R64" s="473"/>
      <c r="S64" s="473"/>
      <c r="T64" s="474"/>
      <c r="U64" s="475"/>
      <c r="V64" s="473"/>
      <c r="W64" s="473"/>
      <c r="X64" s="473"/>
      <c r="Y64" s="473"/>
      <c r="Z64" s="473"/>
      <c r="AA64" s="473"/>
      <c r="AB64" s="473"/>
      <c r="AC64" s="473"/>
      <c r="AD64" s="473"/>
      <c r="AE64" s="473"/>
      <c r="AF64" s="473"/>
      <c r="AG64" s="476"/>
      <c r="AH64" s="477"/>
      <c r="AI64" s="477"/>
      <c r="AJ64" s="477"/>
      <c r="AK64" s="477"/>
      <c r="AL64" s="477"/>
      <c r="AM64" s="477"/>
      <c r="AN64" s="477"/>
      <c r="AO64" s="477"/>
      <c r="AP64" s="477"/>
      <c r="AQ64" s="477"/>
      <c r="AR64" s="478"/>
      <c r="AS64" s="479"/>
      <c r="AT64" s="480"/>
      <c r="AU64" s="480"/>
      <c r="AV64" s="480"/>
      <c r="AW64" s="480"/>
      <c r="AX64" s="480"/>
      <c r="AY64" s="480"/>
      <c r="AZ64" s="480"/>
      <c r="BA64" s="480"/>
      <c r="BB64" s="480"/>
      <c r="BC64" s="480"/>
      <c r="BD64" s="481"/>
      <c r="BE64" s="482">
        <f t="shared" si="5"/>
        <v>0</v>
      </c>
      <c r="BF64" s="482">
        <f>SUM($U64:V64)</f>
        <v>0</v>
      </c>
      <c r="BG64" s="482">
        <f>SUM($U64:W64)</f>
        <v>0</v>
      </c>
      <c r="BH64" s="482">
        <f>SUM($U64:X64)</f>
        <v>0</v>
      </c>
      <c r="BI64" s="482">
        <f>SUM($U64:Y64)</f>
        <v>0</v>
      </c>
      <c r="BJ64" s="482">
        <f>SUM($U64:Z64)</f>
        <v>0</v>
      </c>
      <c r="BK64" s="482">
        <f>SUM($U64:AA64)</f>
        <v>0</v>
      </c>
      <c r="BL64" s="482">
        <f>SUM($U64:AB64)</f>
        <v>0</v>
      </c>
      <c r="BM64" s="482">
        <f>SUM($U64:AC64)</f>
        <v>0</v>
      </c>
      <c r="BN64" s="482">
        <f>SUM($U64:AD64)</f>
        <v>0</v>
      </c>
      <c r="BO64" s="482">
        <f>SUM($U64:AE64)</f>
        <v>0</v>
      </c>
      <c r="BP64" s="483">
        <f>SUM($U64:AF64)</f>
        <v>0</v>
      </c>
      <c r="BQ64" s="484">
        <f t="shared" si="6"/>
        <v>0</v>
      </c>
      <c r="BR64" s="482">
        <f>SUM($AS64:AT64)</f>
        <v>0</v>
      </c>
      <c r="BS64" s="482">
        <f>SUM($AS64:AU64)</f>
        <v>0</v>
      </c>
      <c r="BT64" s="482">
        <f>SUM($AS64:AV64)</f>
        <v>0</v>
      </c>
      <c r="BU64" s="482">
        <f>SUM($AS64:AW64)</f>
        <v>0</v>
      </c>
      <c r="BV64" s="482">
        <f>SUM($AS64:AX64)</f>
        <v>0</v>
      </c>
      <c r="BW64" s="482">
        <f>SUM($AS64:AY64)</f>
        <v>0</v>
      </c>
      <c r="BX64" s="482">
        <f>SUM($AS64:AZ64)</f>
        <v>0</v>
      </c>
      <c r="BY64" s="482">
        <f>SUM($AS64:BA64)</f>
        <v>0</v>
      </c>
      <c r="BZ64" s="482">
        <f>SUM($AS64:BB64)</f>
        <v>0</v>
      </c>
      <c r="CA64" s="482">
        <f>SUM($AS64:BC64)</f>
        <v>0</v>
      </c>
      <c r="CB64" s="483">
        <f>SUM($AS64:BD64)</f>
        <v>0</v>
      </c>
    </row>
    <row r="65" spans="1:80" s="471" customFormat="1" ht="12.75" hidden="1" customHeight="1">
      <c r="A65" s="471">
        <f t="shared" si="2"/>
        <v>56</v>
      </c>
      <c r="B65" s="628"/>
      <c r="C65" s="533"/>
      <c r="D65" s="533"/>
      <c r="E65" s="427"/>
      <c r="F65" s="586"/>
      <c r="G65" s="629"/>
      <c r="H65" s="582">
        <f t="shared" si="4"/>
        <v>58</v>
      </c>
      <c r="I65" s="524"/>
      <c r="J65" s="473"/>
      <c r="K65" s="473"/>
      <c r="L65" s="473"/>
      <c r="M65" s="473"/>
      <c r="N65" s="473"/>
      <c r="O65" s="473"/>
      <c r="P65" s="473"/>
      <c r="Q65" s="473"/>
      <c r="R65" s="473"/>
      <c r="S65" s="473"/>
      <c r="T65" s="474"/>
      <c r="U65" s="475"/>
      <c r="V65" s="473"/>
      <c r="W65" s="473"/>
      <c r="X65" s="473"/>
      <c r="Y65" s="473"/>
      <c r="Z65" s="473"/>
      <c r="AA65" s="473"/>
      <c r="AB65" s="473"/>
      <c r="AC65" s="473"/>
      <c r="AD65" s="473"/>
      <c r="AE65" s="473"/>
      <c r="AF65" s="473"/>
      <c r="AG65" s="476"/>
      <c r="AH65" s="477"/>
      <c r="AI65" s="477"/>
      <c r="AJ65" s="477"/>
      <c r="AK65" s="477"/>
      <c r="AL65" s="477"/>
      <c r="AM65" s="477"/>
      <c r="AN65" s="477"/>
      <c r="AO65" s="477"/>
      <c r="AP65" s="477"/>
      <c r="AQ65" s="477"/>
      <c r="AR65" s="478"/>
      <c r="AS65" s="479"/>
      <c r="AT65" s="480"/>
      <c r="AU65" s="480"/>
      <c r="AV65" s="480"/>
      <c r="AW65" s="480"/>
      <c r="AX65" s="480"/>
      <c r="AY65" s="480"/>
      <c r="AZ65" s="480"/>
      <c r="BA65" s="480"/>
      <c r="BB65" s="480"/>
      <c r="BC65" s="480"/>
      <c r="BD65" s="481"/>
      <c r="BE65" s="482">
        <f t="shared" si="5"/>
        <v>0</v>
      </c>
      <c r="BF65" s="482">
        <f>SUM($U65:V65)</f>
        <v>0</v>
      </c>
      <c r="BG65" s="482">
        <f>SUM($U65:W65)</f>
        <v>0</v>
      </c>
      <c r="BH65" s="482">
        <f>SUM($U65:X65)</f>
        <v>0</v>
      </c>
      <c r="BI65" s="482">
        <f>SUM($U65:Y65)</f>
        <v>0</v>
      </c>
      <c r="BJ65" s="482">
        <f>SUM($U65:Z65)</f>
        <v>0</v>
      </c>
      <c r="BK65" s="482">
        <f>SUM($U65:AA65)</f>
        <v>0</v>
      </c>
      <c r="BL65" s="482">
        <f>SUM($U65:AB65)</f>
        <v>0</v>
      </c>
      <c r="BM65" s="482">
        <f>SUM($U65:AC65)</f>
        <v>0</v>
      </c>
      <c r="BN65" s="482">
        <f>SUM($U65:AD65)</f>
        <v>0</v>
      </c>
      <c r="BO65" s="482">
        <f>SUM($U65:AE65)</f>
        <v>0</v>
      </c>
      <c r="BP65" s="483">
        <f>SUM($U65:AF65)</f>
        <v>0</v>
      </c>
      <c r="BQ65" s="484">
        <f t="shared" si="6"/>
        <v>0</v>
      </c>
      <c r="BR65" s="482">
        <f>SUM($AS65:AT65)</f>
        <v>0</v>
      </c>
      <c r="BS65" s="482">
        <f>SUM($AS65:AU65)</f>
        <v>0</v>
      </c>
      <c r="BT65" s="482">
        <f>SUM($AS65:AV65)</f>
        <v>0</v>
      </c>
      <c r="BU65" s="482">
        <f>SUM($AS65:AW65)</f>
        <v>0</v>
      </c>
      <c r="BV65" s="482">
        <f>SUM($AS65:AX65)</f>
        <v>0</v>
      </c>
      <c r="BW65" s="482">
        <f>SUM($AS65:AY65)</f>
        <v>0</v>
      </c>
      <c r="BX65" s="482">
        <f>SUM($AS65:AZ65)</f>
        <v>0</v>
      </c>
      <c r="BY65" s="482">
        <f>SUM($AS65:BA65)</f>
        <v>0</v>
      </c>
      <c r="BZ65" s="482">
        <f>SUM($AS65:BB65)</f>
        <v>0</v>
      </c>
      <c r="CA65" s="482">
        <f>SUM($AS65:BC65)</f>
        <v>0</v>
      </c>
      <c r="CB65" s="483">
        <f>SUM($AS65:BD65)</f>
        <v>0</v>
      </c>
    </row>
    <row r="66" spans="1:80" s="471" customFormat="1" ht="12.75" hidden="1" customHeight="1">
      <c r="A66" s="471">
        <f t="shared" si="2"/>
        <v>57</v>
      </c>
      <c r="B66" s="628"/>
      <c r="C66" s="533"/>
      <c r="D66" s="533"/>
      <c r="E66" s="427"/>
      <c r="F66" s="586"/>
      <c r="G66" s="629"/>
      <c r="H66" s="582">
        <f t="shared" si="4"/>
        <v>59</v>
      </c>
      <c r="I66" s="524"/>
      <c r="J66" s="473"/>
      <c r="K66" s="473"/>
      <c r="L66" s="473"/>
      <c r="M66" s="473"/>
      <c r="N66" s="473"/>
      <c r="O66" s="473"/>
      <c r="P66" s="473"/>
      <c r="Q66" s="473"/>
      <c r="R66" s="473"/>
      <c r="S66" s="473"/>
      <c r="T66" s="474"/>
      <c r="U66" s="475"/>
      <c r="V66" s="473"/>
      <c r="W66" s="473"/>
      <c r="X66" s="473"/>
      <c r="Y66" s="473"/>
      <c r="Z66" s="473"/>
      <c r="AA66" s="473"/>
      <c r="AB66" s="473"/>
      <c r="AC66" s="473"/>
      <c r="AD66" s="473"/>
      <c r="AE66" s="473"/>
      <c r="AF66" s="473"/>
      <c r="AG66" s="476"/>
      <c r="AH66" s="477"/>
      <c r="AI66" s="477"/>
      <c r="AJ66" s="477"/>
      <c r="AK66" s="477"/>
      <c r="AL66" s="477"/>
      <c r="AM66" s="477"/>
      <c r="AN66" s="477"/>
      <c r="AO66" s="477"/>
      <c r="AP66" s="477"/>
      <c r="AQ66" s="477"/>
      <c r="AR66" s="478"/>
      <c r="AS66" s="479"/>
      <c r="AT66" s="480"/>
      <c r="AU66" s="480"/>
      <c r="AV66" s="480"/>
      <c r="AW66" s="480"/>
      <c r="AX66" s="480"/>
      <c r="AY66" s="480"/>
      <c r="AZ66" s="480"/>
      <c r="BA66" s="480"/>
      <c r="BB66" s="480"/>
      <c r="BC66" s="480"/>
      <c r="BD66" s="481"/>
      <c r="BE66" s="482">
        <f t="shared" si="5"/>
        <v>0</v>
      </c>
      <c r="BF66" s="482">
        <f>SUM($U66:V66)</f>
        <v>0</v>
      </c>
      <c r="BG66" s="482">
        <f>SUM($U66:W66)</f>
        <v>0</v>
      </c>
      <c r="BH66" s="482">
        <f>SUM($U66:X66)</f>
        <v>0</v>
      </c>
      <c r="BI66" s="482">
        <f>SUM($U66:Y66)</f>
        <v>0</v>
      </c>
      <c r="BJ66" s="482">
        <f>SUM($U66:Z66)</f>
        <v>0</v>
      </c>
      <c r="BK66" s="482">
        <f>SUM($U66:AA66)</f>
        <v>0</v>
      </c>
      <c r="BL66" s="482">
        <f>SUM($U66:AB66)</f>
        <v>0</v>
      </c>
      <c r="BM66" s="482">
        <f>SUM($U66:AC66)</f>
        <v>0</v>
      </c>
      <c r="BN66" s="482">
        <f>SUM($U66:AD66)</f>
        <v>0</v>
      </c>
      <c r="BO66" s="482">
        <f>SUM($U66:AE66)</f>
        <v>0</v>
      </c>
      <c r="BP66" s="483">
        <f>SUM($U66:AF66)</f>
        <v>0</v>
      </c>
      <c r="BQ66" s="484">
        <f t="shared" si="6"/>
        <v>0</v>
      </c>
      <c r="BR66" s="482">
        <f>SUM($AS66:AT66)</f>
        <v>0</v>
      </c>
      <c r="BS66" s="482">
        <f>SUM($AS66:AU66)</f>
        <v>0</v>
      </c>
      <c r="BT66" s="482">
        <f>SUM($AS66:AV66)</f>
        <v>0</v>
      </c>
      <c r="BU66" s="482">
        <f>SUM($AS66:AW66)</f>
        <v>0</v>
      </c>
      <c r="BV66" s="482">
        <f>SUM($AS66:AX66)</f>
        <v>0</v>
      </c>
      <c r="BW66" s="482">
        <f>SUM($AS66:AY66)</f>
        <v>0</v>
      </c>
      <c r="BX66" s="482">
        <f>SUM($AS66:AZ66)</f>
        <v>0</v>
      </c>
      <c r="BY66" s="482">
        <f>SUM($AS66:BA66)</f>
        <v>0</v>
      </c>
      <c r="BZ66" s="482">
        <f>SUM($AS66:BB66)</f>
        <v>0</v>
      </c>
      <c r="CA66" s="482">
        <f>SUM($AS66:BC66)</f>
        <v>0</v>
      </c>
      <c r="CB66" s="483">
        <f>SUM($AS66:BD66)</f>
        <v>0</v>
      </c>
    </row>
    <row r="67" spans="1:80" s="471" customFormat="1" ht="12.75" hidden="1" customHeight="1">
      <c r="A67" s="471">
        <f t="shared" si="2"/>
        <v>58</v>
      </c>
      <c r="B67" s="628"/>
      <c r="C67" s="533"/>
      <c r="D67" s="533"/>
      <c r="E67" s="427"/>
      <c r="F67" s="586"/>
      <c r="G67" s="629"/>
      <c r="H67" s="582">
        <f t="shared" si="4"/>
        <v>60</v>
      </c>
      <c r="I67" s="524"/>
      <c r="J67" s="473"/>
      <c r="K67" s="473"/>
      <c r="L67" s="473"/>
      <c r="M67" s="473"/>
      <c r="N67" s="473"/>
      <c r="O67" s="473"/>
      <c r="P67" s="473"/>
      <c r="Q67" s="473"/>
      <c r="R67" s="473"/>
      <c r="S67" s="473"/>
      <c r="T67" s="474"/>
      <c r="U67" s="475"/>
      <c r="V67" s="473"/>
      <c r="W67" s="473"/>
      <c r="X67" s="473"/>
      <c r="Y67" s="473"/>
      <c r="Z67" s="473"/>
      <c r="AA67" s="473"/>
      <c r="AB67" s="473"/>
      <c r="AC67" s="473"/>
      <c r="AD67" s="473"/>
      <c r="AE67" s="473"/>
      <c r="AF67" s="473"/>
      <c r="AG67" s="476"/>
      <c r="AH67" s="477"/>
      <c r="AI67" s="477"/>
      <c r="AJ67" s="477"/>
      <c r="AK67" s="477"/>
      <c r="AL67" s="477"/>
      <c r="AM67" s="477"/>
      <c r="AN67" s="477"/>
      <c r="AO67" s="477"/>
      <c r="AP67" s="477"/>
      <c r="AQ67" s="477"/>
      <c r="AR67" s="478"/>
      <c r="AS67" s="479"/>
      <c r="AT67" s="480"/>
      <c r="AU67" s="480"/>
      <c r="AV67" s="480"/>
      <c r="AW67" s="480"/>
      <c r="AX67" s="480"/>
      <c r="AY67" s="480"/>
      <c r="AZ67" s="480"/>
      <c r="BA67" s="480"/>
      <c r="BB67" s="480"/>
      <c r="BC67" s="480"/>
      <c r="BD67" s="481"/>
      <c r="BE67" s="482">
        <f t="shared" si="5"/>
        <v>0</v>
      </c>
      <c r="BF67" s="482">
        <f>SUM($U67:V67)</f>
        <v>0</v>
      </c>
      <c r="BG67" s="482">
        <f>SUM($U67:W67)</f>
        <v>0</v>
      </c>
      <c r="BH67" s="482">
        <f>SUM($U67:X67)</f>
        <v>0</v>
      </c>
      <c r="BI67" s="482">
        <f>SUM($U67:Y67)</f>
        <v>0</v>
      </c>
      <c r="BJ67" s="482">
        <f>SUM($U67:Z67)</f>
        <v>0</v>
      </c>
      <c r="BK67" s="482">
        <f>SUM($U67:AA67)</f>
        <v>0</v>
      </c>
      <c r="BL67" s="482">
        <f>SUM($U67:AB67)</f>
        <v>0</v>
      </c>
      <c r="BM67" s="482">
        <f>SUM($U67:AC67)</f>
        <v>0</v>
      </c>
      <c r="BN67" s="482">
        <f>SUM($U67:AD67)</f>
        <v>0</v>
      </c>
      <c r="BO67" s="482">
        <f>SUM($U67:AE67)</f>
        <v>0</v>
      </c>
      <c r="BP67" s="483">
        <f>SUM($U67:AF67)</f>
        <v>0</v>
      </c>
      <c r="BQ67" s="484">
        <f t="shared" si="6"/>
        <v>0</v>
      </c>
      <c r="BR67" s="482">
        <f>SUM($AS67:AT67)</f>
        <v>0</v>
      </c>
      <c r="BS67" s="482">
        <f>SUM($AS67:AU67)</f>
        <v>0</v>
      </c>
      <c r="BT67" s="482">
        <f>SUM($AS67:AV67)</f>
        <v>0</v>
      </c>
      <c r="BU67" s="482">
        <f>SUM($AS67:AW67)</f>
        <v>0</v>
      </c>
      <c r="BV67" s="482">
        <f>SUM($AS67:AX67)</f>
        <v>0</v>
      </c>
      <c r="BW67" s="482">
        <f>SUM($AS67:AY67)</f>
        <v>0</v>
      </c>
      <c r="BX67" s="482">
        <f>SUM($AS67:AZ67)</f>
        <v>0</v>
      </c>
      <c r="BY67" s="482">
        <f>SUM($AS67:BA67)</f>
        <v>0</v>
      </c>
      <c r="BZ67" s="482">
        <f>SUM($AS67:BB67)</f>
        <v>0</v>
      </c>
      <c r="CA67" s="482">
        <f>SUM($AS67:BC67)</f>
        <v>0</v>
      </c>
      <c r="CB67" s="483">
        <f>SUM($AS67:BD67)</f>
        <v>0</v>
      </c>
    </row>
    <row r="68" spans="1:80" s="471" customFormat="1" ht="12.75" hidden="1" customHeight="1">
      <c r="A68" s="471">
        <f t="shared" si="2"/>
        <v>59</v>
      </c>
      <c r="B68" s="628"/>
      <c r="C68" s="533"/>
      <c r="D68" s="533"/>
      <c r="E68" s="427"/>
      <c r="F68" s="586"/>
      <c r="G68" s="629"/>
      <c r="H68" s="582">
        <f t="shared" si="4"/>
        <v>61</v>
      </c>
      <c r="I68" s="524"/>
      <c r="J68" s="473"/>
      <c r="K68" s="473"/>
      <c r="L68" s="473"/>
      <c r="M68" s="473"/>
      <c r="N68" s="473"/>
      <c r="O68" s="473"/>
      <c r="P68" s="473"/>
      <c r="Q68" s="473"/>
      <c r="R68" s="473"/>
      <c r="S68" s="473"/>
      <c r="T68" s="474"/>
      <c r="U68" s="475"/>
      <c r="V68" s="473"/>
      <c r="W68" s="473"/>
      <c r="X68" s="473"/>
      <c r="Y68" s="473"/>
      <c r="Z68" s="473"/>
      <c r="AA68" s="473"/>
      <c r="AB68" s="473"/>
      <c r="AC68" s="473"/>
      <c r="AD68" s="473"/>
      <c r="AE68" s="473"/>
      <c r="AF68" s="473"/>
      <c r="AG68" s="476"/>
      <c r="AH68" s="477"/>
      <c r="AI68" s="477"/>
      <c r="AJ68" s="477"/>
      <c r="AK68" s="477"/>
      <c r="AL68" s="477"/>
      <c r="AM68" s="477"/>
      <c r="AN68" s="477"/>
      <c r="AO68" s="477"/>
      <c r="AP68" s="477"/>
      <c r="AQ68" s="477"/>
      <c r="AR68" s="478"/>
      <c r="AS68" s="479"/>
      <c r="AT68" s="480"/>
      <c r="AU68" s="480"/>
      <c r="AV68" s="480"/>
      <c r="AW68" s="480"/>
      <c r="AX68" s="480"/>
      <c r="AY68" s="480"/>
      <c r="AZ68" s="480"/>
      <c r="BA68" s="480"/>
      <c r="BB68" s="480"/>
      <c r="BC68" s="480"/>
      <c r="BD68" s="481"/>
      <c r="BE68" s="482">
        <f t="shared" si="5"/>
        <v>0</v>
      </c>
      <c r="BF68" s="482">
        <f>SUM($U68:V68)</f>
        <v>0</v>
      </c>
      <c r="BG68" s="482">
        <f>SUM($U68:W68)</f>
        <v>0</v>
      </c>
      <c r="BH68" s="482">
        <f>SUM($U68:X68)</f>
        <v>0</v>
      </c>
      <c r="BI68" s="482">
        <f>SUM($U68:Y68)</f>
        <v>0</v>
      </c>
      <c r="BJ68" s="482">
        <f>SUM($U68:Z68)</f>
        <v>0</v>
      </c>
      <c r="BK68" s="482">
        <f>SUM($U68:AA68)</f>
        <v>0</v>
      </c>
      <c r="BL68" s="482">
        <f>SUM($U68:AB68)</f>
        <v>0</v>
      </c>
      <c r="BM68" s="482">
        <f>SUM($U68:AC68)</f>
        <v>0</v>
      </c>
      <c r="BN68" s="482">
        <f>SUM($U68:AD68)</f>
        <v>0</v>
      </c>
      <c r="BO68" s="482">
        <f>SUM($U68:AE68)</f>
        <v>0</v>
      </c>
      <c r="BP68" s="483">
        <f>SUM($U68:AF68)</f>
        <v>0</v>
      </c>
      <c r="BQ68" s="484">
        <f t="shared" si="6"/>
        <v>0</v>
      </c>
      <c r="BR68" s="482">
        <f>SUM($AS68:AT68)</f>
        <v>0</v>
      </c>
      <c r="BS68" s="482">
        <f>SUM($AS68:AU68)</f>
        <v>0</v>
      </c>
      <c r="BT68" s="482">
        <f>SUM($AS68:AV68)</f>
        <v>0</v>
      </c>
      <c r="BU68" s="482">
        <f>SUM($AS68:AW68)</f>
        <v>0</v>
      </c>
      <c r="BV68" s="482">
        <f>SUM($AS68:AX68)</f>
        <v>0</v>
      </c>
      <c r="BW68" s="482">
        <f>SUM($AS68:AY68)</f>
        <v>0</v>
      </c>
      <c r="BX68" s="482">
        <f>SUM($AS68:AZ68)</f>
        <v>0</v>
      </c>
      <c r="BY68" s="482">
        <f>SUM($AS68:BA68)</f>
        <v>0</v>
      </c>
      <c r="BZ68" s="482">
        <f>SUM($AS68:BB68)</f>
        <v>0</v>
      </c>
      <c r="CA68" s="482">
        <f>SUM($AS68:BC68)</f>
        <v>0</v>
      </c>
      <c r="CB68" s="483">
        <f>SUM($AS68:BD68)</f>
        <v>0</v>
      </c>
    </row>
    <row r="69" spans="1:80" s="471" customFormat="1" ht="12.75" hidden="1" customHeight="1">
      <c r="A69" s="471">
        <f t="shared" si="2"/>
        <v>60</v>
      </c>
      <c r="B69" s="628"/>
      <c r="C69" s="533"/>
      <c r="D69" s="533"/>
      <c r="E69" s="427"/>
      <c r="F69" s="586"/>
      <c r="G69" s="629"/>
      <c r="H69" s="582">
        <f t="shared" si="4"/>
        <v>62</v>
      </c>
      <c r="I69" s="524"/>
      <c r="J69" s="473"/>
      <c r="K69" s="473"/>
      <c r="L69" s="473"/>
      <c r="M69" s="473"/>
      <c r="N69" s="473"/>
      <c r="O69" s="473"/>
      <c r="P69" s="473"/>
      <c r="Q69" s="473"/>
      <c r="R69" s="473"/>
      <c r="S69" s="473"/>
      <c r="T69" s="474"/>
      <c r="U69" s="475"/>
      <c r="V69" s="473"/>
      <c r="W69" s="473"/>
      <c r="X69" s="473"/>
      <c r="Y69" s="473"/>
      <c r="Z69" s="473"/>
      <c r="AA69" s="473"/>
      <c r="AB69" s="473"/>
      <c r="AC69" s="473"/>
      <c r="AD69" s="473"/>
      <c r="AE69" s="473"/>
      <c r="AF69" s="473"/>
      <c r="AG69" s="476"/>
      <c r="AH69" s="477"/>
      <c r="AI69" s="477"/>
      <c r="AJ69" s="477"/>
      <c r="AK69" s="477"/>
      <c r="AL69" s="477"/>
      <c r="AM69" s="477"/>
      <c r="AN69" s="477"/>
      <c r="AO69" s="477"/>
      <c r="AP69" s="477"/>
      <c r="AQ69" s="477"/>
      <c r="AR69" s="478"/>
      <c r="AS69" s="479"/>
      <c r="AT69" s="480"/>
      <c r="AU69" s="480"/>
      <c r="AV69" s="480"/>
      <c r="AW69" s="480"/>
      <c r="AX69" s="480"/>
      <c r="AY69" s="480"/>
      <c r="AZ69" s="480"/>
      <c r="BA69" s="480"/>
      <c r="BB69" s="480"/>
      <c r="BC69" s="480"/>
      <c r="BD69" s="481"/>
      <c r="BE69" s="482">
        <f t="shared" si="5"/>
        <v>0</v>
      </c>
      <c r="BF69" s="482">
        <f>SUM($U69:V69)</f>
        <v>0</v>
      </c>
      <c r="BG69" s="482">
        <f>SUM($U69:W69)</f>
        <v>0</v>
      </c>
      <c r="BH69" s="482">
        <f>SUM($U69:X69)</f>
        <v>0</v>
      </c>
      <c r="BI69" s="482">
        <f>SUM($U69:Y69)</f>
        <v>0</v>
      </c>
      <c r="BJ69" s="482">
        <f>SUM($U69:Z69)</f>
        <v>0</v>
      </c>
      <c r="BK69" s="482">
        <f>SUM($U69:AA69)</f>
        <v>0</v>
      </c>
      <c r="BL69" s="482">
        <f>SUM($U69:AB69)</f>
        <v>0</v>
      </c>
      <c r="BM69" s="482">
        <f>SUM($U69:AC69)</f>
        <v>0</v>
      </c>
      <c r="BN69" s="482">
        <f>SUM($U69:AD69)</f>
        <v>0</v>
      </c>
      <c r="BO69" s="482">
        <f>SUM($U69:AE69)</f>
        <v>0</v>
      </c>
      <c r="BP69" s="483">
        <f>SUM($U69:AF69)</f>
        <v>0</v>
      </c>
      <c r="BQ69" s="484">
        <f t="shared" si="6"/>
        <v>0</v>
      </c>
      <c r="BR69" s="482">
        <f>SUM($AS69:AT69)</f>
        <v>0</v>
      </c>
      <c r="BS69" s="482">
        <f>SUM($AS69:AU69)</f>
        <v>0</v>
      </c>
      <c r="BT69" s="482">
        <f>SUM($AS69:AV69)</f>
        <v>0</v>
      </c>
      <c r="BU69" s="482">
        <f>SUM($AS69:AW69)</f>
        <v>0</v>
      </c>
      <c r="BV69" s="482">
        <f>SUM($AS69:AX69)</f>
        <v>0</v>
      </c>
      <c r="BW69" s="482">
        <f>SUM($AS69:AY69)</f>
        <v>0</v>
      </c>
      <c r="BX69" s="482">
        <f>SUM($AS69:AZ69)</f>
        <v>0</v>
      </c>
      <c r="BY69" s="482">
        <f>SUM($AS69:BA69)</f>
        <v>0</v>
      </c>
      <c r="BZ69" s="482">
        <f>SUM($AS69:BB69)</f>
        <v>0</v>
      </c>
      <c r="CA69" s="482">
        <f>SUM($AS69:BC69)</f>
        <v>0</v>
      </c>
      <c r="CB69" s="483">
        <f>SUM($AS69:BD69)</f>
        <v>0</v>
      </c>
    </row>
    <row r="70" spans="1:80" s="471" customFormat="1" ht="12.75" hidden="1" customHeight="1">
      <c r="A70" s="471">
        <f t="shared" si="2"/>
        <v>61</v>
      </c>
      <c r="B70" s="628"/>
      <c r="C70" s="533"/>
      <c r="D70" s="533"/>
      <c r="E70" s="427"/>
      <c r="F70" s="586"/>
      <c r="G70" s="629"/>
      <c r="H70" s="582">
        <f t="shared" si="4"/>
        <v>63</v>
      </c>
      <c r="I70" s="524"/>
      <c r="J70" s="473"/>
      <c r="K70" s="473"/>
      <c r="L70" s="473"/>
      <c r="M70" s="473"/>
      <c r="N70" s="473"/>
      <c r="O70" s="473"/>
      <c r="P70" s="473"/>
      <c r="Q70" s="473"/>
      <c r="R70" s="473"/>
      <c r="S70" s="473"/>
      <c r="T70" s="474"/>
      <c r="U70" s="475"/>
      <c r="V70" s="473"/>
      <c r="W70" s="473"/>
      <c r="X70" s="473"/>
      <c r="Y70" s="473"/>
      <c r="Z70" s="473"/>
      <c r="AA70" s="473"/>
      <c r="AB70" s="473"/>
      <c r="AC70" s="473"/>
      <c r="AD70" s="473"/>
      <c r="AE70" s="473"/>
      <c r="AF70" s="473"/>
      <c r="AG70" s="476"/>
      <c r="AH70" s="477"/>
      <c r="AI70" s="477"/>
      <c r="AJ70" s="477"/>
      <c r="AK70" s="477"/>
      <c r="AL70" s="477"/>
      <c r="AM70" s="477"/>
      <c r="AN70" s="477"/>
      <c r="AO70" s="477"/>
      <c r="AP70" s="477"/>
      <c r="AQ70" s="477"/>
      <c r="AR70" s="478"/>
      <c r="AS70" s="479"/>
      <c r="AT70" s="480"/>
      <c r="AU70" s="480"/>
      <c r="AV70" s="480"/>
      <c r="AW70" s="480"/>
      <c r="AX70" s="480"/>
      <c r="AY70" s="480"/>
      <c r="AZ70" s="480"/>
      <c r="BA70" s="480"/>
      <c r="BB70" s="480"/>
      <c r="BC70" s="480"/>
      <c r="BD70" s="481"/>
      <c r="BE70" s="482">
        <f t="shared" si="5"/>
        <v>0</v>
      </c>
      <c r="BF70" s="482">
        <f>SUM($U70:V70)</f>
        <v>0</v>
      </c>
      <c r="BG70" s="482">
        <f>SUM($U70:W70)</f>
        <v>0</v>
      </c>
      <c r="BH70" s="482">
        <f>SUM($U70:X70)</f>
        <v>0</v>
      </c>
      <c r="BI70" s="482">
        <f>SUM($U70:Y70)</f>
        <v>0</v>
      </c>
      <c r="BJ70" s="482">
        <f>SUM($U70:Z70)</f>
        <v>0</v>
      </c>
      <c r="BK70" s="482">
        <f>SUM($U70:AA70)</f>
        <v>0</v>
      </c>
      <c r="BL70" s="482">
        <f>SUM($U70:AB70)</f>
        <v>0</v>
      </c>
      <c r="BM70" s="482">
        <f>SUM($U70:AC70)</f>
        <v>0</v>
      </c>
      <c r="BN70" s="482">
        <f>SUM($U70:AD70)</f>
        <v>0</v>
      </c>
      <c r="BO70" s="482">
        <f>SUM($U70:AE70)</f>
        <v>0</v>
      </c>
      <c r="BP70" s="483">
        <f>SUM($U70:AF70)</f>
        <v>0</v>
      </c>
      <c r="BQ70" s="484">
        <f t="shared" si="6"/>
        <v>0</v>
      </c>
      <c r="BR70" s="482">
        <f>SUM($AS70:AT70)</f>
        <v>0</v>
      </c>
      <c r="BS70" s="482">
        <f>SUM($AS70:AU70)</f>
        <v>0</v>
      </c>
      <c r="BT70" s="482">
        <f>SUM($AS70:AV70)</f>
        <v>0</v>
      </c>
      <c r="BU70" s="482">
        <f>SUM($AS70:AW70)</f>
        <v>0</v>
      </c>
      <c r="BV70" s="482">
        <f>SUM($AS70:AX70)</f>
        <v>0</v>
      </c>
      <c r="BW70" s="482">
        <f>SUM($AS70:AY70)</f>
        <v>0</v>
      </c>
      <c r="BX70" s="482">
        <f>SUM($AS70:AZ70)</f>
        <v>0</v>
      </c>
      <c r="BY70" s="482">
        <f>SUM($AS70:BA70)</f>
        <v>0</v>
      </c>
      <c r="BZ70" s="482">
        <f>SUM($AS70:BB70)</f>
        <v>0</v>
      </c>
      <c r="CA70" s="482">
        <f>SUM($AS70:BC70)</f>
        <v>0</v>
      </c>
      <c r="CB70" s="483">
        <f>SUM($AS70:BD70)</f>
        <v>0</v>
      </c>
    </row>
    <row r="71" spans="1:80" s="471" customFormat="1" ht="12.75" hidden="1" customHeight="1">
      <c r="A71" s="471">
        <f t="shared" si="2"/>
        <v>62</v>
      </c>
      <c r="B71" s="628"/>
      <c r="C71" s="533"/>
      <c r="D71" s="533"/>
      <c r="E71" s="427"/>
      <c r="F71" s="586"/>
      <c r="G71" s="629"/>
      <c r="H71" s="582">
        <f t="shared" si="4"/>
        <v>64</v>
      </c>
      <c r="I71" s="524"/>
      <c r="J71" s="473"/>
      <c r="K71" s="473"/>
      <c r="L71" s="473"/>
      <c r="M71" s="473"/>
      <c r="N71" s="473"/>
      <c r="O71" s="473"/>
      <c r="P71" s="473"/>
      <c r="Q71" s="473"/>
      <c r="R71" s="473"/>
      <c r="S71" s="473"/>
      <c r="T71" s="474"/>
      <c r="U71" s="475"/>
      <c r="V71" s="473"/>
      <c r="W71" s="473"/>
      <c r="X71" s="473"/>
      <c r="Y71" s="473"/>
      <c r="Z71" s="473"/>
      <c r="AA71" s="473"/>
      <c r="AB71" s="473"/>
      <c r="AC71" s="473"/>
      <c r="AD71" s="473"/>
      <c r="AE71" s="473"/>
      <c r="AF71" s="473"/>
      <c r="AG71" s="476"/>
      <c r="AH71" s="477"/>
      <c r="AI71" s="477"/>
      <c r="AJ71" s="477"/>
      <c r="AK71" s="477"/>
      <c r="AL71" s="477"/>
      <c r="AM71" s="477"/>
      <c r="AN71" s="477"/>
      <c r="AO71" s="477"/>
      <c r="AP71" s="477"/>
      <c r="AQ71" s="477"/>
      <c r="AR71" s="478"/>
      <c r="AS71" s="479"/>
      <c r="AT71" s="480"/>
      <c r="AU71" s="480"/>
      <c r="AV71" s="480"/>
      <c r="AW71" s="480"/>
      <c r="AX71" s="480"/>
      <c r="AY71" s="480"/>
      <c r="AZ71" s="480"/>
      <c r="BA71" s="480"/>
      <c r="BB71" s="480"/>
      <c r="BC71" s="480"/>
      <c r="BD71" s="481"/>
      <c r="BE71" s="482">
        <f t="shared" si="5"/>
        <v>0</v>
      </c>
      <c r="BF71" s="482">
        <f>SUM($U71:V71)</f>
        <v>0</v>
      </c>
      <c r="BG71" s="482">
        <f>SUM($U71:W71)</f>
        <v>0</v>
      </c>
      <c r="BH71" s="482">
        <f>SUM($U71:X71)</f>
        <v>0</v>
      </c>
      <c r="BI71" s="482">
        <f>SUM($U71:Y71)</f>
        <v>0</v>
      </c>
      <c r="BJ71" s="482">
        <f>SUM($U71:Z71)</f>
        <v>0</v>
      </c>
      <c r="BK71" s="482">
        <f>SUM($U71:AA71)</f>
        <v>0</v>
      </c>
      <c r="BL71" s="482">
        <f>SUM($U71:AB71)</f>
        <v>0</v>
      </c>
      <c r="BM71" s="482">
        <f>SUM($U71:AC71)</f>
        <v>0</v>
      </c>
      <c r="BN71" s="482">
        <f>SUM($U71:AD71)</f>
        <v>0</v>
      </c>
      <c r="BO71" s="482">
        <f>SUM($U71:AE71)</f>
        <v>0</v>
      </c>
      <c r="BP71" s="483">
        <f>SUM($U71:AF71)</f>
        <v>0</v>
      </c>
      <c r="BQ71" s="484">
        <f t="shared" si="6"/>
        <v>0</v>
      </c>
      <c r="BR71" s="482">
        <f>SUM($AS71:AT71)</f>
        <v>0</v>
      </c>
      <c r="BS71" s="482">
        <f>SUM($AS71:AU71)</f>
        <v>0</v>
      </c>
      <c r="BT71" s="482">
        <f>SUM($AS71:AV71)</f>
        <v>0</v>
      </c>
      <c r="BU71" s="482">
        <f>SUM($AS71:AW71)</f>
        <v>0</v>
      </c>
      <c r="BV71" s="482">
        <f>SUM($AS71:AX71)</f>
        <v>0</v>
      </c>
      <c r="BW71" s="482">
        <f>SUM($AS71:AY71)</f>
        <v>0</v>
      </c>
      <c r="BX71" s="482">
        <f>SUM($AS71:AZ71)</f>
        <v>0</v>
      </c>
      <c r="BY71" s="482">
        <f>SUM($AS71:BA71)</f>
        <v>0</v>
      </c>
      <c r="BZ71" s="482">
        <f>SUM($AS71:BB71)</f>
        <v>0</v>
      </c>
      <c r="CA71" s="482">
        <f>SUM($AS71:BC71)</f>
        <v>0</v>
      </c>
      <c r="CB71" s="483">
        <f>SUM($AS71:BD71)</f>
        <v>0</v>
      </c>
    </row>
    <row r="72" spans="1:80" s="471" customFormat="1" ht="12.75" hidden="1" customHeight="1">
      <c r="A72" s="471">
        <f t="shared" si="2"/>
        <v>63</v>
      </c>
      <c r="B72" s="628"/>
      <c r="C72" s="533"/>
      <c r="D72" s="533"/>
      <c r="E72" s="427"/>
      <c r="F72" s="586"/>
      <c r="G72" s="629"/>
      <c r="H72" s="582">
        <f t="shared" si="4"/>
        <v>65</v>
      </c>
      <c r="I72" s="524"/>
      <c r="J72" s="473"/>
      <c r="K72" s="473"/>
      <c r="L72" s="473"/>
      <c r="M72" s="473"/>
      <c r="N72" s="473"/>
      <c r="O72" s="473"/>
      <c r="P72" s="473"/>
      <c r="Q72" s="473"/>
      <c r="R72" s="473"/>
      <c r="S72" s="473"/>
      <c r="T72" s="474"/>
      <c r="U72" s="475"/>
      <c r="V72" s="473"/>
      <c r="W72" s="473"/>
      <c r="X72" s="473"/>
      <c r="Y72" s="473"/>
      <c r="Z72" s="473"/>
      <c r="AA72" s="473"/>
      <c r="AB72" s="473"/>
      <c r="AC72" s="473"/>
      <c r="AD72" s="473"/>
      <c r="AE72" s="473"/>
      <c r="AF72" s="473"/>
      <c r="AG72" s="476"/>
      <c r="AH72" s="477"/>
      <c r="AI72" s="477"/>
      <c r="AJ72" s="477"/>
      <c r="AK72" s="477"/>
      <c r="AL72" s="477"/>
      <c r="AM72" s="477"/>
      <c r="AN72" s="477"/>
      <c r="AO72" s="477"/>
      <c r="AP72" s="477"/>
      <c r="AQ72" s="477"/>
      <c r="AR72" s="478"/>
      <c r="AS72" s="479"/>
      <c r="AT72" s="480"/>
      <c r="AU72" s="480"/>
      <c r="AV72" s="480"/>
      <c r="AW72" s="480"/>
      <c r="AX72" s="480"/>
      <c r="AY72" s="480"/>
      <c r="AZ72" s="480"/>
      <c r="BA72" s="480"/>
      <c r="BB72" s="480"/>
      <c r="BC72" s="480"/>
      <c r="BD72" s="481"/>
      <c r="BE72" s="482">
        <f t="shared" si="5"/>
        <v>0</v>
      </c>
      <c r="BF72" s="482">
        <f>SUM($U72:V72)</f>
        <v>0</v>
      </c>
      <c r="BG72" s="482">
        <f>SUM($U72:W72)</f>
        <v>0</v>
      </c>
      <c r="BH72" s="482">
        <f>SUM($U72:X72)</f>
        <v>0</v>
      </c>
      <c r="BI72" s="482">
        <f>SUM($U72:Y72)</f>
        <v>0</v>
      </c>
      <c r="BJ72" s="482">
        <f>SUM($U72:Z72)</f>
        <v>0</v>
      </c>
      <c r="BK72" s="482">
        <f>SUM($U72:AA72)</f>
        <v>0</v>
      </c>
      <c r="BL72" s="482">
        <f>SUM($U72:AB72)</f>
        <v>0</v>
      </c>
      <c r="BM72" s="482">
        <f>SUM($U72:AC72)</f>
        <v>0</v>
      </c>
      <c r="BN72" s="482">
        <f>SUM($U72:AD72)</f>
        <v>0</v>
      </c>
      <c r="BO72" s="482">
        <f>SUM($U72:AE72)</f>
        <v>0</v>
      </c>
      <c r="BP72" s="483">
        <f>SUM($U72:AF72)</f>
        <v>0</v>
      </c>
      <c r="BQ72" s="484">
        <f t="shared" si="6"/>
        <v>0</v>
      </c>
      <c r="BR72" s="482">
        <f>SUM($AS72:AT72)</f>
        <v>0</v>
      </c>
      <c r="BS72" s="482">
        <f>SUM($AS72:AU72)</f>
        <v>0</v>
      </c>
      <c r="BT72" s="482">
        <f>SUM($AS72:AV72)</f>
        <v>0</v>
      </c>
      <c r="BU72" s="482">
        <f>SUM($AS72:AW72)</f>
        <v>0</v>
      </c>
      <c r="BV72" s="482">
        <f>SUM($AS72:AX72)</f>
        <v>0</v>
      </c>
      <c r="BW72" s="482">
        <f>SUM($AS72:AY72)</f>
        <v>0</v>
      </c>
      <c r="BX72" s="482">
        <f>SUM($AS72:AZ72)</f>
        <v>0</v>
      </c>
      <c r="BY72" s="482">
        <f>SUM($AS72:BA72)</f>
        <v>0</v>
      </c>
      <c r="BZ72" s="482">
        <f>SUM($AS72:BB72)</f>
        <v>0</v>
      </c>
      <c r="CA72" s="482">
        <f>SUM($AS72:BC72)</f>
        <v>0</v>
      </c>
      <c r="CB72" s="483">
        <f>SUM($AS72:BD72)</f>
        <v>0</v>
      </c>
    </row>
    <row r="73" spans="1:80" s="471" customFormat="1" ht="12.75" hidden="1" customHeight="1">
      <c r="A73" s="471">
        <f t="shared" si="2"/>
        <v>64</v>
      </c>
      <c r="B73" s="628"/>
      <c r="C73" s="533"/>
      <c r="D73" s="533"/>
      <c r="E73" s="427"/>
      <c r="F73" s="586"/>
      <c r="G73" s="629"/>
      <c r="H73" s="582">
        <f t="shared" si="4"/>
        <v>66</v>
      </c>
      <c r="I73" s="524"/>
      <c r="J73" s="473"/>
      <c r="K73" s="473"/>
      <c r="L73" s="473"/>
      <c r="M73" s="473"/>
      <c r="N73" s="473"/>
      <c r="O73" s="473"/>
      <c r="P73" s="473"/>
      <c r="Q73" s="473"/>
      <c r="R73" s="473"/>
      <c r="S73" s="473"/>
      <c r="T73" s="474"/>
      <c r="U73" s="475"/>
      <c r="V73" s="473"/>
      <c r="W73" s="473"/>
      <c r="X73" s="473"/>
      <c r="Y73" s="473"/>
      <c r="Z73" s="473"/>
      <c r="AA73" s="473"/>
      <c r="AB73" s="473"/>
      <c r="AC73" s="473"/>
      <c r="AD73" s="473"/>
      <c r="AE73" s="473"/>
      <c r="AF73" s="473"/>
      <c r="AG73" s="476"/>
      <c r="AH73" s="477"/>
      <c r="AI73" s="477"/>
      <c r="AJ73" s="477"/>
      <c r="AK73" s="477"/>
      <c r="AL73" s="477"/>
      <c r="AM73" s="477"/>
      <c r="AN73" s="477"/>
      <c r="AO73" s="477"/>
      <c r="AP73" s="477"/>
      <c r="AQ73" s="477"/>
      <c r="AR73" s="478"/>
      <c r="AS73" s="479"/>
      <c r="AT73" s="480"/>
      <c r="AU73" s="480"/>
      <c r="AV73" s="480"/>
      <c r="AW73" s="480"/>
      <c r="AX73" s="480"/>
      <c r="AY73" s="480"/>
      <c r="AZ73" s="480"/>
      <c r="BA73" s="480"/>
      <c r="BB73" s="480"/>
      <c r="BC73" s="480"/>
      <c r="BD73" s="481"/>
      <c r="BE73" s="482">
        <f t="shared" si="5"/>
        <v>0</v>
      </c>
      <c r="BF73" s="482">
        <f>SUM($U73:V73)</f>
        <v>0</v>
      </c>
      <c r="BG73" s="482">
        <f>SUM($U73:W73)</f>
        <v>0</v>
      </c>
      <c r="BH73" s="482">
        <f>SUM($U73:X73)</f>
        <v>0</v>
      </c>
      <c r="BI73" s="482">
        <f>SUM($U73:Y73)</f>
        <v>0</v>
      </c>
      <c r="BJ73" s="482">
        <f>SUM($U73:Z73)</f>
        <v>0</v>
      </c>
      <c r="BK73" s="482">
        <f>SUM($U73:AA73)</f>
        <v>0</v>
      </c>
      <c r="BL73" s="482">
        <f>SUM($U73:AB73)</f>
        <v>0</v>
      </c>
      <c r="BM73" s="482">
        <f>SUM($U73:AC73)</f>
        <v>0</v>
      </c>
      <c r="BN73" s="482">
        <f>SUM($U73:AD73)</f>
        <v>0</v>
      </c>
      <c r="BO73" s="482">
        <f>SUM($U73:AE73)</f>
        <v>0</v>
      </c>
      <c r="BP73" s="483">
        <f>SUM($U73:AF73)</f>
        <v>0</v>
      </c>
      <c r="BQ73" s="484">
        <f t="shared" si="6"/>
        <v>0</v>
      </c>
      <c r="BR73" s="482">
        <f>SUM($AS73:AT73)</f>
        <v>0</v>
      </c>
      <c r="BS73" s="482">
        <f>SUM($AS73:AU73)</f>
        <v>0</v>
      </c>
      <c r="BT73" s="482">
        <f>SUM($AS73:AV73)</f>
        <v>0</v>
      </c>
      <c r="BU73" s="482">
        <f>SUM($AS73:AW73)</f>
        <v>0</v>
      </c>
      <c r="BV73" s="482">
        <f>SUM($AS73:AX73)</f>
        <v>0</v>
      </c>
      <c r="BW73" s="482">
        <f>SUM($AS73:AY73)</f>
        <v>0</v>
      </c>
      <c r="BX73" s="482">
        <f>SUM($AS73:AZ73)</f>
        <v>0</v>
      </c>
      <c r="BY73" s="482">
        <f>SUM($AS73:BA73)</f>
        <v>0</v>
      </c>
      <c r="BZ73" s="482">
        <f>SUM($AS73:BB73)</f>
        <v>0</v>
      </c>
      <c r="CA73" s="482">
        <f>SUM($AS73:BC73)</f>
        <v>0</v>
      </c>
      <c r="CB73" s="483">
        <f>SUM($AS73:BD73)</f>
        <v>0</v>
      </c>
    </row>
    <row r="74" spans="1:80" s="471" customFormat="1" ht="12.75" hidden="1" customHeight="1">
      <c r="A74" s="471">
        <f t="shared" si="2"/>
        <v>65</v>
      </c>
      <c r="B74" s="628"/>
      <c r="C74" s="533"/>
      <c r="D74" s="533"/>
      <c r="E74" s="427"/>
      <c r="F74" s="586"/>
      <c r="G74" s="629"/>
      <c r="H74" s="582">
        <f t="shared" si="4"/>
        <v>67</v>
      </c>
      <c r="I74" s="524"/>
      <c r="J74" s="473"/>
      <c r="K74" s="473"/>
      <c r="L74" s="473"/>
      <c r="M74" s="473"/>
      <c r="N74" s="473"/>
      <c r="O74" s="473"/>
      <c r="P74" s="473"/>
      <c r="Q74" s="473"/>
      <c r="R74" s="473"/>
      <c r="S74" s="473"/>
      <c r="T74" s="474"/>
      <c r="U74" s="475"/>
      <c r="V74" s="473"/>
      <c r="W74" s="473"/>
      <c r="X74" s="473"/>
      <c r="Y74" s="473"/>
      <c r="Z74" s="473"/>
      <c r="AA74" s="473"/>
      <c r="AB74" s="473"/>
      <c r="AC74" s="473"/>
      <c r="AD74" s="473"/>
      <c r="AE74" s="473"/>
      <c r="AF74" s="473"/>
      <c r="AG74" s="476"/>
      <c r="AH74" s="477"/>
      <c r="AI74" s="477"/>
      <c r="AJ74" s="477"/>
      <c r="AK74" s="477"/>
      <c r="AL74" s="477"/>
      <c r="AM74" s="477"/>
      <c r="AN74" s="477"/>
      <c r="AO74" s="477"/>
      <c r="AP74" s="477"/>
      <c r="AQ74" s="477"/>
      <c r="AR74" s="478"/>
      <c r="AS74" s="479"/>
      <c r="AT74" s="480"/>
      <c r="AU74" s="480"/>
      <c r="AV74" s="480"/>
      <c r="AW74" s="480"/>
      <c r="AX74" s="480"/>
      <c r="AY74" s="480"/>
      <c r="AZ74" s="480"/>
      <c r="BA74" s="480"/>
      <c r="BB74" s="480"/>
      <c r="BC74" s="480"/>
      <c r="BD74" s="481"/>
      <c r="BE74" s="482">
        <f t="shared" ref="BE74:BE105" si="7">(U74)</f>
        <v>0</v>
      </c>
      <c r="BF74" s="482">
        <f>SUM($U74:V74)</f>
        <v>0</v>
      </c>
      <c r="BG74" s="482">
        <f>SUM($U74:W74)</f>
        <v>0</v>
      </c>
      <c r="BH74" s="482">
        <f>SUM($U74:X74)</f>
        <v>0</v>
      </c>
      <c r="BI74" s="482">
        <f>SUM($U74:Y74)</f>
        <v>0</v>
      </c>
      <c r="BJ74" s="482">
        <f>SUM($U74:Z74)</f>
        <v>0</v>
      </c>
      <c r="BK74" s="482">
        <f>SUM($U74:AA74)</f>
        <v>0</v>
      </c>
      <c r="BL74" s="482">
        <f>SUM($U74:AB74)</f>
        <v>0</v>
      </c>
      <c r="BM74" s="482">
        <f>SUM($U74:AC74)</f>
        <v>0</v>
      </c>
      <c r="BN74" s="482">
        <f>SUM($U74:AD74)</f>
        <v>0</v>
      </c>
      <c r="BO74" s="482">
        <f>SUM($U74:AE74)</f>
        <v>0</v>
      </c>
      <c r="BP74" s="483">
        <f>SUM($U74:AF74)</f>
        <v>0</v>
      </c>
      <c r="BQ74" s="484">
        <f t="shared" ref="BQ74:BQ105" si="8">(AS74)</f>
        <v>0</v>
      </c>
      <c r="BR74" s="482">
        <f>SUM($AS74:AT74)</f>
        <v>0</v>
      </c>
      <c r="BS74" s="482">
        <f>SUM($AS74:AU74)</f>
        <v>0</v>
      </c>
      <c r="BT74" s="482">
        <f>SUM($AS74:AV74)</f>
        <v>0</v>
      </c>
      <c r="BU74" s="482">
        <f>SUM($AS74:AW74)</f>
        <v>0</v>
      </c>
      <c r="BV74" s="482">
        <f>SUM($AS74:AX74)</f>
        <v>0</v>
      </c>
      <c r="BW74" s="482">
        <f>SUM($AS74:AY74)</f>
        <v>0</v>
      </c>
      <c r="BX74" s="482">
        <f>SUM($AS74:AZ74)</f>
        <v>0</v>
      </c>
      <c r="BY74" s="482">
        <f>SUM($AS74:BA74)</f>
        <v>0</v>
      </c>
      <c r="BZ74" s="482">
        <f>SUM($AS74:BB74)</f>
        <v>0</v>
      </c>
      <c r="CA74" s="482">
        <f>SUM($AS74:BC74)</f>
        <v>0</v>
      </c>
      <c r="CB74" s="483">
        <f>SUM($AS74:BD74)</f>
        <v>0</v>
      </c>
    </row>
    <row r="75" spans="1:80" s="471" customFormat="1" ht="12.75" hidden="1" customHeight="1">
      <c r="A75" s="471">
        <f t="shared" ref="A75:A138" si="9">+A74+1</f>
        <v>66</v>
      </c>
      <c r="B75" s="628"/>
      <c r="C75" s="533"/>
      <c r="D75" s="533"/>
      <c r="E75" s="427"/>
      <c r="F75" s="586"/>
      <c r="G75" s="629"/>
      <c r="H75" s="582">
        <f t="shared" si="4"/>
        <v>68</v>
      </c>
      <c r="I75" s="524"/>
      <c r="J75" s="473"/>
      <c r="K75" s="473"/>
      <c r="L75" s="473"/>
      <c r="M75" s="473"/>
      <c r="N75" s="473"/>
      <c r="O75" s="473"/>
      <c r="P75" s="473"/>
      <c r="Q75" s="473"/>
      <c r="R75" s="473"/>
      <c r="S75" s="473"/>
      <c r="T75" s="474"/>
      <c r="U75" s="475"/>
      <c r="V75" s="473"/>
      <c r="W75" s="473"/>
      <c r="X75" s="473"/>
      <c r="Y75" s="473"/>
      <c r="Z75" s="473"/>
      <c r="AA75" s="473"/>
      <c r="AB75" s="473"/>
      <c r="AC75" s="473"/>
      <c r="AD75" s="473"/>
      <c r="AE75" s="473"/>
      <c r="AF75" s="473"/>
      <c r="AG75" s="476"/>
      <c r="AH75" s="477"/>
      <c r="AI75" s="477"/>
      <c r="AJ75" s="477"/>
      <c r="AK75" s="477"/>
      <c r="AL75" s="477"/>
      <c r="AM75" s="477"/>
      <c r="AN75" s="477"/>
      <c r="AO75" s="477"/>
      <c r="AP75" s="477"/>
      <c r="AQ75" s="477"/>
      <c r="AR75" s="478"/>
      <c r="AS75" s="479"/>
      <c r="AT75" s="480"/>
      <c r="AU75" s="480"/>
      <c r="AV75" s="480"/>
      <c r="AW75" s="480"/>
      <c r="AX75" s="480"/>
      <c r="AY75" s="480"/>
      <c r="AZ75" s="480"/>
      <c r="BA75" s="480"/>
      <c r="BB75" s="480"/>
      <c r="BC75" s="480"/>
      <c r="BD75" s="481"/>
      <c r="BE75" s="482">
        <f t="shared" si="7"/>
        <v>0</v>
      </c>
      <c r="BF75" s="482">
        <f>SUM($U75:V75)</f>
        <v>0</v>
      </c>
      <c r="BG75" s="482">
        <f>SUM($U75:W75)</f>
        <v>0</v>
      </c>
      <c r="BH75" s="482">
        <f>SUM($U75:X75)</f>
        <v>0</v>
      </c>
      <c r="BI75" s="482">
        <f>SUM($U75:Y75)</f>
        <v>0</v>
      </c>
      <c r="BJ75" s="482">
        <f>SUM($U75:Z75)</f>
        <v>0</v>
      </c>
      <c r="BK75" s="482">
        <f>SUM($U75:AA75)</f>
        <v>0</v>
      </c>
      <c r="BL75" s="482">
        <f>SUM($U75:AB75)</f>
        <v>0</v>
      </c>
      <c r="BM75" s="482">
        <f>SUM($U75:AC75)</f>
        <v>0</v>
      </c>
      <c r="BN75" s="482">
        <f>SUM($U75:AD75)</f>
        <v>0</v>
      </c>
      <c r="BO75" s="482">
        <f>SUM($U75:AE75)</f>
        <v>0</v>
      </c>
      <c r="BP75" s="483">
        <f>SUM($U75:AF75)</f>
        <v>0</v>
      </c>
      <c r="BQ75" s="484">
        <f t="shared" si="8"/>
        <v>0</v>
      </c>
      <c r="BR75" s="482">
        <f>SUM($AS75:AT75)</f>
        <v>0</v>
      </c>
      <c r="BS75" s="482">
        <f>SUM($AS75:AU75)</f>
        <v>0</v>
      </c>
      <c r="BT75" s="482">
        <f>SUM($AS75:AV75)</f>
        <v>0</v>
      </c>
      <c r="BU75" s="482">
        <f>SUM($AS75:AW75)</f>
        <v>0</v>
      </c>
      <c r="BV75" s="482">
        <f>SUM($AS75:AX75)</f>
        <v>0</v>
      </c>
      <c r="BW75" s="482">
        <f>SUM($AS75:AY75)</f>
        <v>0</v>
      </c>
      <c r="BX75" s="482">
        <f>SUM($AS75:AZ75)</f>
        <v>0</v>
      </c>
      <c r="BY75" s="482">
        <f>SUM($AS75:BA75)</f>
        <v>0</v>
      </c>
      <c r="BZ75" s="482">
        <f>SUM($AS75:BB75)</f>
        <v>0</v>
      </c>
      <c r="CA75" s="482">
        <f>SUM($AS75:BC75)</f>
        <v>0</v>
      </c>
      <c r="CB75" s="483">
        <f>SUM($AS75:BD75)</f>
        <v>0</v>
      </c>
    </row>
    <row r="76" spans="1:80" s="471" customFormat="1" ht="12.75" hidden="1" customHeight="1">
      <c r="A76" s="471">
        <f t="shared" si="9"/>
        <v>67</v>
      </c>
      <c r="B76" s="628"/>
      <c r="C76" s="533"/>
      <c r="D76" s="533"/>
      <c r="E76" s="427"/>
      <c r="F76" s="586"/>
      <c r="G76" s="629"/>
      <c r="H76" s="582">
        <f t="shared" si="4"/>
        <v>69</v>
      </c>
      <c r="I76" s="524"/>
      <c r="J76" s="473"/>
      <c r="K76" s="473"/>
      <c r="L76" s="473"/>
      <c r="M76" s="473"/>
      <c r="N76" s="473"/>
      <c r="O76" s="473"/>
      <c r="P76" s="473"/>
      <c r="Q76" s="473"/>
      <c r="R76" s="473"/>
      <c r="S76" s="473"/>
      <c r="T76" s="474"/>
      <c r="U76" s="475"/>
      <c r="V76" s="473"/>
      <c r="W76" s="473"/>
      <c r="X76" s="473"/>
      <c r="Y76" s="473"/>
      <c r="Z76" s="473"/>
      <c r="AA76" s="473"/>
      <c r="AB76" s="473"/>
      <c r="AC76" s="473"/>
      <c r="AD76" s="473"/>
      <c r="AE76" s="473"/>
      <c r="AF76" s="473"/>
      <c r="AG76" s="476"/>
      <c r="AH76" s="477"/>
      <c r="AI76" s="477"/>
      <c r="AJ76" s="477"/>
      <c r="AK76" s="477"/>
      <c r="AL76" s="477"/>
      <c r="AM76" s="477"/>
      <c r="AN76" s="477"/>
      <c r="AO76" s="477"/>
      <c r="AP76" s="477"/>
      <c r="AQ76" s="477"/>
      <c r="AR76" s="478"/>
      <c r="AS76" s="479"/>
      <c r="AT76" s="480"/>
      <c r="AU76" s="480"/>
      <c r="AV76" s="480"/>
      <c r="AW76" s="480"/>
      <c r="AX76" s="480"/>
      <c r="AY76" s="480"/>
      <c r="AZ76" s="480"/>
      <c r="BA76" s="480"/>
      <c r="BB76" s="480"/>
      <c r="BC76" s="480"/>
      <c r="BD76" s="481"/>
      <c r="BE76" s="482">
        <f t="shared" si="7"/>
        <v>0</v>
      </c>
      <c r="BF76" s="482">
        <f>SUM($U76:V76)</f>
        <v>0</v>
      </c>
      <c r="BG76" s="482">
        <f>SUM($U76:W76)</f>
        <v>0</v>
      </c>
      <c r="BH76" s="482">
        <f>SUM($U76:X76)</f>
        <v>0</v>
      </c>
      <c r="BI76" s="482">
        <f>SUM($U76:Y76)</f>
        <v>0</v>
      </c>
      <c r="BJ76" s="482">
        <f>SUM($U76:Z76)</f>
        <v>0</v>
      </c>
      <c r="BK76" s="482">
        <f>SUM($U76:AA76)</f>
        <v>0</v>
      </c>
      <c r="BL76" s="482">
        <f>SUM($U76:AB76)</f>
        <v>0</v>
      </c>
      <c r="BM76" s="482">
        <f>SUM($U76:AC76)</f>
        <v>0</v>
      </c>
      <c r="BN76" s="482">
        <f>SUM($U76:AD76)</f>
        <v>0</v>
      </c>
      <c r="BO76" s="482">
        <f>SUM($U76:AE76)</f>
        <v>0</v>
      </c>
      <c r="BP76" s="483">
        <f>SUM($U76:AF76)</f>
        <v>0</v>
      </c>
      <c r="BQ76" s="484">
        <f t="shared" si="8"/>
        <v>0</v>
      </c>
      <c r="BR76" s="482">
        <f>SUM($AS76:AT76)</f>
        <v>0</v>
      </c>
      <c r="BS76" s="482">
        <f>SUM($AS76:AU76)</f>
        <v>0</v>
      </c>
      <c r="BT76" s="482">
        <f>SUM($AS76:AV76)</f>
        <v>0</v>
      </c>
      <c r="BU76" s="482">
        <f>SUM($AS76:AW76)</f>
        <v>0</v>
      </c>
      <c r="BV76" s="482">
        <f>SUM($AS76:AX76)</f>
        <v>0</v>
      </c>
      <c r="BW76" s="482">
        <f>SUM($AS76:AY76)</f>
        <v>0</v>
      </c>
      <c r="BX76" s="482">
        <f>SUM($AS76:AZ76)</f>
        <v>0</v>
      </c>
      <c r="BY76" s="482">
        <f>SUM($AS76:BA76)</f>
        <v>0</v>
      </c>
      <c r="BZ76" s="482">
        <f>SUM($AS76:BB76)</f>
        <v>0</v>
      </c>
      <c r="CA76" s="482">
        <f>SUM($AS76:BC76)</f>
        <v>0</v>
      </c>
      <c r="CB76" s="483">
        <f>SUM($AS76:BD76)</f>
        <v>0</v>
      </c>
    </row>
    <row r="77" spans="1:80" s="471" customFormat="1" ht="12.75" hidden="1" customHeight="1">
      <c r="A77" s="471">
        <f t="shared" si="9"/>
        <v>68</v>
      </c>
      <c r="B77" s="628"/>
      <c r="C77" s="533"/>
      <c r="D77" s="533"/>
      <c r="E77" s="427"/>
      <c r="F77" s="586"/>
      <c r="G77" s="629"/>
      <c r="H77" s="582">
        <f t="shared" si="4"/>
        <v>70</v>
      </c>
      <c r="I77" s="524"/>
      <c r="J77" s="473"/>
      <c r="K77" s="473"/>
      <c r="L77" s="473"/>
      <c r="M77" s="473"/>
      <c r="N77" s="473"/>
      <c r="O77" s="473"/>
      <c r="P77" s="473"/>
      <c r="Q77" s="473"/>
      <c r="R77" s="473"/>
      <c r="S77" s="473"/>
      <c r="T77" s="474"/>
      <c r="U77" s="475"/>
      <c r="V77" s="473"/>
      <c r="W77" s="473"/>
      <c r="X77" s="473"/>
      <c r="Y77" s="473"/>
      <c r="Z77" s="473"/>
      <c r="AA77" s="473"/>
      <c r="AB77" s="473"/>
      <c r="AC77" s="473"/>
      <c r="AD77" s="473"/>
      <c r="AE77" s="473"/>
      <c r="AF77" s="473"/>
      <c r="AG77" s="476"/>
      <c r="AH77" s="477"/>
      <c r="AI77" s="477"/>
      <c r="AJ77" s="477"/>
      <c r="AK77" s="477"/>
      <c r="AL77" s="477"/>
      <c r="AM77" s="477"/>
      <c r="AN77" s="477"/>
      <c r="AO77" s="477"/>
      <c r="AP77" s="477"/>
      <c r="AQ77" s="477"/>
      <c r="AR77" s="478"/>
      <c r="AS77" s="479"/>
      <c r="AT77" s="480"/>
      <c r="AU77" s="480"/>
      <c r="AV77" s="480"/>
      <c r="AW77" s="480"/>
      <c r="AX77" s="480"/>
      <c r="AY77" s="480"/>
      <c r="AZ77" s="480"/>
      <c r="BA77" s="480"/>
      <c r="BB77" s="480"/>
      <c r="BC77" s="480"/>
      <c r="BD77" s="481"/>
      <c r="BE77" s="482">
        <f t="shared" si="7"/>
        <v>0</v>
      </c>
      <c r="BF77" s="482">
        <f>SUM($U77:V77)</f>
        <v>0</v>
      </c>
      <c r="BG77" s="482">
        <f>SUM($U77:W77)</f>
        <v>0</v>
      </c>
      <c r="BH77" s="482">
        <f>SUM($U77:X77)</f>
        <v>0</v>
      </c>
      <c r="BI77" s="482">
        <f>SUM($U77:Y77)</f>
        <v>0</v>
      </c>
      <c r="BJ77" s="482">
        <f>SUM($U77:Z77)</f>
        <v>0</v>
      </c>
      <c r="BK77" s="482">
        <f>SUM($U77:AA77)</f>
        <v>0</v>
      </c>
      <c r="BL77" s="482">
        <f>SUM($U77:AB77)</f>
        <v>0</v>
      </c>
      <c r="BM77" s="482">
        <f>SUM($U77:AC77)</f>
        <v>0</v>
      </c>
      <c r="BN77" s="482">
        <f>SUM($U77:AD77)</f>
        <v>0</v>
      </c>
      <c r="BO77" s="482">
        <f>SUM($U77:AE77)</f>
        <v>0</v>
      </c>
      <c r="BP77" s="483">
        <f>SUM($U77:AF77)</f>
        <v>0</v>
      </c>
      <c r="BQ77" s="484">
        <f t="shared" si="8"/>
        <v>0</v>
      </c>
      <c r="BR77" s="482">
        <f>SUM($AS77:AT77)</f>
        <v>0</v>
      </c>
      <c r="BS77" s="482">
        <f>SUM($AS77:AU77)</f>
        <v>0</v>
      </c>
      <c r="BT77" s="482">
        <f>SUM($AS77:AV77)</f>
        <v>0</v>
      </c>
      <c r="BU77" s="482">
        <f>SUM($AS77:AW77)</f>
        <v>0</v>
      </c>
      <c r="BV77" s="482">
        <f>SUM($AS77:AX77)</f>
        <v>0</v>
      </c>
      <c r="BW77" s="482">
        <f>SUM($AS77:AY77)</f>
        <v>0</v>
      </c>
      <c r="BX77" s="482">
        <f>SUM($AS77:AZ77)</f>
        <v>0</v>
      </c>
      <c r="BY77" s="482">
        <f>SUM($AS77:BA77)</f>
        <v>0</v>
      </c>
      <c r="BZ77" s="482">
        <f>SUM($AS77:BB77)</f>
        <v>0</v>
      </c>
      <c r="CA77" s="482">
        <f>SUM($AS77:BC77)</f>
        <v>0</v>
      </c>
      <c r="CB77" s="483">
        <f>SUM($AS77:BD77)</f>
        <v>0</v>
      </c>
    </row>
    <row r="78" spans="1:80" s="471" customFormat="1" ht="12.75" hidden="1" customHeight="1">
      <c r="A78" s="471">
        <f t="shared" si="9"/>
        <v>69</v>
      </c>
      <c r="B78" s="628"/>
      <c r="C78" s="533"/>
      <c r="D78" s="533"/>
      <c r="E78" s="427"/>
      <c r="F78" s="586"/>
      <c r="G78" s="629"/>
      <c r="H78" s="582">
        <f t="shared" si="4"/>
        <v>71</v>
      </c>
      <c r="I78" s="524"/>
      <c r="J78" s="473"/>
      <c r="K78" s="473"/>
      <c r="L78" s="473"/>
      <c r="M78" s="473"/>
      <c r="N78" s="473"/>
      <c r="O78" s="473"/>
      <c r="P78" s="473"/>
      <c r="Q78" s="473"/>
      <c r="R78" s="473"/>
      <c r="S78" s="473"/>
      <c r="T78" s="474"/>
      <c r="U78" s="475"/>
      <c r="V78" s="473"/>
      <c r="W78" s="473"/>
      <c r="X78" s="473"/>
      <c r="Y78" s="473"/>
      <c r="Z78" s="473"/>
      <c r="AA78" s="473"/>
      <c r="AB78" s="473"/>
      <c r="AC78" s="473"/>
      <c r="AD78" s="473"/>
      <c r="AE78" s="473"/>
      <c r="AF78" s="473"/>
      <c r="AG78" s="476"/>
      <c r="AH78" s="477"/>
      <c r="AI78" s="477"/>
      <c r="AJ78" s="477"/>
      <c r="AK78" s="477"/>
      <c r="AL78" s="477"/>
      <c r="AM78" s="477"/>
      <c r="AN78" s="477"/>
      <c r="AO78" s="477"/>
      <c r="AP78" s="477"/>
      <c r="AQ78" s="477"/>
      <c r="AR78" s="478"/>
      <c r="AS78" s="479"/>
      <c r="AT78" s="480"/>
      <c r="AU78" s="480"/>
      <c r="AV78" s="480"/>
      <c r="AW78" s="480"/>
      <c r="AX78" s="480"/>
      <c r="AY78" s="480"/>
      <c r="AZ78" s="480"/>
      <c r="BA78" s="480"/>
      <c r="BB78" s="480"/>
      <c r="BC78" s="480"/>
      <c r="BD78" s="481"/>
      <c r="BE78" s="482">
        <f t="shared" si="7"/>
        <v>0</v>
      </c>
      <c r="BF78" s="482">
        <f>SUM($U78:V78)</f>
        <v>0</v>
      </c>
      <c r="BG78" s="482">
        <f>SUM($U78:W78)</f>
        <v>0</v>
      </c>
      <c r="BH78" s="482">
        <f>SUM($U78:X78)</f>
        <v>0</v>
      </c>
      <c r="BI78" s="482">
        <f>SUM($U78:Y78)</f>
        <v>0</v>
      </c>
      <c r="BJ78" s="482">
        <f>SUM($U78:Z78)</f>
        <v>0</v>
      </c>
      <c r="BK78" s="482">
        <f>SUM($U78:AA78)</f>
        <v>0</v>
      </c>
      <c r="BL78" s="482">
        <f>SUM($U78:AB78)</f>
        <v>0</v>
      </c>
      <c r="BM78" s="482">
        <f>SUM($U78:AC78)</f>
        <v>0</v>
      </c>
      <c r="BN78" s="482">
        <f>SUM($U78:AD78)</f>
        <v>0</v>
      </c>
      <c r="BO78" s="482">
        <f>SUM($U78:AE78)</f>
        <v>0</v>
      </c>
      <c r="BP78" s="483">
        <f>SUM($U78:AF78)</f>
        <v>0</v>
      </c>
      <c r="BQ78" s="484">
        <f t="shared" si="8"/>
        <v>0</v>
      </c>
      <c r="BR78" s="482">
        <f>SUM($AS78:AT78)</f>
        <v>0</v>
      </c>
      <c r="BS78" s="482">
        <f>SUM($AS78:AU78)</f>
        <v>0</v>
      </c>
      <c r="BT78" s="482">
        <f>SUM($AS78:AV78)</f>
        <v>0</v>
      </c>
      <c r="BU78" s="482">
        <f>SUM($AS78:AW78)</f>
        <v>0</v>
      </c>
      <c r="BV78" s="482">
        <f>SUM($AS78:AX78)</f>
        <v>0</v>
      </c>
      <c r="BW78" s="482">
        <f>SUM($AS78:AY78)</f>
        <v>0</v>
      </c>
      <c r="BX78" s="482">
        <f>SUM($AS78:AZ78)</f>
        <v>0</v>
      </c>
      <c r="BY78" s="482">
        <f>SUM($AS78:BA78)</f>
        <v>0</v>
      </c>
      <c r="BZ78" s="482">
        <f>SUM($AS78:BB78)</f>
        <v>0</v>
      </c>
      <c r="CA78" s="482">
        <f>SUM($AS78:BC78)</f>
        <v>0</v>
      </c>
      <c r="CB78" s="483">
        <f>SUM($AS78:BD78)</f>
        <v>0</v>
      </c>
    </row>
    <row r="79" spans="1:80" s="471" customFormat="1" ht="12.75" hidden="1" customHeight="1">
      <c r="A79" s="471">
        <f t="shared" si="9"/>
        <v>70</v>
      </c>
      <c r="B79" s="628"/>
      <c r="C79" s="533"/>
      <c r="D79" s="533"/>
      <c r="E79" s="427"/>
      <c r="F79" s="586"/>
      <c r="G79" s="629"/>
      <c r="H79" s="582">
        <f t="shared" si="4"/>
        <v>72</v>
      </c>
      <c r="I79" s="524"/>
      <c r="J79" s="473"/>
      <c r="K79" s="473"/>
      <c r="L79" s="473"/>
      <c r="M79" s="473"/>
      <c r="N79" s="473"/>
      <c r="O79" s="473"/>
      <c r="P79" s="473"/>
      <c r="Q79" s="473"/>
      <c r="R79" s="473"/>
      <c r="S79" s="473"/>
      <c r="T79" s="474"/>
      <c r="U79" s="475"/>
      <c r="V79" s="473"/>
      <c r="W79" s="473"/>
      <c r="X79" s="473"/>
      <c r="Y79" s="473"/>
      <c r="Z79" s="473"/>
      <c r="AA79" s="473"/>
      <c r="AB79" s="473"/>
      <c r="AC79" s="473"/>
      <c r="AD79" s="473"/>
      <c r="AE79" s="473"/>
      <c r="AF79" s="473"/>
      <c r="AG79" s="476"/>
      <c r="AH79" s="477"/>
      <c r="AI79" s="477"/>
      <c r="AJ79" s="477"/>
      <c r="AK79" s="477"/>
      <c r="AL79" s="477"/>
      <c r="AM79" s="477"/>
      <c r="AN79" s="477"/>
      <c r="AO79" s="477"/>
      <c r="AP79" s="477"/>
      <c r="AQ79" s="477"/>
      <c r="AR79" s="478"/>
      <c r="AS79" s="479"/>
      <c r="AT79" s="480"/>
      <c r="AU79" s="480"/>
      <c r="AV79" s="480"/>
      <c r="AW79" s="480"/>
      <c r="AX79" s="480"/>
      <c r="AY79" s="480"/>
      <c r="AZ79" s="480"/>
      <c r="BA79" s="480"/>
      <c r="BB79" s="480"/>
      <c r="BC79" s="480"/>
      <c r="BD79" s="481"/>
      <c r="BE79" s="482">
        <f t="shared" si="7"/>
        <v>0</v>
      </c>
      <c r="BF79" s="482">
        <f>SUM($U79:V79)</f>
        <v>0</v>
      </c>
      <c r="BG79" s="482">
        <f>SUM($U79:W79)</f>
        <v>0</v>
      </c>
      <c r="BH79" s="482">
        <f>SUM($U79:X79)</f>
        <v>0</v>
      </c>
      <c r="BI79" s="482">
        <f>SUM($U79:Y79)</f>
        <v>0</v>
      </c>
      <c r="BJ79" s="482">
        <f>SUM($U79:Z79)</f>
        <v>0</v>
      </c>
      <c r="BK79" s="482">
        <f>SUM($U79:AA79)</f>
        <v>0</v>
      </c>
      <c r="BL79" s="482">
        <f>SUM($U79:AB79)</f>
        <v>0</v>
      </c>
      <c r="BM79" s="482">
        <f>SUM($U79:AC79)</f>
        <v>0</v>
      </c>
      <c r="BN79" s="482">
        <f>SUM($U79:AD79)</f>
        <v>0</v>
      </c>
      <c r="BO79" s="482">
        <f>SUM($U79:AE79)</f>
        <v>0</v>
      </c>
      <c r="BP79" s="483">
        <f>SUM($U79:AF79)</f>
        <v>0</v>
      </c>
      <c r="BQ79" s="484">
        <f t="shared" si="8"/>
        <v>0</v>
      </c>
      <c r="BR79" s="482">
        <f>SUM($AS79:AT79)</f>
        <v>0</v>
      </c>
      <c r="BS79" s="482">
        <f>SUM($AS79:AU79)</f>
        <v>0</v>
      </c>
      <c r="BT79" s="482">
        <f>SUM($AS79:AV79)</f>
        <v>0</v>
      </c>
      <c r="BU79" s="482">
        <f>SUM($AS79:AW79)</f>
        <v>0</v>
      </c>
      <c r="BV79" s="482">
        <f>SUM($AS79:AX79)</f>
        <v>0</v>
      </c>
      <c r="BW79" s="482">
        <f>SUM($AS79:AY79)</f>
        <v>0</v>
      </c>
      <c r="BX79" s="482">
        <f>SUM($AS79:AZ79)</f>
        <v>0</v>
      </c>
      <c r="BY79" s="482">
        <f>SUM($AS79:BA79)</f>
        <v>0</v>
      </c>
      <c r="BZ79" s="482">
        <f>SUM($AS79:BB79)</f>
        <v>0</v>
      </c>
      <c r="CA79" s="482">
        <f>SUM($AS79:BC79)</f>
        <v>0</v>
      </c>
      <c r="CB79" s="483">
        <f>SUM($AS79:BD79)</f>
        <v>0</v>
      </c>
    </row>
    <row r="80" spans="1:80" s="471" customFormat="1" ht="12.75" hidden="1" customHeight="1">
      <c r="A80" s="471">
        <f t="shared" si="9"/>
        <v>71</v>
      </c>
      <c r="B80" s="628"/>
      <c r="C80" s="533"/>
      <c r="D80" s="533"/>
      <c r="E80" s="427"/>
      <c r="F80" s="586"/>
      <c r="G80" s="629"/>
      <c r="H80" s="582">
        <f t="shared" si="4"/>
        <v>73</v>
      </c>
      <c r="I80" s="524"/>
      <c r="J80" s="473"/>
      <c r="K80" s="473"/>
      <c r="L80" s="473"/>
      <c r="M80" s="473"/>
      <c r="N80" s="473"/>
      <c r="O80" s="473"/>
      <c r="P80" s="473"/>
      <c r="Q80" s="473"/>
      <c r="R80" s="473"/>
      <c r="S80" s="473"/>
      <c r="T80" s="474"/>
      <c r="U80" s="475"/>
      <c r="V80" s="473"/>
      <c r="W80" s="473"/>
      <c r="X80" s="473"/>
      <c r="Y80" s="473"/>
      <c r="Z80" s="473"/>
      <c r="AA80" s="473"/>
      <c r="AB80" s="473"/>
      <c r="AC80" s="473"/>
      <c r="AD80" s="473"/>
      <c r="AE80" s="473"/>
      <c r="AF80" s="473"/>
      <c r="AG80" s="476"/>
      <c r="AH80" s="477"/>
      <c r="AI80" s="477"/>
      <c r="AJ80" s="477"/>
      <c r="AK80" s="477"/>
      <c r="AL80" s="477"/>
      <c r="AM80" s="477"/>
      <c r="AN80" s="477"/>
      <c r="AO80" s="477"/>
      <c r="AP80" s="477"/>
      <c r="AQ80" s="477"/>
      <c r="AR80" s="478"/>
      <c r="AS80" s="479"/>
      <c r="AT80" s="480"/>
      <c r="AU80" s="480"/>
      <c r="AV80" s="480"/>
      <c r="AW80" s="480"/>
      <c r="AX80" s="480"/>
      <c r="AY80" s="480"/>
      <c r="AZ80" s="480"/>
      <c r="BA80" s="480"/>
      <c r="BB80" s="480"/>
      <c r="BC80" s="480"/>
      <c r="BD80" s="481"/>
      <c r="BE80" s="482">
        <f t="shared" si="7"/>
        <v>0</v>
      </c>
      <c r="BF80" s="482">
        <f>SUM($U80:V80)</f>
        <v>0</v>
      </c>
      <c r="BG80" s="482">
        <f>SUM($U80:W80)</f>
        <v>0</v>
      </c>
      <c r="BH80" s="482">
        <f>SUM($U80:X80)</f>
        <v>0</v>
      </c>
      <c r="BI80" s="482">
        <f>SUM($U80:Y80)</f>
        <v>0</v>
      </c>
      <c r="BJ80" s="482">
        <f>SUM($U80:Z80)</f>
        <v>0</v>
      </c>
      <c r="BK80" s="482">
        <f>SUM($U80:AA80)</f>
        <v>0</v>
      </c>
      <c r="BL80" s="482">
        <f>SUM($U80:AB80)</f>
        <v>0</v>
      </c>
      <c r="BM80" s="482">
        <f>SUM($U80:AC80)</f>
        <v>0</v>
      </c>
      <c r="BN80" s="482">
        <f>SUM($U80:AD80)</f>
        <v>0</v>
      </c>
      <c r="BO80" s="482">
        <f>SUM($U80:AE80)</f>
        <v>0</v>
      </c>
      <c r="BP80" s="483">
        <f>SUM($U80:AF80)</f>
        <v>0</v>
      </c>
      <c r="BQ80" s="484">
        <f t="shared" si="8"/>
        <v>0</v>
      </c>
      <c r="BR80" s="482">
        <f>SUM($AS80:AT80)</f>
        <v>0</v>
      </c>
      <c r="BS80" s="482">
        <f>SUM($AS80:AU80)</f>
        <v>0</v>
      </c>
      <c r="BT80" s="482">
        <f>SUM($AS80:AV80)</f>
        <v>0</v>
      </c>
      <c r="BU80" s="482">
        <f>SUM($AS80:AW80)</f>
        <v>0</v>
      </c>
      <c r="BV80" s="482">
        <f>SUM($AS80:AX80)</f>
        <v>0</v>
      </c>
      <c r="BW80" s="482">
        <f>SUM($AS80:AY80)</f>
        <v>0</v>
      </c>
      <c r="BX80" s="482">
        <f>SUM($AS80:AZ80)</f>
        <v>0</v>
      </c>
      <c r="BY80" s="482">
        <f>SUM($AS80:BA80)</f>
        <v>0</v>
      </c>
      <c r="BZ80" s="482">
        <f>SUM($AS80:BB80)</f>
        <v>0</v>
      </c>
      <c r="CA80" s="482">
        <f>SUM($AS80:BC80)</f>
        <v>0</v>
      </c>
      <c r="CB80" s="483">
        <f>SUM($AS80:BD80)</f>
        <v>0</v>
      </c>
    </row>
    <row r="81" spans="1:80" s="471" customFormat="1" ht="12.75" hidden="1" customHeight="1">
      <c r="A81" s="471">
        <f t="shared" si="9"/>
        <v>72</v>
      </c>
      <c r="B81" s="628"/>
      <c r="C81" s="533"/>
      <c r="D81" s="533"/>
      <c r="E81" s="427"/>
      <c r="F81" s="586"/>
      <c r="G81" s="629"/>
      <c r="H81" s="582">
        <f t="shared" si="4"/>
        <v>74</v>
      </c>
      <c r="I81" s="524"/>
      <c r="J81" s="473"/>
      <c r="K81" s="473"/>
      <c r="L81" s="473"/>
      <c r="M81" s="473"/>
      <c r="N81" s="473"/>
      <c r="O81" s="473"/>
      <c r="P81" s="473"/>
      <c r="Q81" s="473"/>
      <c r="R81" s="473"/>
      <c r="S81" s="473"/>
      <c r="T81" s="474"/>
      <c r="U81" s="475"/>
      <c r="V81" s="473"/>
      <c r="W81" s="473"/>
      <c r="X81" s="473"/>
      <c r="Y81" s="473"/>
      <c r="Z81" s="473"/>
      <c r="AA81" s="473"/>
      <c r="AB81" s="473"/>
      <c r="AC81" s="473"/>
      <c r="AD81" s="473"/>
      <c r="AE81" s="473"/>
      <c r="AF81" s="473"/>
      <c r="AG81" s="476"/>
      <c r="AH81" s="477"/>
      <c r="AI81" s="477"/>
      <c r="AJ81" s="477"/>
      <c r="AK81" s="477"/>
      <c r="AL81" s="477"/>
      <c r="AM81" s="477"/>
      <c r="AN81" s="477"/>
      <c r="AO81" s="477"/>
      <c r="AP81" s="477"/>
      <c r="AQ81" s="477"/>
      <c r="AR81" s="478"/>
      <c r="AS81" s="479"/>
      <c r="AT81" s="480"/>
      <c r="AU81" s="480"/>
      <c r="AV81" s="480"/>
      <c r="AW81" s="480"/>
      <c r="AX81" s="480"/>
      <c r="AY81" s="480"/>
      <c r="AZ81" s="480"/>
      <c r="BA81" s="480"/>
      <c r="BB81" s="480"/>
      <c r="BC81" s="480"/>
      <c r="BD81" s="481"/>
      <c r="BE81" s="482">
        <f t="shared" si="7"/>
        <v>0</v>
      </c>
      <c r="BF81" s="482">
        <f>SUM($U81:V81)</f>
        <v>0</v>
      </c>
      <c r="BG81" s="482">
        <f>SUM($U81:W81)</f>
        <v>0</v>
      </c>
      <c r="BH81" s="482">
        <f>SUM($U81:X81)</f>
        <v>0</v>
      </c>
      <c r="BI81" s="482">
        <f>SUM($U81:Y81)</f>
        <v>0</v>
      </c>
      <c r="BJ81" s="482">
        <f>SUM($U81:Z81)</f>
        <v>0</v>
      </c>
      <c r="BK81" s="482">
        <f>SUM($U81:AA81)</f>
        <v>0</v>
      </c>
      <c r="BL81" s="482">
        <f>SUM($U81:AB81)</f>
        <v>0</v>
      </c>
      <c r="BM81" s="482">
        <f>SUM($U81:AC81)</f>
        <v>0</v>
      </c>
      <c r="BN81" s="482">
        <f>SUM($U81:AD81)</f>
        <v>0</v>
      </c>
      <c r="BO81" s="482">
        <f>SUM($U81:AE81)</f>
        <v>0</v>
      </c>
      <c r="BP81" s="483">
        <f>SUM($U81:AF81)</f>
        <v>0</v>
      </c>
      <c r="BQ81" s="484">
        <f t="shared" si="8"/>
        <v>0</v>
      </c>
      <c r="BR81" s="482">
        <f>SUM($AS81:AT81)</f>
        <v>0</v>
      </c>
      <c r="BS81" s="482">
        <f>SUM($AS81:AU81)</f>
        <v>0</v>
      </c>
      <c r="BT81" s="482">
        <f>SUM($AS81:AV81)</f>
        <v>0</v>
      </c>
      <c r="BU81" s="482">
        <f>SUM($AS81:AW81)</f>
        <v>0</v>
      </c>
      <c r="BV81" s="482">
        <f>SUM($AS81:AX81)</f>
        <v>0</v>
      </c>
      <c r="BW81" s="482">
        <f>SUM($AS81:AY81)</f>
        <v>0</v>
      </c>
      <c r="BX81" s="482">
        <f>SUM($AS81:AZ81)</f>
        <v>0</v>
      </c>
      <c r="BY81" s="482">
        <f>SUM($AS81:BA81)</f>
        <v>0</v>
      </c>
      <c r="BZ81" s="482">
        <f>SUM($AS81:BB81)</f>
        <v>0</v>
      </c>
      <c r="CA81" s="482">
        <f>SUM($AS81:BC81)</f>
        <v>0</v>
      </c>
      <c r="CB81" s="483">
        <f>SUM($AS81:BD81)</f>
        <v>0</v>
      </c>
    </row>
    <row r="82" spans="1:80" s="471" customFormat="1" ht="12.75" hidden="1" customHeight="1">
      <c r="A82" s="471">
        <f t="shared" si="9"/>
        <v>73</v>
      </c>
      <c r="B82" s="628"/>
      <c r="C82" s="533"/>
      <c r="D82" s="533"/>
      <c r="E82" s="427"/>
      <c r="F82" s="586"/>
      <c r="G82" s="629"/>
      <c r="H82" s="582">
        <f t="shared" si="4"/>
        <v>75</v>
      </c>
      <c r="I82" s="524"/>
      <c r="J82" s="473"/>
      <c r="K82" s="473"/>
      <c r="L82" s="473"/>
      <c r="M82" s="473"/>
      <c r="N82" s="473"/>
      <c r="O82" s="473"/>
      <c r="P82" s="473"/>
      <c r="Q82" s="473"/>
      <c r="R82" s="473"/>
      <c r="S82" s="473"/>
      <c r="T82" s="474"/>
      <c r="U82" s="475"/>
      <c r="V82" s="473"/>
      <c r="W82" s="473"/>
      <c r="X82" s="473"/>
      <c r="Y82" s="473"/>
      <c r="Z82" s="473"/>
      <c r="AA82" s="473"/>
      <c r="AB82" s="473"/>
      <c r="AC82" s="473"/>
      <c r="AD82" s="473"/>
      <c r="AE82" s="473"/>
      <c r="AF82" s="473"/>
      <c r="AG82" s="476"/>
      <c r="AH82" s="477"/>
      <c r="AI82" s="477"/>
      <c r="AJ82" s="477"/>
      <c r="AK82" s="477"/>
      <c r="AL82" s="477"/>
      <c r="AM82" s="477"/>
      <c r="AN82" s="477"/>
      <c r="AO82" s="477"/>
      <c r="AP82" s="477"/>
      <c r="AQ82" s="477"/>
      <c r="AR82" s="478"/>
      <c r="AS82" s="479"/>
      <c r="AT82" s="480"/>
      <c r="AU82" s="480"/>
      <c r="AV82" s="480"/>
      <c r="AW82" s="480"/>
      <c r="AX82" s="480"/>
      <c r="AY82" s="480"/>
      <c r="AZ82" s="480"/>
      <c r="BA82" s="480"/>
      <c r="BB82" s="480"/>
      <c r="BC82" s="480"/>
      <c r="BD82" s="481"/>
      <c r="BE82" s="482">
        <f t="shared" si="7"/>
        <v>0</v>
      </c>
      <c r="BF82" s="482">
        <f>SUM($U82:V82)</f>
        <v>0</v>
      </c>
      <c r="BG82" s="482">
        <f>SUM($U82:W82)</f>
        <v>0</v>
      </c>
      <c r="BH82" s="482">
        <f>SUM($U82:X82)</f>
        <v>0</v>
      </c>
      <c r="BI82" s="482">
        <f>SUM($U82:Y82)</f>
        <v>0</v>
      </c>
      <c r="BJ82" s="482">
        <f>SUM($U82:Z82)</f>
        <v>0</v>
      </c>
      <c r="BK82" s="482">
        <f>SUM($U82:AA82)</f>
        <v>0</v>
      </c>
      <c r="BL82" s="482">
        <f>SUM($U82:AB82)</f>
        <v>0</v>
      </c>
      <c r="BM82" s="482">
        <f>SUM($U82:AC82)</f>
        <v>0</v>
      </c>
      <c r="BN82" s="482">
        <f>SUM($U82:AD82)</f>
        <v>0</v>
      </c>
      <c r="BO82" s="482">
        <f>SUM($U82:AE82)</f>
        <v>0</v>
      </c>
      <c r="BP82" s="483">
        <f>SUM($U82:AF82)</f>
        <v>0</v>
      </c>
      <c r="BQ82" s="484">
        <f t="shared" si="8"/>
        <v>0</v>
      </c>
      <c r="BR82" s="482">
        <f>SUM($AS82:AT82)</f>
        <v>0</v>
      </c>
      <c r="BS82" s="482">
        <f>SUM($AS82:AU82)</f>
        <v>0</v>
      </c>
      <c r="BT82" s="482">
        <f>SUM($AS82:AV82)</f>
        <v>0</v>
      </c>
      <c r="BU82" s="482">
        <f>SUM($AS82:AW82)</f>
        <v>0</v>
      </c>
      <c r="BV82" s="482">
        <f>SUM($AS82:AX82)</f>
        <v>0</v>
      </c>
      <c r="BW82" s="482">
        <f>SUM($AS82:AY82)</f>
        <v>0</v>
      </c>
      <c r="BX82" s="482">
        <f>SUM($AS82:AZ82)</f>
        <v>0</v>
      </c>
      <c r="BY82" s="482">
        <f>SUM($AS82:BA82)</f>
        <v>0</v>
      </c>
      <c r="BZ82" s="482">
        <f>SUM($AS82:BB82)</f>
        <v>0</v>
      </c>
      <c r="CA82" s="482">
        <f>SUM($AS82:BC82)</f>
        <v>0</v>
      </c>
      <c r="CB82" s="483">
        <f>SUM($AS82:BD82)</f>
        <v>0</v>
      </c>
    </row>
    <row r="83" spans="1:80" s="471" customFormat="1" ht="12.75" hidden="1" customHeight="1">
      <c r="A83" s="471">
        <f t="shared" si="9"/>
        <v>74</v>
      </c>
      <c r="B83" s="628"/>
      <c r="C83" s="533"/>
      <c r="D83" s="533"/>
      <c r="E83" s="427"/>
      <c r="F83" s="586"/>
      <c r="G83" s="629"/>
      <c r="H83" s="582">
        <f t="shared" si="4"/>
        <v>76</v>
      </c>
      <c r="I83" s="524"/>
      <c r="J83" s="473"/>
      <c r="K83" s="473"/>
      <c r="L83" s="473"/>
      <c r="M83" s="473"/>
      <c r="N83" s="473"/>
      <c r="O83" s="473"/>
      <c r="P83" s="473"/>
      <c r="Q83" s="473"/>
      <c r="R83" s="473"/>
      <c r="S83" s="473"/>
      <c r="T83" s="474"/>
      <c r="U83" s="475"/>
      <c r="V83" s="473"/>
      <c r="W83" s="473"/>
      <c r="X83" s="473"/>
      <c r="Y83" s="473"/>
      <c r="Z83" s="473"/>
      <c r="AA83" s="473"/>
      <c r="AB83" s="473"/>
      <c r="AC83" s="473"/>
      <c r="AD83" s="473"/>
      <c r="AE83" s="473"/>
      <c r="AF83" s="473"/>
      <c r="AG83" s="476"/>
      <c r="AH83" s="477"/>
      <c r="AI83" s="477"/>
      <c r="AJ83" s="477"/>
      <c r="AK83" s="477"/>
      <c r="AL83" s="477"/>
      <c r="AM83" s="477"/>
      <c r="AN83" s="477"/>
      <c r="AO83" s="477"/>
      <c r="AP83" s="477"/>
      <c r="AQ83" s="477"/>
      <c r="AR83" s="478"/>
      <c r="AS83" s="479"/>
      <c r="AT83" s="480"/>
      <c r="AU83" s="480"/>
      <c r="AV83" s="480"/>
      <c r="AW83" s="480"/>
      <c r="AX83" s="480"/>
      <c r="AY83" s="480"/>
      <c r="AZ83" s="480"/>
      <c r="BA83" s="480"/>
      <c r="BB83" s="480"/>
      <c r="BC83" s="480"/>
      <c r="BD83" s="481"/>
      <c r="BE83" s="482">
        <f t="shared" si="7"/>
        <v>0</v>
      </c>
      <c r="BF83" s="482">
        <f>SUM($U83:V83)</f>
        <v>0</v>
      </c>
      <c r="BG83" s="482">
        <f>SUM($U83:W83)</f>
        <v>0</v>
      </c>
      <c r="BH83" s="482">
        <f>SUM($U83:X83)</f>
        <v>0</v>
      </c>
      <c r="BI83" s="482">
        <f>SUM($U83:Y83)</f>
        <v>0</v>
      </c>
      <c r="BJ83" s="482">
        <f>SUM($U83:Z83)</f>
        <v>0</v>
      </c>
      <c r="BK83" s="482">
        <f>SUM($U83:AA83)</f>
        <v>0</v>
      </c>
      <c r="BL83" s="482">
        <f>SUM($U83:AB83)</f>
        <v>0</v>
      </c>
      <c r="BM83" s="482">
        <f>SUM($U83:AC83)</f>
        <v>0</v>
      </c>
      <c r="BN83" s="482">
        <f>SUM($U83:AD83)</f>
        <v>0</v>
      </c>
      <c r="BO83" s="482">
        <f>SUM($U83:AE83)</f>
        <v>0</v>
      </c>
      <c r="BP83" s="483">
        <f>SUM($U83:AF83)</f>
        <v>0</v>
      </c>
      <c r="BQ83" s="484">
        <f t="shared" si="8"/>
        <v>0</v>
      </c>
      <c r="BR83" s="482">
        <f>SUM($AS83:AT83)</f>
        <v>0</v>
      </c>
      <c r="BS83" s="482">
        <f>SUM($AS83:AU83)</f>
        <v>0</v>
      </c>
      <c r="BT83" s="482">
        <f>SUM($AS83:AV83)</f>
        <v>0</v>
      </c>
      <c r="BU83" s="482">
        <f>SUM($AS83:AW83)</f>
        <v>0</v>
      </c>
      <c r="BV83" s="482">
        <f>SUM($AS83:AX83)</f>
        <v>0</v>
      </c>
      <c r="BW83" s="482">
        <f>SUM($AS83:AY83)</f>
        <v>0</v>
      </c>
      <c r="BX83" s="482">
        <f>SUM($AS83:AZ83)</f>
        <v>0</v>
      </c>
      <c r="BY83" s="482">
        <f>SUM($AS83:BA83)</f>
        <v>0</v>
      </c>
      <c r="BZ83" s="482">
        <f>SUM($AS83:BB83)</f>
        <v>0</v>
      </c>
      <c r="CA83" s="482">
        <f>SUM($AS83:BC83)</f>
        <v>0</v>
      </c>
      <c r="CB83" s="483">
        <f>SUM($AS83:BD83)</f>
        <v>0</v>
      </c>
    </row>
    <row r="84" spans="1:80" s="471" customFormat="1" ht="12.75" hidden="1" customHeight="1">
      <c r="A84" s="471">
        <f t="shared" si="9"/>
        <v>75</v>
      </c>
      <c r="B84" s="628"/>
      <c r="C84" s="533"/>
      <c r="D84" s="533"/>
      <c r="E84" s="427"/>
      <c r="F84" s="586"/>
      <c r="G84" s="629"/>
      <c r="H84" s="582">
        <f t="shared" si="4"/>
        <v>77</v>
      </c>
      <c r="I84" s="524"/>
      <c r="J84" s="473"/>
      <c r="K84" s="473"/>
      <c r="L84" s="473"/>
      <c r="M84" s="473"/>
      <c r="N84" s="473"/>
      <c r="O84" s="473"/>
      <c r="P84" s="473"/>
      <c r="Q84" s="473"/>
      <c r="R84" s="473"/>
      <c r="S84" s="473"/>
      <c r="T84" s="474"/>
      <c r="U84" s="475"/>
      <c r="V84" s="473"/>
      <c r="W84" s="473"/>
      <c r="X84" s="473"/>
      <c r="Y84" s="473"/>
      <c r="Z84" s="473"/>
      <c r="AA84" s="473"/>
      <c r="AB84" s="473"/>
      <c r="AC84" s="473"/>
      <c r="AD84" s="473"/>
      <c r="AE84" s="473"/>
      <c r="AF84" s="473"/>
      <c r="AG84" s="476"/>
      <c r="AH84" s="477"/>
      <c r="AI84" s="477"/>
      <c r="AJ84" s="477"/>
      <c r="AK84" s="477"/>
      <c r="AL84" s="477"/>
      <c r="AM84" s="477"/>
      <c r="AN84" s="477"/>
      <c r="AO84" s="477"/>
      <c r="AP84" s="477"/>
      <c r="AQ84" s="477"/>
      <c r="AR84" s="478"/>
      <c r="AS84" s="479"/>
      <c r="AT84" s="480"/>
      <c r="AU84" s="480"/>
      <c r="AV84" s="480"/>
      <c r="AW84" s="480"/>
      <c r="AX84" s="480"/>
      <c r="AY84" s="480"/>
      <c r="AZ84" s="480"/>
      <c r="BA84" s="480"/>
      <c r="BB84" s="480"/>
      <c r="BC84" s="480"/>
      <c r="BD84" s="481"/>
      <c r="BE84" s="482">
        <f t="shared" si="7"/>
        <v>0</v>
      </c>
      <c r="BF84" s="482">
        <f>SUM($U84:V84)</f>
        <v>0</v>
      </c>
      <c r="BG84" s="482">
        <f>SUM($U84:W84)</f>
        <v>0</v>
      </c>
      <c r="BH84" s="482">
        <f>SUM($U84:X84)</f>
        <v>0</v>
      </c>
      <c r="BI84" s="482">
        <f>SUM($U84:Y84)</f>
        <v>0</v>
      </c>
      <c r="BJ84" s="482">
        <f>SUM($U84:Z84)</f>
        <v>0</v>
      </c>
      <c r="BK84" s="482">
        <f>SUM($U84:AA84)</f>
        <v>0</v>
      </c>
      <c r="BL84" s="482">
        <f>SUM($U84:AB84)</f>
        <v>0</v>
      </c>
      <c r="BM84" s="482">
        <f>SUM($U84:AC84)</f>
        <v>0</v>
      </c>
      <c r="BN84" s="482">
        <f>SUM($U84:AD84)</f>
        <v>0</v>
      </c>
      <c r="BO84" s="482">
        <f>SUM($U84:AE84)</f>
        <v>0</v>
      </c>
      <c r="BP84" s="483">
        <f>SUM($U84:AF84)</f>
        <v>0</v>
      </c>
      <c r="BQ84" s="484">
        <f t="shared" si="8"/>
        <v>0</v>
      </c>
      <c r="BR84" s="482">
        <f>SUM($AS84:AT84)</f>
        <v>0</v>
      </c>
      <c r="BS84" s="482">
        <f>SUM($AS84:AU84)</f>
        <v>0</v>
      </c>
      <c r="BT84" s="482">
        <f>SUM($AS84:AV84)</f>
        <v>0</v>
      </c>
      <c r="BU84" s="482">
        <f>SUM($AS84:AW84)</f>
        <v>0</v>
      </c>
      <c r="BV84" s="482">
        <f>SUM($AS84:AX84)</f>
        <v>0</v>
      </c>
      <c r="BW84" s="482">
        <f>SUM($AS84:AY84)</f>
        <v>0</v>
      </c>
      <c r="BX84" s="482">
        <f>SUM($AS84:AZ84)</f>
        <v>0</v>
      </c>
      <c r="BY84" s="482">
        <f>SUM($AS84:BA84)</f>
        <v>0</v>
      </c>
      <c r="BZ84" s="482">
        <f>SUM($AS84:BB84)</f>
        <v>0</v>
      </c>
      <c r="CA84" s="482">
        <f>SUM($AS84:BC84)</f>
        <v>0</v>
      </c>
      <c r="CB84" s="483">
        <f>SUM($AS84:BD84)</f>
        <v>0</v>
      </c>
    </row>
    <row r="85" spans="1:80" s="471" customFormat="1" ht="12.75" hidden="1" customHeight="1">
      <c r="A85" s="471">
        <f t="shared" si="9"/>
        <v>76</v>
      </c>
      <c r="B85" s="628"/>
      <c r="C85" s="533"/>
      <c r="D85" s="533"/>
      <c r="E85" s="427"/>
      <c r="F85" s="586"/>
      <c r="G85" s="629"/>
      <c r="H85" s="582">
        <f t="shared" si="4"/>
        <v>78</v>
      </c>
      <c r="I85" s="524"/>
      <c r="J85" s="473"/>
      <c r="K85" s="473"/>
      <c r="L85" s="473"/>
      <c r="M85" s="473"/>
      <c r="N85" s="473"/>
      <c r="O85" s="473"/>
      <c r="P85" s="473"/>
      <c r="Q85" s="473"/>
      <c r="R85" s="473"/>
      <c r="S85" s="473"/>
      <c r="T85" s="474"/>
      <c r="U85" s="475"/>
      <c r="V85" s="473"/>
      <c r="W85" s="473"/>
      <c r="X85" s="473"/>
      <c r="Y85" s="473"/>
      <c r="Z85" s="473"/>
      <c r="AA85" s="473"/>
      <c r="AB85" s="473"/>
      <c r="AC85" s="473"/>
      <c r="AD85" s="473"/>
      <c r="AE85" s="473"/>
      <c r="AF85" s="473"/>
      <c r="AG85" s="476"/>
      <c r="AH85" s="477"/>
      <c r="AI85" s="477"/>
      <c r="AJ85" s="477"/>
      <c r="AK85" s="477"/>
      <c r="AL85" s="477"/>
      <c r="AM85" s="477"/>
      <c r="AN85" s="477"/>
      <c r="AO85" s="477"/>
      <c r="AP85" s="477"/>
      <c r="AQ85" s="477"/>
      <c r="AR85" s="478"/>
      <c r="AS85" s="479"/>
      <c r="AT85" s="480"/>
      <c r="AU85" s="480"/>
      <c r="AV85" s="480"/>
      <c r="AW85" s="480"/>
      <c r="AX85" s="480"/>
      <c r="AY85" s="480"/>
      <c r="AZ85" s="480"/>
      <c r="BA85" s="480"/>
      <c r="BB85" s="480"/>
      <c r="BC85" s="480"/>
      <c r="BD85" s="481"/>
      <c r="BE85" s="482">
        <f t="shared" si="7"/>
        <v>0</v>
      </c>
      <c r="BF85" s="482">
        <f>SUM($U85:V85)</f>
        <v>0</v>
      </c>
      <c r="BG85" s="482">
        <f>SUM($U85:W85)</f>
        <v>0</v>
      </c>
      <c r="BH85" s="482">
        <f>SUM($U85:X85)</f>
        <v>0</v>
      </c>
      <c r="BI85" s="482">
        <f>SUM($U85:Y85)</f>
        <v>0</v>
      </c>
      <c r="BJ85" s="482">
        <f>SUM($U85:Z85)</f>
        <v>0</v>
      </c>
      <c r="BK85" s="482">
        <f>SUM($U85:AA85)</f>
        <v>0</v>
      </c>
      <c r="BL85" s="482">
        <f>SUM($U85:AB85)</f>
        <v>0</v>
      </c>
      <c r="BM85" s="482">
        <f>SUM($U85:AC85)</f>
        <v>0</v>
      </c>
      <c r="BN85" s="482">
        <f>SUM($U85:AD85)</f>
        <v>0</v>
      </c>
      <c r="BO85" s="482">
        <f>SUM($U85:AE85)</f>
        <v>0</v>
      </c>
      <c r="BP85" s="483">
        <f>SUM($U85:AF85)</f>
        <v>0</v>
      </c>
      <c r="BQ85" s="484">
        <f t="shared" si="8"/>
        <v>0</v>
      </c>
      <c r="BR85" s="482">
        <f>SUM($AS85:AT85)</f>
        <v>0</v>
      </c>
      <c r="BS85" s="482">
        <f>SUM($AS85:AU85)</f>
        <v>0</v>
      </c>
      <c r="BT85" s="482">
        <f>SUM($AS85:AV85)</f>
        <v>0</v>
      </c>
      <c r="BU85" s="482">
        <f>SUM($AS85:AW85)</f>
        <v>0</v>
      </c>
      <c r="BV85" s="482">
        <f>SUM($AS85:AX85)</f>
        <v>0</v>
      </c>
      <c r="BW85" s="482">
        <f>SUM($AS85:AY85)</f>
        <v>0</v>
      </c>
      <c r="BX85" s="482">
        <f>SUM($AS85:AZ85)</f>
        <v>0</v>
      </c>
      <c r="BY85" s="482">
        <f>SUM($AS85:BA85)</f>
        <v>0</v>
      </c>
      <c r="BZ85" s="482">
        <f>SUM($AS85:BB85)</f>
        <v>0</v>
      </c>
      <c r="CA85" s="482">
        <f>SUM($AS85:BC85)</f>
        <v>0</v>
      </c>
      <c r="CB85" s="483">
        <f>SUM($AS85:BD85)</f>
        <v>0</v>
      </c>
    </row>
    <row r="86" spans="1:80" s="471" customFormat="1" ht="12.75" hidden="1" customHeight="1">
      <c r="A86" s="471">
        <f t="shared" si="9"/>
        <v>77</v>
      </c>
      <c r="B86" s="628"/>
      <c r="C86" s="533"/>
      <c r="D86" s="533"/>
      <c r="E86" s="427"/>
      <c r="F86" s="586"/>
      <c r="G86" s="629"/>
      <c r="H86" s="582">
        <f t="shared" si="4"/>
        <v>79</v>
      </c>
      <c r="I86" s="524"/>
      <c r="J86" s="473"/>
      <c r="K86" s="473"/>
      <c r="L86" s="473"/>
      <c r="M86" s="473"/>
      <c r="N86" s="473"/>
      <c r="O86" s="473"/>
      <c r="P86" s="473"/>
      <c r="Q86" s="473"/>
      <c r="R86" s="473"/>
      <c r="S86" s="473"/>
      <c r="T86" s="474"/>
      <c r="U86" s="475"/>
      <c r="V86" s="473"/>
      <c r="W86" s="473"/>
      <c r="X86" s="473"/>
      <c r="Y86" s="473"/>
      <c r="Z86" s="473"/>
      <c r="AA86" s="473"/>
      <c r="AB86" s="473"/>
      <c r="AC86" s="473"/>
      <c r="AD86" s="473"/>
      <c r="AE86" s="473"/>
      <c r="AF86" s="473"/>
      <c r="AG86" s="476"/>
      <c r="AH86" s="477"/>
      <c r="AI86" s="477"/>
      <c r="AJ86" s="477"/>
      <c r="AK86" s="477"/>
      <c r="AL86" s="477"/>
      <c r="AM86" s="477"/>
      <c r="AN86" s="477"/>
      <c r="AO86" s="477"/>
      <c r="AP86" s="477"/>
      <c r="AQ86" s="477"/>
      <c r="AR86" s="478"/>
      <c r="AS86" s="479"/>
      <c r="AT86" s="480"/>
      <c r="AU86" s="480"/>
      <c r="AV86" s="480"/>
      <c r="AW86" s="480"/>
      <c r="AX86" s="480"/>
      <c r="AY86" s="480"/>
      <c r="AZ86" s="480"/>
      <c r="BA86" s="480"/>
      <c r="BB86" s="480"/>
      <c r="BC86" s="480"/>
      <c r="BD86" s="481"/>
      <c r="BE86" s="482">
        <f t="shared" si="7"/>
        <v>0</v>
      </c>
      <c r="BF86" s="482">
        <f>SUM($U86:V86)</f>
        <v>0</v>
      </c>
      <c r="BG86" s="482">
        <f>SUM($U86:W86)</f>
        <v>0</v>
      </c>
      <c r="BH86" s="482">
        <f>SUM($U86:X86)</f>
        <v>0</v>
      </c>
      <c r="BI86" s="482">
        <f>SUM($U86:Y86)</f>
        <v>0</v>
      </c>
      <c r="BJ86" s="482">
        <f>SUM($U86:Z86)</f>
        <v>0</v>
      </c>
      <c r="BK86" s="482">
        <f>SUM($U86:AA86)</f>
        <v>0</v>
      </c>
      <c r="BL86" s="482">
        <f>SUM($U86:AB86)</f>
        <v>0</v>
      </c>
      <c r="BM86" s="482">
        <f>SUM($U86:AC86)</f>
        <v>0</v>
      </c>
      <c r="BN86" s="482">
        <f>SUM($U86:AD86)</f>
        <v>0</v>
      </c>
      <c r="BO86" s="482">
        <f>SUM($U86:AE86)</f>
        <v>0</v>
      </c>
      <c r="BP86" s="483">
        <f>SUM($U86:AF86)</f>
        <v>0</v>
      </c>
      <c r="BQ86" s="484">
        <f t="shared" si="8"/>
        <v>0</v>
      </c>
      <c r="BR86" s="482">
        <f>SUM($AS86:AT86)</f>
        <v>0</v>
      </c>
      <c r="BS86" s="482">
        <f>SUM($AS86:AU86)</f>
        <v>0</v>
      </c>
      <c r="BT86" s="482">
        <f>SUM($AS86:AV86)</f>
        <v>0</v>
      </c>
      <c r="BU86" s="482">
        <f>SUM($AS86:AW86)</f>
        <v>0</v>
      </c>
      <c r="BV86" s="482">
        <f>SUM($AS86:AX86)</f>
        <v>0</v>
      </c>
      <c r="BW86" s="482">
        <f>SUM($AS86:AY86)</f>
        <v>0</v>
      </c>
      <c r="BX86" s="482">
        <f>SUM($AS86:AZ86)</f>
        <v>0</v>
      </c>
      <c r="BY86" s="482">
        <f>SUM($AS86:BA86)</f>
        <v>0</v>
      </c>
      <c r="BZ86" s="482">
        <f>SUM($AS86:BB86)</f>
        <v>0</v>
      </c>
      <c r="CA86" s="482">
        <f>SUM($AS86:BC86)</f>
        <v>0</v>
      </c>
      <c r="CB86" s="483">
        <f>SUM($AS86:BD86)</f>
        <v>0</v>
      </c>
    </row>
    <row r="87" spans="1:80" s="471" customFormat="1" ht="12.75" hidden="1" customHeight="1">
      <c r="A87" s="471">
        <f t="shared" si="9"/>
        <v>78</v>
      </c>
      <c r="B87" s="628"/>
      <c r="C87" s="533"/>
      <c r="D87" s="533"/>
      <c r="E87" s="427"/>
      <c r="F87" s="586"/>
      <c r="G87" s="629"/>
      <c r="H87" s="582">
        <f t="shared" si="4"/>
        <v>80</v>
      </c>
      <c r="I87" s="524"/>
      <c r="J87" s="473"/>
      <c r="K87" s="473"/>
      <c r="L87" s="473"/>
      <c r="M87" s="473"/>
      <c r="N87" s="473"/>
      <c r="O87" s="473"/>
      <c r="P87" s="473"/>
      <c r="Q87" s="473"/>
      <c r="R87" s="473"/>
      <c r="S87" s="473"/>
      <c r="T87" s="474"/>
      <c r="U87" s="475"/>
      <c r="V87" s="473"/>
      <c r="W87" s="473"/>
      <c r="X87" s="473"/>
      <c r="Y87" s="473"/>
      <c r="Z87" s="473"/>
      <c r="AA87" s="473"/>
      <c r="AB87" s="473"/>
      <c r="AC87" s="473"/>
      <c r="AD87" s="473"/>
      <c r="AE87" s="473"/>
      <c r="AF87" s="473"/>
      <c r="AG87" s="476"/>
      <c r="AH87" s="477"/>
      <c r="AI87" s="477"/>
      <c r="AJ87" s="477"/>
      <c r="AK87" s="477"/>
      <c r="AL87" s="477"/>
      <c r="AM87" s="477"/>
      <c r="AN87" s="477"/>
      <c r="AO87" s="477"/>
      <c r="AP87" s="477"/>
      <c r="AQ87" s="477"/>
      <c r="AR87" s="478"/>
      <c r="AS87" s="479"/>
      <c r="AT87" s="480"/>
      <c r="AU87" s="480"/>
      <c r="AV87" s="480"/>
      <c r="AW87" s="480"/>
      <c r="AX87" s="480"/>
      <c r="AY87" s="480"/>
      <c r="AZ87" s="480"/>
      <c r="BA87" s="480"/>
      <c r="BB87" s="480"/>
      <c r="BC87" s="480"/>
      <c r="BD87" s="481"/>
      <c r="BE87" s="482">
        <f t="shared" si="7"/>
        <v>0</v>
      </c>
      <c r="BF87" s="482">
        <f>SUM($U87:V87)</f>
        <v>0</v>
      </c>
      <c r="BG87" s="482">
        <f>SUM($U87:W87)</f>
        <v>0</v>
      </c>
      <c r="BH87" s="482">
        <f>SUM($U87:X87)</f>
        <v>0</v>
      </c>
      <c r="BI87" s="482">
        <f>SUM($U87:Y87)</f>
        <v>0</v>
      </c>
      <c r="BJ87" s="482">
        <f>SUM($U87:Z87)</f>
        <v>0</v>
      </c>
      <c r="BK87" s="482">
        <f>SUM($U87:AA87)</f>
        <v>0</v>
      </c>
      <c r="BL87" s="482">
        <f>SUM($U87:AB87)</f>
        <v>0</v>
      </c>
      <c r="BM87" s="482">
        <f>SUM($U87:AC87)</f>
        <v>0</v>
      </c>
      <c r="BN87" s="482">
        <f>SUM($U87:AD87)</f>
        <v>0</v>
      </c>
      <c r="BO87" s="482">
        <f>SUM($U87:AE87)</f>
        <v>0</v>
      </c>
      <c r="BP87" s="483">
        <f>SUM($U87:AF87)</f>
        <v>0</v>
      </c>
      <c r="BQ87" s="484">
        <f t="shared" si="8"/>
        <v>0</v>
      </c>
      <c r="BR87" s="482">
        <f>SUM($AS87:AT87)</f>
        <v>0</v>
      </c>
      <c r="BS87" s="482">
        <f>SUM($AS87:AU87)</f>
        <v>0</v>
      </c>
      <c r="BT87" s="482">
        <f>SUM($AS87:AV87)</f>
        <v>0</v>
      </c>
      <c r="BU87" s="482">
        <f>SUM($AS87:AW87)</f>
        <v>0</v>
      </c>
      <c r="BV87" s="482">
        <f>SUM($AS87:AX87)</f>
        <v>0</v>
      </c>
      <c r="BW87" s="482">
        <f>SUM($AS87:AY87)</f>
        <v>0</v>
      </c>
      <c r="BX87" s="482">
        <f>SUM($AS87:AZ87)</f>
        <v>0</v>
      </c>
      <c r="BY87" s="482">
        <f>SUM($AS87:BA87)</f>
        <v>0</v>
      </c>
      <c r="BZ87" s="482">
        <f>SUM($AS87:BB87)</f>
        <v>0</v>
      </c>
      <c r="CA87" s="482">
        <f>SUM($AS87:BC87)</f>
        <v>0</v>
      </c>
      <c r="CB87" s="483">
        <f>SUM($AS87:BD87)</f>
        <v>0</v>
      </c>
    </row>
    <row r="88" spans="1:80" s="471" customFormat="1" ht="12.75" hidden="1" customHeight="1">
      <c r="A88" s="471">
        <f t="shared" si="9"/>
        <v>79</v>
      </c>
      <c r="B88" s="628"/>
      <c r="C88" s="533"/>
      <c r="D88" s="533"/>
      <c r="E88" s="427"/>
      <c r="F88" s="586"/>
      <c r="G88" s="629"/>
      <c r="H88" s="582">
        <f t="shared" si="4"/>
        <v>81</v>
      </c>
      <c r="I88" s="524"/>
      <c r="J88" s="473"/>
      <c r="K88" s="473"/>
      <c r="L88" s="473"/>
      <c r="M88" s="473"/>
      <c r="N88" s="473"/>
      <c r="O88" s="473"/>
      <c r="P88" s="473"/>
      <c r="Q88" s="473"/>
      <c r="R88" s="473"/>
      <c r="S88" s="473"/>
      <c r="T88" s="474"/>
      <c r="U88" s="475"/>
      <c r="V88" s="473"/>
      <c r="W88" s="473"/>
      <c r="X88" s="473"/>
      <c r="Y88" s="473"/>
      <c r="Z88" s="473"/>
      <c r="AA88" s="473"/>
      <c r="AB88" s="473"/>
      <c r="AC88" s="473"/>
      <c r="AD88" s="473"/>
      <c r="AE88" s="473"/>
      <c r="AF88" s="473"/>
      <c r="AG88" s="476"/>
      <c r="AH88" s="477"/>
      <c r="AI88" s="477"/>
      <c r="AJ88" s="477"/>
      <c r="AK88" s="477"/>
      <c r="AL88" s="477"/>
      <c r="AM88" s="477"/>
      <c r="AN88" s="477"/>
      <c r="AO88" s="477"/>
      <c r="AP88" s="477"/>
      <c r="AQ88" s="477"/>
      <c r="AR88" s="478"/>
      <c r="AS88" s="479"/>
      <c r="AT88" s="480"/>
      <c r="AU88" s="480"/>
      <c r="AV88" s="480"/>
      <c r="AW88" s="480"/>
      <c r="AX88" s="480"/>
      <c r="AY88" s="480"/>
      <c r="AZ88" s="480"/>
      <c r="BA88" s="480"/>
      <c r="BB88" s="480"/>
      <c r="BC88" s="480"/>
      <c r="BD88" s="481"/>
      <c r="BE88" s="482">
        <f t="shared" si="7"/>
        <v>0</v>
      </c>
      <c r="BF88" s="482">
        <f>SUM($U88:V88)</f>
        <v>0</v>
      </c>
      <c r="BG88" s="482">
        <f>SUM($U88:W88)</f>
        <v>0</v>
      </c>
      <c r="BH88" s="482">
        <f>SUM($U88:X88)</f>
        <v>0</v>
      </c>
      <c r="BI88" s="482">
        <f>SUM($U88:Y88)</f>
        <v>0</v>
      </c>
      <c r="BJ88" s="482">
        <f>SUM($U88:Z88)</f>
        <v>0</v>
      </c>
      <c r="BK88" s="482">
        <f>SUM($U88:AA88)</f>
        <v>0</v>
      </c>
      <c r="BL88" s="482">
        <f>SUM($U88:AB88)</f>
        <v>0</v>
      </c>
      <c r="BM88" s="482">
        <f>SUM($U88:AC88)</f>
        <v>0</v>
      </c>
      <c r="BN88" s="482">
        <f>SUM($U88:AD88)</f>
        <v>0</v>
      </c>
      <c r="BO88" s="482">
        <f>SUM($U88:AE88)</f>
        <v>0</v>
      </c>
      <c r="BP88" s="483">
        <f>SUM($U88:AF88)</f>
        <v>0</v>
      </c>
      <c r="BQ88" s="484">
        <f t="shared" si="8"/>
        <v>0</v>
      </c>
      <c r="BR88" s="482">
        <f>SUM($AS88:AT88)</f>
        <v>0</v>
      </c>
      <c r="BS88" s="482">
        <f>SUM($AS88:AU88)</f>
        <v>0</v>
      </c>
      <c r="BT88" s="482">
        <f>SUM($AS88:AV88)</f>
        <v>0</v>
      </c>
      <c r="BU88" s="482">
        <f>SUM($AS88:AW88)</f>
        <v>0</v>
      </c>
      <c r="BV88" s="482">
        <f>SUM($AS88:AX88)</f>
        <v>0</v>
      </c>
      <c r="BW88" s="482">
        <f>SUM($AS88:AY88)</f>
        <v>0</v>
      </c>
      <c r="BX88" s="482">
        <f>SUM($AS88:AZ88)</f>
        <v>0</v>
      </c>
      <c r="BY88" s="482">
        <f>SUM($AS88:BA88)</f>
        <v>0</v>
      </c>
      <c r="BZ88" s="482">
        <f>SUM($AS88:BB88)</f>
        <v>0</v>
      </c>
      <c r="CA88" s="482">
        <f>SUM($AS88:BC88)</f>
        <v>0</v>
      </c>
      <c r="CB88" s="483">
        <f>SUM($AS88:BD88)</f>
        <v>0</v>
      </c>
    </row>
    <row r="89" spans="1:80" s="471" customFormat="1" ht="12.75" hidden="1" customHeight="1">
      <c r="A89" s="471">
        <f t="shared" si="9"/>
        <v>80</v>
      </c>
      <c r="B89" s="628"/>
      <c r="C89" s="533"/>
      <c r="D89" s="533"/>
      <c r="E89" s="427"/>
      <c r="F89" s="586"/>
      <c r="G89" s="629"/>
      <c r="H89" s="582">
        <f t="shared" si="4"/>
        <v>82</v>
      </c>
      <c r="I89" s="524"/>
      <c r="J89" s="473"/>
      <c r="K89" s="473"/>
      <c r="L89" s="473"/>
      <c r="M89" s="473"/>
      <c r="N89" s="473"/>
      <c r="O89" s="473"/>
      <c r="P89" s="473"/>
      <c r="Q89" s="473"/>
      <c r="R89" s="473"/>
      <c r="S89" s="473"/>
      <c r="T89" s="474"/>
      <c r="U89" s="475"/>
      <c r="V89" s="473"/>
      <c r="W89" s="473"/>
      <c r="X89" s="473"/>
      <c r="Y89" s="473"/>
      <c r="Z89" s="473"/>
      <c r="AA89" s="473"/>
      <c r="AB89" s="473"/>
      <c r="AC89" s="473"/>
      <c r="AD89" s="473"/>
      <c r="AE89" s="473"/>
      <c r="AF89" s="473"/>
      <c r="AG89" s="476"/>
      <c r="AH89" s="477"/>
      <c r="AI89" s="477"/>
      <c r="AJ89" s="477"/>
      <c r="AK89" s="477"/>
      <c r="AL89" s="477"/>
      <c r="AM89" s="477"/>
      <c r="AN89" s="477"/>
      <c r="AO89" s="477"/>
      <c r="AP89" s="477"/>
      <c r="AQ89" s="477"/>
      <c r="AR89" s="478"/>
      <c r="AS89" s="479"/>
      <c r="AT89" s="480"/>
      <c r="AU89" s="480"/>
      <c r="AV89" s="480"/>
      <c r="AW89" s="480"/>
      <c r="AX89" s="480"/>
      <c r="AY89" s="480"/>
      <c r="AZ89" s="480"/>
      <c r="BA89" s="480"/>
      <c r="BB89" s="480"/>
      <c r="BC89" s="480"/>
      <c r="BD89" s="481"/>
      <c r="BE89" s="482">
        <f t="shared" si="7"/>
        <v>0</v>
      </c>
      <c r="BF89" s="482">
        <f>SUM($U89:V89)</f>
        <v>0</v>
      </c>
      <c r="BG89" s="482">
        <f>SUM($U89:W89)</f>
        <v>0</v>
      </c>
      <c r="BH89" s="482">
        <f>SUM($U89:X89)</f>
        <v>0</v>
      </c>
      <c r="BI89" s="482">
        <f>SUM($U89:Y89)</f>
        <v>0</v>
      </c>
      <c r="BJ89" s="482">
        <f>SUM($U89:Z89)</f>
        <v>0</v>
      </c>
      <c r="BK89" s="482">
        <f>SUM($U89:AA89)</f>
        <v>0</v>
      </c>
      <c r="BL89" s="482">
        <f>SUM($U89:AB89)</f>
        <v>0</v>
      </c>
      <c r="BM89" s="482">
        <f>SUM($U89:AC89)</f>
        <v>0</v>
      </c>
      <c r="BN89" s="482">
        <f>SUM($U89:AD89)</f>
        <v>0</v>
      </c>
      <c r="BO89" s="482">
        <f>SUM($U89:AE89)</f>
        <v>0</v>
      </c>
      <c r="BP89" s="483">
        <f>SUM($U89:AF89)</f>
        <v>0</v>
      </c>
      <c r="BQ89" s="484">
        <f t="shared" si="8"/>
        <v>0</v>
      </c>
      <c r="BR89" s="482">
        <f>SUM($AS89:AT89)</f>
        <v>0</v>
      </c>
      <c r="BS89" s="482">
        <f>SUM($AS89:AU89)</f>
        <v>0</v>
      </c>
      <c r="BT89" s="482">
        <f>SUM($AS89:AV89)</f>
        <v>0</v>
      </c>
      <c r="BU89" s="482">
        <f>SUM($AS89:AW89)</f>
        <v>0</v>
      </c>
      <c r="BV89" s="482">
        <f>SUM($AS89:AX89)</f>
        <v>0</v>
      </c>
      <c r="BW89" s="482">
        <f>SUM($AS89:AY89)</f>
        <v>0</v>
      </c>
      <c r="BX89" s="482">
        <f>SUM($AS89:AZ89)</f>
        <v>0</v>
      </c>
      <c r="BY89" s="482">
        <f>SUM($AS89:BA89)</f>
        <v>0</v>
      </c>
      <c r="BZ89" s="482">
        <f>SUM($AS89:BB89)</f>
        <v>0</v>
      </c>
      <c r="CA89" s="482">
        <f>SUM($AS89:BC89)</f>
        <v>0</v>
      </c>
      <c r="CB89" s="483">
        <f>SUM($AS89:BD89)</f>
        <v>0</v>
      </c>
    </row>
    <row r="90" spans="1:80" s="471" customFormat="1" ht="12.75" hidden="1" customHeight="1">
      <c r="A90" s="471">
        <f t="shared" si="9"/>
        <v>81</v>
      </c>
      <c r="B90" s="628"/>
      <c r="C90" s="533"/>
      <c r="D90" s="533"/>
      <c r="E90" s="427"/>
      <c r="F90" s="586"/>
      <c r="G90" s="629"/>
      <c r="H90" s="582">
        <f t="shared" si="4"/>
        <v>83</v>
      </c>
      <c r="I90" s="524"/>
      <c r="J90" s="473"/>
      <c r="K90" s="473"/>
      <c r="L90" s="473"/>
      <c r="M90" s="473"/>
      <c r="N90" s="473"/>
      <c r="O90" s="473"/>
      <c r="P90" s="473"/>
      <c r="Q90" s="473"/>
      <c r="R90" s="473"/>
      <c r="S90" s="473"/>
      <c r="T90" s="474"/>
      <c r="U90" s="475"/>
      <c r="V90" s="473"/>
      <c r="W90" s="473"/>
      <c r="X90" s="473"/>
      <c r="Y90" s="473"/>
      <c r="Z90" s="473"/>
      <c r="AA90" s="473"/>
      <c r="AB90" s="473"/>
      <c r="AC90" s="473"/>
      <c r="AD90" s="473"/>
      <c r="AE90" s="473"/>
      <c r="AF90" s="473"/>
      <c r="AG90" s="476"/>
      <c r="AH90" s="477"/>
      <c r="AI90" s="477"/>
      <c r="AJ90" s="477"/>
      <c r="AK90" s="477"/>
      <c r="AL90" s="477"/>
      <c r="AM90" s="477"/>
      <c r="AN90" s="477"/>
      <c r="AO90" s="477"/>
      <c r="AP90" s="477"/>
      <c r="AQ90" s="477"/>
      <c r="AR90" s="478"/>
      <c r="AS90" s="479"/>
      <c r="AT90" s="480"/>
      <c r="AU90" s="480"/>
      <c r="AV90" s="480"/>
      <c r="AW90" s="480"/>
      <c r="AX90" s="480"/>
      <c r="AY90" s="480"/>
      <c r="AZ90" s="480"/>
      <c r="BA90" s="480"/>
      <c r="BB90" s="480"/>
      <c r="BC90" s="480"/>
      <c r="BD90" s="481"/>
      <c r="BE90" s="482">
        <f t="shared" si="7"/>
        <v>0</v>
      </c>
      <c r="BF90" s="482">
        <f>SUM($U90:V90)</f>
        <v>0</v>
      </c>
      <c r="BG90" s="482">
        <f>SUM($U90:W90)</f>
        <v>0</v>
      </c>
      <c r="BH90" s="482">
        <f>SUM($U90:X90)</f>
        <v>0</v>
      </c>
      <c r="BI90" s="482">
        <f>SUM($U90:Y90)</f>
        <v>0</v>
      </c>
      <c r="BJ90" s="482">
        <f>SUM($U90:Z90)</f>
        <v>0</v>
      </c>
      <c r="BK90" s="482">
        <f>SUM($U90:AA90)</f>
        <v>0</v>
      </c>
      <c r="BL90" s="482">
        <f>SUM($U90:AB90)</f>
        <v>0</v>
      </c>
      <c r="BM90" s="482">
        <f>SUM($U90:AC90)</f>
        <v>0</v>
      </c>
      <c r="BN90" s="482">
        <f>SUM($U90:AD90)</f>
        <v>0</v>
      </c>
      <c r="BO90" s="482">
        <f>SUM($U90:AE90)</f>
        <v>0</v>
      </c>
      <c r="BP90" s="483">
        <f>SUM($U90:AF90)</f>
        <v>0</v>
      </c>
      <c r="BQ90" s="484">
        <f t="shared" si="8"/>
        <v>0</v>
      </c>
      <c r="BR90" s="482">
        <f>SUM($AS90:AT90)</f>
        <v>0</v>
      </c>
      <c r="BS90" s="482">
        <f>SUM($AS90:AU90)</f>
        <v>0</v>
      </c>
      <c r="BT90" s="482">
        <f>SUM($AS90:AV90)</f>
        <v>0</v>
      </c>
      <c r="BU90" s="482">
        <f>SUM($AS90:AW90)</f>
        <v>0</v>
      </c>
      <c r="BV90" s="482">
        <f>SUM($AS90:AX90)</f>
        <v>0</v>
      </c>
      <c r="BW90" s="482">
        <f>SUM($AS90:AY90)</f>
        <v>0</v>
      </c>
      <c r="BX90" s="482">
        <f>SUM($AS90:AZ90)</f>
        <v>0</v>
      </c>
      <c r="BY90" s="482">
        <f>SUM($AS90:BA90)</f>
        <v>0</v>
      </c>
      <c r="BZ90" s="482">
        <f>SUM($AS90:BB90)</f>
        <v>0</v>
      </c>
      <c r="CA90" s="482">
        <f>SUM($AS90:BC90)</f>
        <v>0</v>
      </c>
      <c r="CB90" s="483">
        <f>SUM($AS90:BD90)</f>
        <v>0</v>
      </c>
    </row>
    <row r="91" spans="1:80" s="471" customFormat="1" ht="12.75" hidden="1" customHeight="1">
      <c r="A91" s="471">
        <f t="shared" si="9"/>
        <v>82</v>
      </c>
      <c r="B91" s="628"/>
      <c r="C91" s="533"/>
      <c r="D91" s="533"/>
      <c r="E91" s="427"/>
      <c r="F91" s="586"/>
      <c r="G91" s="629"/>
      <c r="H91" s="582">
        <f t="shared" si="4"/>
        <v>84</v>
      </c>
      <c r="I91" s="524"/>
      <c r="J91" s="473"/>
      <c r="K91" s="473"/>
      <c r="L91" s="473"/>
      <c r="M91" s="473"/>
      <c r="N91" s="473"/>
      <c r="O91" s="473"/>
      <c r="P91" s="473"/>
      <c r="Q91" s="473"/>
      <c r="R91" s="473"/>
      <c r="S91" s="473"/>
      <c r="T91" s="474"/>
      <c r="U91" s="475"/>
      <c r="V91" s="473"/>
      <c r="W91" s="473"/>
      <c r="X91" s="473"/>
      <c r="Y91" s="473"/>
      <c r="Z91" s="473"/>
      <c r="AA91" s="473"/>
      <c r="AB91" s="473"/>
      <c r="AC91" s="473"/>
      <c r="AD91" s="473"/>
      <c r="AE91" s="473"/>
      <c r="AF91" s="473"/>
      <c r="AG91" s="476"/>
      <c r="AH91" s="477"/>
      <c r="AI91" s="477"/>
      <c r="AJ91" s="477"/>
      <c r="AK91" s="477"/>
      <c r="AL91" s="477"/>
      <c r="AM91" s="477"/>
      <c r="AN91" s="477"/>
      <c r="AO91" s="477"/>
      <c r="AP91" s="477"/>
      <c r="AQ91" s="477"/>
      <c r="AR91" s="478"/>
      <c r="AS91" s="479"/>
      <c r="AT91" s="480"/>
      <c r="AU91" s="480"/>
      <c r="AV91" s="480"/>
      <c r="AW91" s="480"/>
      <c r="AX91" s="480"/>
      <c r="AY91" s="480"/>
      <c r="AZ91" s="480"/>
      <c r="BA91" s="480"/>
      <c r="BB91" s="480"/>
      <c r="BC91" s="480"/>
      <c r="BD91" s="481"/>
      <c r="BE91" s="482">
        <f t="shared" si="7"/>
        <v>0</v>
      </c>
      <c r="BF91" s="482">
        <f>SUM($U91:V91)</f>
        <v>0</v>
      </c>
      <c r="BG91" s="482">
        <f>SUM($U91:W91)</f>
        <v>0</v>
      </c>
      <c r="BH91" s="482">
        <f>SUM($U91:X91)</f>
        <v>0</v>
      </c>
      <c r="BI91" s="482">
        <f>SUM($U91:Y91)</f>
        <v>0</v>
      </c>
      <c r="BJ91" s="482">
        <f>SUM($U91:Z91)</f>
        <v>0</v>
      </c>
      <c r="BK91" s="482">
        <f>SUM($U91:AA91)</f>
        <v>0</v>
      </c>
      <c r="BL91" s="482">
        <f>SUM($U91:AB91)</f>
        <v>0</v>
      </c>
      <c r="BM91" s="482">
        <f>SUM($U91:AC91)</f>
        <v>0</v>
      </c>
      <c r="BN91" s="482">
        <f>SUM($U91:AD91)</f>
        <v>0</v>
      </c>
      <c r="BO91" s="482">
        <f>SUM($U91:AE91)</f>
        <v>0</v>
      </c>
      <c r="BP91" s="483">
        <f>SUM($U91:AF91)</f>
        <v>0</v>
      </c>
      <c r="BQ91" s="484">
        <f t="shared" si="8"/>
        <v>0</v>
      </c>
      <c r="BR91" s="482">
        <f>SUM($AS91:AT91)</f>
        <v>0</v>
      </c>
      <c r="BS91" s="482">
        <f>SUM($AS91:AU91)</f>
        <v>0</v>
      </c>
      <c r="BT91" s="482">
        <f>SUM($AS91:AV91)</f>
        <v>0</v>
      </c>
      <c r="BU91" s="482">
        <f>SUM($AS91:AW91)</f>
        <v>0</v>
      </c>
      <c r="BV91" s="482">
        <f>SUM($AS91:AX91)</f>
        <v>0</v>
      </c>
      <c r="BW91" s="482">
        <f>SUM($AS91:AY91)</f>
        <v>0</v>
      </c>
      <c r="BX91" s="482">
        <f>SUM($AS91:AZ91)</f>
        <v>0</v>
      </c>
      <c r="BY91" s="482">
        <f>SUM($AS91:BA91)</f>
        <v>0</v>
      </c>
      <c r="BZ91" s="482">
        <f>SUM($AS91:BB91)</f>
        <v>0</v>
      </c>
      <c r="CA91" s="482">
        <f>SUM($AS91:BC91)</f>
        <v>0</v>
      </c>
      <c r="CB91" s="483">
        <f>SUM($AS91:BD91)</f>
        <v>0</v>
      </c>
    </row>
    <row r="92" spans="1:80" s="471" customFormat="1" ht="12.75" hidden="1" customHeight="1">
      <c r="A92" s="471">
        <f t="shared" si="9"/>
        <v>83</v>
      </c>
      <c r="B92" s="628"/>
      <c r="C92" s="533"/>
      <c r="D92" s="533"/>
      <c r="E92" s="427"/>
      <c r="F92" s="586"/>
      <c r="G92" s="629"/>
      <c r="H92" s="582">
        <f t="shared" si="4"/>
        <v>85</v>
      </c>
      <c r="I92" s="524"/>
      <c r="J92" s="473"/>
      <c r="K92" s="473"/>
      <c r="L92" s="473"/>
      <c r="M92" s="473"/>
      <c r="N92" s="473"/>
      <c r="O92" s="473"/>
      <c r="P92" s="473"/>
      <c r="Q92" s="473"/>
      <c r="R92" s="473"/>
      <c r="S92" s="473"/>
      <c r="T92" s="474"/>
      <c r="U92" s="475"/>
      <c r="V92" s="473"/>
      <c r="W92" s="473"/>
      <c r="X92" s="473"/>
      <c r="Y92" s="473"/>
      <c r="Z92" s="473"/>
      <c r="AA92" s="473"/>
      <c r="AB92" s="473"/>
      <c r="AC92" s="473"/>
      <c r="AD92" s="473"/>
      <c r="AE92" s="473"/>
      <c r="AF92" s="473"/>
      <c r="AG92" s="476"/>
      <c r="AH92" s="477"/>
      <c r="AI92" s="477"/>
      <c r="AJ92" s="477"/>
      <c r="AK92" s="477"/>
      <c r="AL92" s="477"/>
      <c r="AM92" s="477"/>
      <c r="AN92" s="477"/>
      <c r="AO92" s="477"/>
      <c r="AP92" s="477"/>
      <c r="AQ92" s="477"/>
      <c r="AR92" s="478"/>
      <c r="AS92" s="479"/>
      <c r="AT92" s="480"/>
      <c r="AU92" s="480"/>
      <c r="AV92" s="480"/>
      <c r="AW92" s="480"/>
      <c r="AX92" s="480"/>
      <c r="AY92" s="480"/>
      <c r="AZ92" s="480"/>
      <c r="BA92" s="480"/>
      <c r="BB92" s="480"/>
      <c r="BC92" s="480"/>
      <c r="BD92" s="481"/>
      <c r="BE92" s="482">
        <f t="shared" si="7"/>
        <v>0</v>
      </c>
      <c r="BF92" s="482">
        <f>SUM($U92:V92)</f>
        <v>0</v>
      </c>
      <c r="BG92" s="482">
        <f>SUM($U92:W92)</f>
        <v>0</v>
      </c>
      <c r="BH92" s="482">
        <f>SUM($U92:X92)</f>
        <v>0</v>
      </c>
      <c r="BI92" s="482">
        <f>SUM($U92:Y92)</f>
        <v>0</v>
      </c>
      <c r="BJ92" s="482">
        <f>SUM($U92:Z92)</f>
        <v>0</v>
      </c>
      <c r="BK92" s="482">
        <f>SUM($U92:AA92)</f>
        <v>0</v>
      </c>
      <c r="BL92" s="482">
        <f>SUM($U92:AB92)</f>
        <v>0</v>
      </c>
      <c r="BM92" s="482">
        <f>SUM($U92:AC92)</f>
        <v>0</v>
      </c>
      <c r="BN92" s="482">
        <f>SUM($U92:AD92)</f>
        <v>0</v>
      </c>
      <c r="BO92" s="482">
        <f>SUM($U92:AE92)</f>
        <v>0</v>
      </c>
      <c r="BP92" s="483">
        <f>SUM($U92:AF92)</f>
        <v>0</v>
      </c>
      <c r="BQ92" s="484">
        <f t="shared" si="8"/>
        <v>0</v>
      </c>
      <c r="BR92" s="482">
        <f>SUM($AS92:AT92)</f>
        <v>0</v>
      </c>
      <c r="BS92" s="482">
        <f>SUM($AS92:AU92)</f>
        <v>0</v>
      </c>
      <c r="BT92" s="482">
        <f>SUM($AS92:AV92)</f>
        <v>0</v>
      </c>
      <c r="BU92" s="482">
        <f>SUM($AS92:AW92)</f>
        <v>0</v>
      </c>
      <c r="BV92" s="482">
        <f>SUM($AS92:AX92)</f>
        <v>0</v>
      </c>
      <c r="BW92" s="482">
        <f>SUM($AS92:AY92)</f>
        <v>0</v>
      </c>
      <c r="BX92" s="482">
        <f>SUM($AS92:AZ92)</f>
        <v>0</v>
      </c>
      <c r="BY92" s="482">
        <f>SUM($AS92:BA92)</f>
        <v>0</v>
      </c>
      <c r="BZ92" s="482">
        <f>SUM($AS92:BB92)</f>
        <v>0</v>
      </c>
      <c r="CA92" s="482">
        <f>SUM($AS92:BC92)</f>
        <v>0</v>
      </c>
      <c r="CB92" s="483">
        <f>SUM($AS92:BD92)</f>
        <v>0</v>
      </c>
    </row>
    <row r="93" spans="1:80" s="471" customFormat="1" ht="12.75" hidden="1" customHeight="1">
      <c r="A93" s="471">
        <f t="shared" si="9"/>
        <v>84</v>
      </c>
      <c r="B93" s="628"/>
      <c r="C93" s="533"/>
      <c r="D93" s="533"/>
      <c r="E93" s="427"/>
      <c r="F93" s="586"/>
      <c r="G93" s="629"/>
      <c r="H93" s="582">
        <f t="shared" si="4"/>
        <v>86</v>
      </c>
      <c r="I93" s="524"/>
      <c r="J93" s="473"/>
      <c r="K93" s="473"/>
      <c r="L93" s="473"/>
      <c r="M93" s="473"/>
      <c r="N93" s="473"/>
      <c r="O93" s="473"/>
      <c r="P93" s="473"/>
      <c r="Q93" s="473"/>
      <c r="R93" s="473"/>
      <c r="S93" s="473"/>
      <c r="T93" s="474"/>
      <c r="U93" s="475"/>
      <c r="V93" s="473"/>
      <c r="W93" s="473"/>
      <c r="X93" s="473"/>
      <c r="Y93" s="473"/>
      <c r="Z93" s="473"/>
      <c r="AA93" s="473"/>
      <c r="AB93" s="473"/>
      <c r="AC93" s="473"/>
      <c r="AD93" s="473"/>
      <c r="AE93" s="473"/>
      <c r="AF93" s="473"/>
      <c r="AG93" s="476"/>
      <c r="AH93" s="477"/>
      <c r="AI93" s="477"/>
      <c r="AJ93" s="477"/>
      <c r="AK93" s="477"/>
      <c r="AL93" s="477"/>
      <c r="AM93" s="477"/>
      <c r="AN93" s="477"/>
      <c r="AO93" s="477"/>
      <c r="AP93" s="477"/>
      <c r="AQ93" s="477"/>
      <c r="AR93" s="478"/>
      <c r="AS93" s="479"/>
      <c r="AT93" s="480"/>
      <c r="AU93" s="480"/>
      <c r="AV93" s="480"/>
      <c r="AW93" s="480"/>
      <c r="AX93" s="480"/>
      <c r="AY93" s="480"/>
      <c r="AZ93" s="480"/>
      <c r="BA93" s="480"/>
      <c r="BB93" s="480"/>
      <c r="BC93" s="480"/>
      <c r="BD93" s="481"/>
      <c r="BE93" s="482">
        <f t="shared" si="7"/>
        <v>0</v>
      </c>
      <c r="BF93" s="482">
        <f>SUM($U93:V93)</f>
        <v>0</v>
      </c>
      <c r="BG93" s="482">
        <f>SUM($U93:W93)</f>
        <v>0</v>
      </c>
      <c r="BH93" s="482">
        <f>SUM($U93:X93)</f>
        <v>0</v>
      </c>
      <c r="BI93" s="482">
        <f>SUM($U93:Y93)</f>
        <v>0</v>
      </c>
      <c r="BJ93" s="482">
        <f>SUM($U93:Z93)</f>
        <v>0</v>
      </c>
      <c r="BK93" s="482">
        <f>SUM($U93:AA93)</f>
        <v>0</v>
      </c>
      <c r="BL93" s="482">
        <f>SUM($U93:AB93)</f>
        <v>0</v>
      </c>
      <c r="BM93" s="482">
        <f>SUM($U93:AC93)</f>
        <v>0</v>
      </c>
      <c r="BN93" s="482">
        <f>SUM($U93:AD93)</f>
        <v>0</v>
      </c>
      <c r="BO93" s="482">
        <f>SUM($U93:AE93)</f>
        <v>0</v>
      </c>
      <c r="BP93" s="483">
        <f>SUM($U93:AF93)</f>
        <v>0</v>
      </c>
      <c r="BQ93" s="484">
        <f t="shared" si="8"/>
        <v>0</v>
      </c>
      <c r="BR93" s="482">
        <f>SUM($AS93:AT93)</f>
        <v>0</v>
      </c>
      <c r="BS93" s="482">
        <f>SUM($AS93:AU93)</f>
        <v>0</v>
      </c>
      <c r="BT93" s="482">
        <f>SUM($AS93:AV93)</f>
        <v>0</v>
      </c>
      <c r="BU93" s="482">
        <f>SUM($AS93:AW93)</f>
        <v>0</v>
      </c>
      <c r="BV93" s="482">
        <f>SUM($AS93:AX93)</f>
        <v>0</v>
      </c>
      <c r="BW93" s="482">
        <f>SUM($AS93:AY93)</f>
        <v>0</v>
      </c>
      <c r="BX93" s="482">
        <f>SUM($AS93:AZ93)</f>
        <v>0</v>
      </c>
      <c r="BY93" s="482">
        <f>SUM($AS93:BA93)</f>
        <v>0</v>
      </c>
      <c r="BZ93" s="482">
        <f>SUM($AS93:BB93)</f>
        <v>0</v>
      </c>
      <c r="CA93" s="482">
        <f>SUM($AS93:BC93)</f>
        <v>0</v>
      </c>
      <c r="CB93" s="483">
        <f>SUM($AS93:BD93)</f>
        <v>0</v>
      </c>
    </row>
    <row r="94" spans="1:80" s="471" customFormat="1" ht="12.75" hidden="1" customHeight="1">
      <c r="A94" s="471">
        <f t="shared" si="9"/>
        <v>85</v>
      </c>
      <c r="B94" s="628"/>
      <c r="C94" s="533"/>
      <c r="D94" s="533"/>
      <c r="E94" s="427"/>
      <c r="F94" s="586"/>
      <c r="G94" s="629"/>
      <c r="H94" s="582">
        <f t="shared" si="4"/>
        <v>87</v>
      </c>
      <c r="I94" s="524"/>
      <c r="J94" s="473"/>
      <c r="K94" s="473"/>
      <c r="L94" s="473"/>
      <c r="M94" s="473"/>
      <c r="N94" s="473"/>
      <c r="O94" s="473"/>
      <c r="P94" s="473"/>
      <c r="Q94" s="473"/>
      <c r="R94" s="473"/>
      <c r="S94" s="473"/>
      <c r="T94" s="474"/>
      <c r="U94" s="475"/>
      <c r="V94" s="473"/>
      <c r="W94" s="473"/>
      <c r="X94" s="473"/>
      <c r="Y94" s="473"/>
      <c r="Z94" s="473"/>
      <c r="AA94" s="473"/>
      <c r="AB94" s="473"/>
      <c r="AC94" s="473"/>
      <c r="AD94" s="473"/>
      <c r="AE94" s="473"/>
      <c r="AF94" s="473"/>
      <c r="AG94" s="476"/>
      <c r="AH94" s="477"/>
      <c r="AI94" s="477"/>
      <c r="AJ94" s="477"/>
      <c r="AK94" s="477"/>
      <c r="AL94" s="477"/>
      <c r="AM94" s="477"/>
      <c r="AN94" s="477"/>
      <c r="AO94" s="477"/>
      <c r="AP94" s="477"/>
      <c r="AQ94" s="477"/>
      <c r="AR94" s="478"/>
      <c r="AS94" s="479"/>
      <c r="AT94" s="480"/>
      <c r="AU94" s="480"/>
      <c r="AV94" s="480"/>
      <c r="AW94" s="480"/>
      <c r="AX94" s="480"/>
      <c r="AY94" s="480"/>
      <c r="AZ94" s="480"/>
      <c r="BA94" s="480"/>
      <c r="BB94" s="480"/>
      <c r="BC94" s="480"/>
      <c r="BD94" s="481"/>
      <c r="BE94" s="482">
        <f t="shared" si="7"/>
        <v>0</v>
      </c>
      <c r="BF94" s="482">
        <f>SUM($U94:V94)</f>
        <v>0</v>
      </c>
      <c r="BG94" s="482">
        <f>SUM($U94:W94)</f>
        <v>0</v>
      </c>
      <c r="BH94" s="482">
        <f>SUM($U94:X94)</f>
        <v>0</v>
      </c>
      <c r="BI94" s="482">
        <f>SUM($U94:Y94)</f>
        <v>0</v>
      </c>
      <c r="BJ94" s="482">
        <f>SUM($U94:Z94)</f>
        <v>0</v>
      </c>
      <c r="BK94" s="482">
        <f>SUM($U94:AA94)</f>
        <v>0</v>
      </c>
      <c r="BL94" s="482">
        <f>SUM($U94:AB94)</f>
        <v>0</v>
      </c>
      <c r="BM94" s="482">
        <f>SUM($U94:AC94)</f>
        <v>0</v>
      </c>
      <c r="BN94" s="482">
        <f>SUM($U94:AD94)</f>
        <v>0</v>
      </c>
      <c r="BO94" s="482">
        <f>SUM($U94:AE94)</f>
        <v>0</v>
      </c>
      <c r="BP94" s="483">
        <f>SUM($U94:AF94)</f>
        <v>0</v>
      </c>
      <c r="BQ94" s="484">
        <f t="shared" si="8"/>
        <v>0</v>
      </c>
      <c r="BR94" s="482">
        <f>SUM($AS94:AT94)</f>
        <v>0</v>
      </c>
      <c r="BS94" s="482">
        <f>SUM($AS94:AU94)</f>
        <v>0</v>
      </c>
      <c r="BT94" s="482">
        <f>SUM($AS94:AV94)</f>
        <v>0</v>
      </c>
      <c r="BU94" s="482">
        <f>SUM($AS94:AW94)</f>
        <v>0</v>
      </c>
      <c r="BV94" s="482">
        <f>SUM($AS94:AX94)</f>
        <v>0</v>
      </c>
      <c r="BW94" s="482">
        <f>SUM($AS94:AY94)</f>
        <v>0</v>
      </c>
      <c r="BX94" s="482">
        <f>SUM($AS94:AZ94)</f>
        <v>0</v>
      </c>
      <c r="BY94" s="482">
        <f>SUM($AS94:BA94)</f>
        <v>0</v>
      </c>
      <c r="BZ94" s="482">
        <f>SUM($AS94:BB94)</f>
        <v>0</v>
      </c>
      <c r="CA94" s="482">
        <f>SUM($AS94:BC94)</f>
        <v>0</v>
      </c>
      <c r="CB94" s="483">
        <f>SUM($AS94:BD94)</f>
        <v>0</v>
      </c>
    </row>
    <row r="95" spans="1:80" s="471" customFormat="1" ht="12.75" hidden="1" customHeight="1">
      <c r="A95" s="471">
        <f t="shared" si="9"/>
        <v>86</v>
      </c>
      <c r="B95" s="628"/>
      <c r="C95" s="533"/>
      <c r="D95" s="533"/>
      <c r="E95" s="427"/>
      <c r="F95" s="586"/>
      <c r="G95" s="629"/>
      <c r="H95" s="582">
        <f t="shared" si="4"/>
        <v>88</v>
      </c>
      <c r="I95" s="524"/>
      <c r="J95" s="473"/>
      <c r="K95" s="473"/>
      <c r="L95" s="473"/>
      <c r="M95" s="473"/>
      <c r="N95" s="473"/>
      <c r="O95" s="473"/>
      <c r="P95" s="473"/>
      <c r="Q95" s="473"/>
      <c r="R95" s="473"/>
      <c r="S95" s="473"/>
      <c r="T95" s="474"/>
      <c r="U95" s="475"/>
      <c r="V95" s="473"/>
      <c r="W95" s="473"/>
      <c r="X95" s="473"/>
      <c r="Y95" s="473"/>
      <c r="Z95" s="473"/>
      <c r="AA95" s="473"/>
      <c r="AB95" s="473"/>
      <c r="AC95" s="473"/>
      <c r="AD95" s="473"/>
      <c r="AE95" s="473"/>
      <c r="AF95" s="473"/>
      <c r="AG95" s="476"/>
      <c r="AH95" s="477"/>
      <c r="AI95" s="477"/>
      <c r="AJ95" s="477"/>
      <c r="AK95" s="477"/>
      <c r="AL95" s="477"/>
      <c r="AM95" s="477"/>
      <c r="AN95" s="477"/>
      <c r="AO95" s="477"/>
      <c r="AP95" s="477"/>
      <c r="AQ95" s="477"/>
      <c r="AR95" s="478"/>
      <c r="AS95" s="479"/>
      <c r="AT95" s="480"/>
      <c r="AU95" s="480"/>
      <c r="AV95" s="480"/>
      <c r="AW95" s="480"/>
      <c r="AX95" s="480"/>
      <c r="AY95" s="480"/>
      <c r="AZ95" s="480"/>
      <c r="BA95" s="480"/>
      <c r="BB95" s="480"/>
      <c r="BC95" s="480"/>
      <c r="BD95" s="481"/>
      <c r="BE95" s="482">
        <f t="shared" si="7"/>
        <v>0</v>
      </c>
      <c r="BF95" s="482">
        <f>SUM($U95:V95)</f>
        <v>0</v>
      </c>
      <c r="BG95" s="482">
        <f>SUM($U95:W95)</f>
        <v>0</v>
      </c>
      <c r="BH95" s="482">
        <f>SUM($U95:X95)</f>
        <v>0</v>
      </c>
      <c r="BI95" s="482">
        <f>SUM($U95:Y95)</f>
        <v>0</v>
      </c>
      <c r="BJ95" s="482">
        <f>SUM($U95:Z95)</f>
        <v>0</v>
      </c>
      <c r="BK95" s="482">
        <f>SUM($U95:AA95)</f>
        <v>0</v>
      </c>
      <c r="BL95" s="482">
        <f>SUM($U95:AB95)</f>
        <v>0</v>
      </c>
      <c r="BM95" s="482">
        <f>SUM($U95:AC95)</f>
        <v>0</v>
      </c>
      <c r="BN95" s="482">
        <f>SUM($U95:AD95)</f>
        <v>0</v>
      </c>
      <c r="BO95" s="482">
        <f>SUM($U95:AE95)</f>
        <v>0</v>
      </c>
      <c r="BP95" s="483">
        <f>SUM($U95:AF95)</f>
        <v>0</v>
      </c>
      <c r="BQ95" s="484">
        <f t="shared" si="8"/>
        <v>0</v>
      </c>
      <c r="BR95" s="482">
        <f>SUM($AS95:AT95)</f>
        <v>0</v>
      </c>
      <c r="BS95" s="482">
        <f>SUM($AS95:AU95)</f>
        <v>0</v>
      </c>
      <c r="BT95" s="482">
        <f>SUM($AS95:AV95)</f>
        <v>0</v>
      </c>
      <c r="BU95" s="482">
        <f>SUM($AS95:AW95)</f>
        <v>0</v>
      </c>
      <c r="BV95" s="482">
        <f>SUM($AS95:AX95)</f>
        <v>0</v>
      </c>
      <c r="BW95" s="482">
        <f>SUM($AS95:AY95)</f>
        <v>0</v>
      </c>
      <c r="BX95" s="482">
        <f>SUM($AS95:AZ95)</f>
        <v>0</v>
      </c>
      <c r="BY95" s="482">
        <f>SUM($AS95:BA95)</f>
        <v>0</v>
      </c>
      <c r="BZ95" s="482">
        <f>SUM($AS95:BB95)</f>
        <v>0</v>
      </c>
      <c r="CA95" s="482">
        <f>SUM($AS95:BC95)</f>
        <v>0</v>
      </c>
      <c r="CB95" s="483">
        <f>SUM($AS95:BD95)</f>
        <v>0</v>
      </c>
    </row>
    <row r="96" spans="1:80" s="471" customFormat="1" ht="12.75" hidden="1" customHeight="1">
      <c r="A96" s="471">
        <f t="shared" si="9"/>
        <v>87</v>
      </c>
      <c r="B96" s="628"/>
      <c r="C96" s="533"/>
      <c r="D96" s="533"/>
      <c r="E96" s="427"/>
      <c r="F96" s="586"/>
      <c r="G96" s="629"/>
      <c r="H96" s="582">
        <f t="shared" si="4"/>
        <v>89</v>
      </c>
      <c r="I96" s="524"/>
      <c r="J96" s="473"/>
      <c r="K96" s="473"/>
      <c r="L96" s="473"/>
      <c r="M96" s="473"/>
      <c r="N96" s="473"/>
      <c r="O96" s="473"/>
      <c r="P96" s="473"/>
      <c r="Q96" s="473"/>
      <c r="R96" s="473"/>
      <c r="S96" s="473"/>
      <c r="T96" s="474"/>
      <c r="U96" s="475"/>
      <c r="V96" s="473"/>
      <c r="W96" s="473"/>
      <c r="X96" s="473"/>
      <c r="Y96" s="473"/>
      <c r="Z96" s="473"/>
      <c r="AA96" s="473"/>
      <c r="AB96" s="473"/>
      <c r="AC96" s="473"/>
      <c r="AD96" s="473"/>
      <c r="AE96" s="473"/>
      <c r="AF96" s="473"/>
      <c r="AG96" s="476"/>
      <c r="AH96" s="477"/>
      <c r="AI96" s="477"/>
      <c r="AJ96" s="477"/>
      <c r="AK96" s="477"/>
      <c r="AL96" s="477"/>
      <c r="AM96" s="477"/>
      <c r="AN96" s="477"/>
      <c r="AO96" s="477"/>
      <c r="AP96" s="477"/>
      <c r="AQ96" s="477"/>
      <c r="AR96" s="478"/>
      <c r="AS96" s="479"/>
      <c r="AT96" s="480"/>
      <c r="AU96" s="480"/>
      <c r="AV96" s="480"/>
      <c r="AW96" s="480"/>
      <c r="AX96" s="480"/>
      <c r="AY96" s="480"/>
      <c r="AZ96" s="480"/>
      <c r="BA96" s="480"/>
      <c r="BB96" s="480"/>
      <c r="BC96" s="480"/>
      <c r="BD96" s="481"/>
      <c r="BE96" s="482">
        <f t="shared" si="7"/>
        <v>0</v>
      </c>
      <c r="BF96" s="482">
        <f>SUM($U96:V96)</f>
        <v>0</v>
      </c>
      <c r="BG96" s="482">
        <f>SUM($U96:W96)</f>
        <v>0</v>
      </c>
      <c r="BH96" s="482">
        <f>SUM($U96:X96)</f>
        <v>0</v>
      </c>
      <c r="BI96" s="482">
        <f>SUM($U96:Y96)</f>
        <v>0</v>
      </c>
      <c r="BJ96" s="482">
        <f>SUM($U96:Z96)</f>
        <v>0</v>
      </c>
      <c r="BK96" s="482">
        <f>SUM($U96:AA96)</f>
        <v>0</v>
      </c>
      <c r="BL96" s="482">
        <f>SUM($U96:AB96)</f>
        <v>0</v>
      </c>
      <c r="BM96" s="482">
        <f>SUM($U96:AC96)</f>
        <v>0</v>
      </c>
      <c r="BN96" s="482">
        <f>SUM($U96:AD96)</f>
        <v>0</v>
      </c>
      <c r="BO96" s="482">
        <f>SUM($U96:AE96)</f>
        <v>0</v>
      </c>
      <c r="BP96" s="483">
        <f>SUM($U96:AF96)</f>
        <v>0</v>
      </c>
      <c r="BQ96" s="484">
        <f t="shared" si="8"/>
        <v>0</v>
      </c>
      <c r="BR96" s="482">
        <f>SUM($AS96:AT96)</f>
        <v>0</v>
      </c>
      <c r="BS96" s="482">
        <f>SUM($AS96:AU96)</f>
        <v>0</v>
      </c>
      <c r="BT96" s="482">
        <f>SUM($AS96:AV96)</f>
        <v>0</v>
      </c>
      <c r="BU96" s="482">
        <f>SUM($AS96:AW96)</f>
        <v>0</v>
      </c>
      <c r="BV96" s="482">
        <f>SUM($AS96:AX96)</f>
        <v>0</v>
      </c>
      <c r="BW96" s="482">
        <f>SUM($AS96:AY96)</f>
        <v>0</v>
      </c>
      <c r="BX96" s="482">
        <f>SUM($AS96:AZ96)</f>
        <v>0</v>
      </c>
      <c r="BY96" s="482">
        <f>SUM($AS96:BA96)</f>
        <v>0</v>
      </c>
      <c r="BZ96" s="482">
        <f>SUM($AS96:BB96)</f>
        <v>0</v>
      </c>
      <c r="CA96" s="482">
        <f>SUM($AS96:BC96)</f>
        <v>0</v>
      </c>
      <c r="CB96" s="483">
        <f>SUM($AS96:BD96)</f>
        <v>0</v>
      </c>
    </row>
    <row r="97" spans="1:80" s="471" customFormat="1" ht="12.75" hidden="1" customHeight="1">
      <c r="A97" s="471">
        <f t="shared" si="9"/>
        <v>88</v>
      </c>
      <c r="B97" s="628"/>
      <c r="C97" s="533"/>
      <c r="D97" s="533"/>
      <c r="E97" s="427"/>
      <c r="F97" s="586"/>
      <c r="G97" s="629"/>
      <c r="H97" s="582">
        <f t="shared" si="4"/>
        <v>90</v>
      </c>
      <c r="I97" s="524"/>
      <c r="J97" s="473"/>
      <c r="K97" s="473"/>
      <c r="L97" s="473"/>
      <c r="M97" s="473"/>
      <c r="N97" s="473"/>
      <c r="O97" s="473"/>
      <c r="P97" s="473"/>
      <c r="Q97" s="473"/>
      <c r="R97" s="473"/>
      <c r="S97" s="473"/>
      <c r="T97" s="474"/>
      <c r="U97" s="475"/>
      <c r="V97" s="473"/>
      <c r="W97" s="473"/>
      <c r="X97" s="473"/>
      <c r="Y97" s="473"/>
      <c r="Z97" s="473"/>
      <c r="AA97" s="473"/>
      <c r="AB97" s="473"/>
      <c r="AC97" s="473"/>
      <c r="AD97" s="473"/>
      <c r="AE97" s="473"/>
      <c r="AF97" s="473"/>
      <c r="AG97" s="476"/>
      <c r="AH97" s="477"/>
      <c r="AI97" s="477"/>
      <c r="AJ97" s="477"/>
      <c r="AK97" s="477"/>
      <c r="AL97" s="477"/>
      <c r="AM97" s="477"/>
      <c r="AN97" s="477"/>
      <c r="AO97" s="477"/>
      <c r="AP97" s="477"/>
      <c r="AQ97" s="477"/>
      <c r="AR97" s="478"/>
      <c r="AS97" s="479"/>
      <c r="AT97" s="480"/>
      <c r="AU97" s="480"/>
      <c r="AV97" s="480"/>
      <c r="AW97" s="480"/>
      <c r="AX97" s="480"/>
      <c r="AY97" s="480"/>
      <c r="AZ97" s="480"/>
      <c r="BA97" s="480"/>
      <c r="BB97" s="480"/>
      <c r="BC97" s="480"/>
      <c r="BD97" s="481"/>
      <c r="BE97" s="482">
        <f t="shared" si="7"/>
        <v>0</v>
      </c>
      <c r="BF97" s="482">
        <f>SUM($U97:V97)</f>
        <v>0</v>
      </c>
      <c r="BG97" s="482">
        <f>SUM($U97:W97)</f>
        <v>0</v>
      </c>
      <c r="BH97" s="482">
        <f>SUM($U97:X97)</f>
        <v>0</v>
      </c>
      <c r="BI97" s="482">
        <f>SUM($U97:Y97)</f>
        <v>0</v>
      </c>
      <c r="BJ97" s="482">
        <f>SUM($U97:Z97)</f>
        <v>0</v>
      </c>
      <c r="BK97" s="482">
        <f>SUM($U97:AA97)</f>
        <v>0</v>
      </c>
      <c r="BL97" s="482">
        <f>SUM($U97:AB97)</f>
        <v>0</v>
      </c>
      <c r="BM97" s="482">
        <f>SUM($U97:AC97)</f>
        <v>0</v>
      </c>
      <c r="BN97" s="482">
        <f>SUM($U97:AD97)</f>
        <v>0</v>
      </c>
      <c r="BO97" s="482">
        <f>SUM($U97:AE97)</f>
        <v>0</v>
      </c>
      <c r="BP97" s="483">
        <f>SUM($U97:AF97)</f>
        <v>0</v>
      </c>
      <c r="BQ97" s="484">
        <f t="shared" si="8"/>
        <v>0</v>
      </c>
      <c r="BR97" s="482">
        <f>SUM($AS97:AT97)</f>
        <v>0</v>
      </c>
      <c r="BS97" s="482">
        <f>SUM($AS97:AU97)</f>
        <v>0</v>
      </c>
      <c r="BT97" s="482">
        <f>SUM($AS97:AV97)</f>
        <v>0</v>
      </c>
      <c r="BU97" s="482">
        <f>SUM($AS97:AW97)</f>
        <v>0</v>
      </c>
      <c r="BV97" s="482">
        <f>SUM($AS97:AX97)</f>
        <v>0</v>
      </c>
      <c r="BW97" s="482">
        <f>SUM($AS97:AY97)</f>
        <v>0</v>
      </c>
      <c r="BX97" s="482">
        <f>SUM($AS97:AZ97)</f>
        <v>0</v>
      </c>
      <c r="BY97" s="482">
        <f>SUM($AS97:BA97)</f>
        <v>0</v>
      </c>
      <c r="BZ97" s="482">
        <f>SUM($AS97:BB97)</f>
        <v>0</v>
      </c>
      <c r="CA97" s="482">
        <f>SUM($AS97:BC97)</f>
        <v>0</v>
      </c>
      <c r="CB97" s="483">
        <f>SUM($AS97:BD97)</f>
        <v>0</v>
      </c>
    </row>
    <row r="98" spans="1:80" s="471" customFormat="1" ht="12.75" hidden="1" customHeight="1">
      <c r="A98" s="471">
        <f t="shared" si="9"/>
        <v>89</v>
      </c>
      <c r="B98" s="628"/>
      <c r="C98" s="533"/>
      <c r="D98" s="533"/>
      <c r="E98" s="427"/>
      <c r="F98" s="586"/>
      <c r="G98" s="629"/>
      <c r="H98" s="582">
        <f t="shared" si="4"/>
        <v>91</v>
      </c>
      <c r="I98" s="524"/>
      <c r="J98" s="473"/>
      <c r="K98" s="473"/>
      <c r="L98" s="473"/>
      <c r="M98" s="473"/>
      <c r="N98" s="473"/>
      <c r="O98" s="473"/>
      <c r="P98" s="473"/>
      <c r="Q98" s="473"/>
      <c r="R98" s="473"/>
      <c r="S98" s="473"/>
      <c r="T98" s="474"/>
      <c r="U98" s="475"/>
      <c r="V98" s="473"/>
      <c r="W98" s="473"/>
      <c r="X98" s="473"/>
      <c r="Y98" s="473"/>
      <c r="Z98" s="473"/>
      <c r="AA98" s="473"/>
      <c r="AB98" s="473"/>
      <c r="AC98" s="473"/>
      <c r="AD98" s="473"/>
      <c r="AE98" s="473"/>
      <c r="AF98" s="473"/>
      <c r="AG98" s="476"/>
      <c r="AH98" s="477"/>
      <c r="AI98" s="477"/>
      <c r="AJ98" s="477"/>
      <c r="AK98" s="477"/>
      <c r="AL98" s="477"/>
      <c r="AM98" s="477"/>
      <c r="AN98" s="477"/>
      <c r="AO98" s="477"/>
      <c r="AP98" s="477"/>
      <c r="AQ98" s="477"/>
      <c r="AR98" s="478"/>
      <c r="AS98" s="479"/>
      <c r="AT98" s="480"/>
      <c r="AU98" s="480"/>
      <c r="AV98" s="480"/>
      <c r="AW98" s="480"/>
      <c r="AX98" s="480"/>
      <c r="AY98" s="480"/>
      <c r="AZ98" s="480"/>
      <c r="BA98" s="480"/>
      <c r="BB98" s="480"/>
      <c r="BC98" s="480"/>
      <c r="BD98" s="481"/>
      <c r="BE98" s="482">
        <f t="shared" si="7"/>
        <v>0</v>
      </c>
      <c r="BF98" s="482">
        <f>SUM($U98:V98)</f>
        <v>0</v>
      </c>
      <c r="BG98" s="482">
        <f>SUM($U98:W98)</f>
        <v>0</v>
      </c>
      <c r="BH98" s="482">
        <f>SUM($U98:X98)</f>
        <v>0</v>
      </c>
      <c r="BI98" s="482">
        <f>SUM($U98:Y98)</f>
        <v>0</v>
      </c>
      <c r="BJ98" s="482">
        <f>SUM($U98:Z98)</f>
        <v>0</v>
      </c>
      <c r="BK98" s="482">
        <f>SUM($U98:AA98)</f>
        <v>0</v>
      </c>
      <c r="BL98" s="482">
        <f>SUM($U98:AB98)</f>
        <v>0</v>
      </c>
      <c r="BM98" s="482">
        <f>SUM($U98:AC98)</f>
        <v>0</v>
      </c>
      <c r="BN98" s="482">
        <f>SUM($U98:AD98)</f>
        <v>0</v>
      </c>
      <c r="BO98" s="482">
        <f>SUM($U98:AE98)</f>
        <v>0</v>
      </c>
      <c r="BP98" s="483">
        <f>SUM($U98:AF98)</f>
        <v>0</v>
      </c>
      <c r="BQ98" s="484">
        <f t="shared" si="8"/>
        <v>0</v>
      </c>
      <c r="BR98" s="482">
        <f>SUM($AS98:AT98)</f>
        <v>0</v>
      </c>
      <c r="BS98" s="482">
        <f>SUM($AS98:AU98)</f>
        <v>0</v>
      </c>
      <c r="BT98" s="482">
        <f>SUM($AS98:AV98)</f>
        <v>0</v>
      </c>
      <c r="BU98" s="482">
        <f>SUM($AS98:AW98)</f>
        <v>0</v>
      </c>
      <c r="BV98" s="482">
        <f>SUM($AS98:AX98)</f>
        <v>0</v>
      </c>
      <c r="BW98" s="482">
        <f>SUM($AS98:AY98)</f>
        <v>0</v>
      </c>
      <c r="BX98" s="482">
        <f>SUM($AS98:AZ98)</f>
        <v>0</v>
      </c>
      <c r="BY98" s="482">
        <f>SUM($AS98:BA98)</f>
        <v>0</v>
      </c>
      <c r="BZ98" s="482">
        <f>SUM($AS98:BB98)</f>
        <v>0</v>
      </c>
      <c r="CA98" s="482">
        <f>SUM($AS98:BC98)</f>
        <v>0</v>
      </c>
      <c r="CB98" s="483">
        <f>SUM($AS98:BD98)</f>
        <v>0</v>
      </c>
    </row>
    <row r="99" spans="1:80" s="471" customFormat="1" ht="12.75" hidden="1" customHeight="1">
      <c r="A99" s="471">
        <f t="shared" si="9"/>
        <v>90</v>
      </c>
      <c r="B99" s="628"/>
      <c r="C99" s="533"/>
      <c r="D99" s="533"/>
      <c r="E99" s="427"/>
      <c r="F99" s="586"/>
      <c r="G99" s="629"/>
      <c r="H99" s="582">
        <f t="shared" si="4"/>
        <v>92</v>
      </c>
      <c r="I99" s="524"/>
      <c r="J99" s="473"/>
      <c r="K99" s="473"/>
      <c r="L99" s="473"/>
      <c r="M99" s="473"/>
      <c r="N99" s="473"/>
      <c r="O99" s="473"/>
      <c r="P99" s="473"/>
      <c r="Q99" s="473"/>
      <c r="R99" s="473"/>
      <c r="S99" s="473"/>
      <c r="T99" s="474"/>
      <c r="U99" s="475"/>
      <c r="V99" s="473"/>
      <c r="W99" s="473"/>
      <c r="X99" s="473"/>
      <c r="Y99" s="473"/>
      <c r="Z99" s="473"/>
      <c r="AA99" s="473"/>
      <c r="AB99" s="473"/>
      <c r="AC99" s="473"/>
      <c r="AD99" s="473"/>
      <c r="AE99" s="473"/>
      <c r="AF99" s="473"/>
      <c r="AG99" s="476"/>
      <c r="AH99" s="477"/>
      <c r="AI99" s="477"/>
      <c r="AJ99" s="477"/>
      <c r="AK99" s="477"/>
      <c r="AL99" s="477"/>
      <c r="AM99" s="477"/>
      <c r="AN99" s="477"/>
      <c r="AO99" s="477"/>
      <c r="AP99" s="477"/>
      <c r="AQ99" s="477"/>
      <c r="AR99" s="478"/>
      <c r="AS99" s="479"/>
      <c r="AT99" s="480"/>
      <c r="AU99" s="480"/>
      <c r="AV99" s="480"/>
      <c r="AW99" s="480"/>
      <c r="AX99" s="480"/>
      <c r="AY99" s="480"/>
      <c r="AZ99" s="480"/>
      <c r="BA99" s="480"/>
      <c r="BB99" s="480"/>
      <c r="BC99" s="480"/>
      <c r="BD99" s="481"/>
      <c r="BE99" s="482">
        <f t="shared" si="7"/>
        <v>0</v>
      </c>
      <c r="BF99" s="482">
        <f>SUM($U99:V99)</f>
        <v>0</v>
      </c>
      <c r="BG99" s="482">
        <f>SUM($U99:W99)</f>
        <v>0</v>
      </c>
      <c r="BH99" s="482">
        <f>SUM($U99:X99)</f>
        <v>0</v>
      </c>
      <c r="BI99" s="482">
        <f>SUM($U99:Y99)</f>
        <v>0</v>
      </c>
      <c r="BJ99" s="482">
        <f>SUM($U99:Z99)</f>
        <v>0</v>
      </c>
      <c r="BK99" s="482">
        <f>SUM($U99:AA99)</f>
        <v>0</v>
      </c>
      <c r="BL99" s="482">
        <f>SUM($U99:AB99)</f>
        <v>0</v>
      </c>
      <c r="BM99" s="482">
        <f>SUM($U99:AC99)</f>
        <v>0</v>
      </c>
      <c r="BN99" s="482">
        <f>SUM($U99:AD99)</f>
        <v>0</v>
      </c>
      <c r="BO99" s="482">
        <f>SUM($U99:AE99)</f>
        <v>0</v>
      </c>
      <c r="BP99" s="483">
        <f>SUM($U99:AF99)</f>
        <v>0</v>
      </c>
      <c r="BQ99" s="484">
        <f t="shared" si="8"/>
        <v>0</v>
      </c>
      <c r="BR99" s="482">
        <f>SUM($AS99:AT99)</f>
        <v>0</v>
      </c>
      <c r="BS99" s="482">
        <f>SUM($AS99:AU99)</f>
        <v>0</v>
      </c>
      <c r="BT99" s="482">
        <f>SUM($AS99:AV99)</f>
        <v>0</v>
      </c>
      <c r="BU99" s="482">
        <f>SUM($AS99:AW99)</f>
        <v>0</v>
      </c>
      <c r="BV99" s="482">
        <f>SUM($AS99:AX99)</f>
        <v>0</v>
      </c>
      <c r="BW99" s="482">
        <f>SUM($AS99:AY99)</f>
        <v>0</v>
      </c>
      <c r="BX99" s="482">
        <f>SUM($AS99:AZ99)</f>
        <v>0</v>
      </c>
      <c r="BY99" s="482">
        <f>SUM($AS99:BA99)</f>
        <v>0</v>
      </c>
      <c r="BZ99" s="482">
        <f>SUM($AS99:BB99)</f>
        <v>0</v>
      </c>
      <c r="CA99" s="482">
        <f>SUM($AS99:BC99)</f>
        <v>0</v>
      </c>
      <c r="CB99" s="483">
        <f>SUM($AS99:BD99)</f>
        <v>0</v>
      </c>
    </row>
    <row r="100" spans="1:80" s="471" customFormat="1" ht="12.75" hidden="1" customHeight="1">
      <c r="A100" s="471">
        <f t="shared" si="9"/>
        <v>91</v>
      </c>
      <c r="B100" s="628"/>
      <c r="C100" s="533"/>
      <c r="D100" s="533"/>
      <c r="E100" s="427"/>
      <c r="F100" s="586"/>
      <c r="G100" s="629"/>
      <c r="H100" s="582">
        <f t="shared" si="4"/>
        <v>93</v>
      </c>
      <c r="I100" s="524"/>
      <c r="J100" s="473"/>
      <c r="K100" s="473"/>
      <c r="L100" s="473"/>
      <c r="M100" s="473"/>
      <c r="N100" s="473"/>
      <c r="O100" s="473"/>
      <c r="P100" s="473"/>
      <c r="Q100" s="473"/>
      <c r="R100" s="473"/>
      <c r="S100" s="473"/>
      <c r="T100" s="474"/>
      <c r="U100" s="475"/>
      <c r="V100" s="473"/>
      <c r="W100" s="473"/>
      <c r="X100" s="473"/>
      <c r="Y100" s="473"/>
      <c r="Z100" s="473"/>
      <c r="AA100" s="473"/>
      <c r="AB100" s="473"/>
      <c r="AC100" s="473"/>
      <c r="AD100" s="473"/>
      <c r="AE100" s="473"/>
      <c r="AF100" s="473"/>
      <c r="AG100" s="476"/>
      <c r="AH100" s="477"/>
      <c r="AI100" s="477"/>
      <c r="AJ100" s="477"/>
      <c r="AK100" s="477"/>
      <c r="AL100" s="477"/>
      <c r="AM100" s="477"/>
      <c r="AN100" s="477"/>
      <c r="AO100" s="477"/>
      <c r="AP100" s="477"/>
      <c r="AQ100" s="477"/>
      <c r="AR100" s="478"/>
      <c r="AS100" s="479"/>
      <c r="AT100" s="480"/>
      <c r="AU100" s="480"/>
      <c r="AV100" s="480"/>
      <c r="AW100" s="480"/>
      <c r="AX100" s="480"/>
      <c r="AY100" s="480"/>
      <c r="AZ100" s="480"/>
      <c r="BA100" s="480"/>
      <c r="BB100" s="480"/>
      <c r="BC100" s="480"/>
      <c r="BD100" s="481"/>
      <c r="BE100" s="482">
        <f t="shared" si="7"/>
        <v>0</v>
      </c>
      <c r="BF100" s="482">
        <f>SUM($U100:V100)</f>
        <v>0</v>
      </c>
      <c r="BG100" s="482">
        <f>SUM($U100:W100)</f>
        <v>0</v>
      </c>
      <c r="BH100" s="482">
        <f>SUM($U100:X100)</f>
        <v>0</v>
      </c>
      <c r="BI100" s="482">
        <f>SUM($U100:Y100)</f>
        <v>0</v>
      </c>
      <c r="BJ100" s="482">
        <f>SUM($U100:Z100)</f>
        <v>0</v>
      </c>
      <c r="BK100" s="482">
        <f>SUM($U100:AA100)</f>
        <v>0</v>
      </c>
      <c r="BL100" s="482">
        <f>SUM($U100:AB100)</f>
        <v>0</v>
      </c>
      <c r="BM100" s="482">
        <f>SUM($U100:AC100)</f>
        <v>0</v>
      </c>
      <c r="BN100" s="482">
        <f>SUM($U100:AD100)</f>
        <v>0</v>
      </c>
      <c r="BO100" s="482">
        <f>SUM($U100:AE100)</f>
        <v>0</v>
      </c>
      <c r="BP100" s="483">
        <f>SUM($U100:AF100)</f>
        <v>0</v>
      </c>
      <c r="BQ100" s="484">
        <f t="shared" si="8"/>
        <v>0</v>
      </c>
      <c r="BR100" s="482">
        <f>SUM($AS100:AT100)</f>
        <v>0</v>
      </c>
      <c r="BS100" s="482">
        <f>SUM($AS100:AU100)</f>
        <v>0</v>
      </c>
      <c r="BT100" s="482">
        <f>SUM($AS100:AV100)</f>
        <v>0</v>
      </c>
      <c r="BU100" s="482">
        <f>SUM($AS100:AW100)</f>
        <v>0</v>
      </c>
      <c r="BV100" s="482">
        <f>SUM($AS100:AX100)</f>
        <v>0</v>
      </c>
      <c r="BW100" s="482">
        <f>SUM($AS100:AY100)</f>
        <v>0</v>
      </c>
      <c r="BX100" s="482">
        <f>SUM($AS100:AZ100)</f>
        <v>0</v>
      </c>
      <c r="BY100" s="482">
        <f>SUM($AS100:BA100)</f>
        <v>0</v>
      </c>
      <c r="BZ100" s="482">
        <f>SUM($AS100:BB100)</f>
        <v>0</v>
      </c>
      <c r="CA100" s="482">
        <f>SUM($AS100:BC100)</f>
        <v>0</v>
      </c>
      <c r="CB100" s="483">
        <f>SUM($AS100:BD100)</f>
        <v>0</v>
      </c>
    </row>
    <row r="101" spans="1:80" s="471" customFormat="1" ht="12.75" hidden="1" customHeight="1">
      <c r="A101" s="471">
        <f t="shared" si="9"/>
        <v>92</v>
      </c>
      <c r="B101" s="628"/>
      <c r="C101" s="533"/>
      <c r="D101" s="533"/>
      <c r="E101" s="427"/>
      <c r="F101" s="586"/>
      <c r="G101" s="629"/>
      <c r="H101" s="582">
        <f t="shared" si="4"/>
        <v>94</v>
      </c>
      <c r="I101" s="524"/>
      <c r="J101" s="473"/>
      <c r="K101" s="473"/>
      <c r="L101" s="473"/>
      <c r="M101" s="473"/>
      <c r="N101" s="473"/>
      <c r="O101" s="473"/>
      <c r="P101" s="473"/>
      <c r="Q101" s="473"/>
      <c r="R101" s="473"/>
      <c r="S101" s="473"/>
      <c r="T101" s="474"/>
      <c r="U101" s="475"/>
      <c r="V101" s="473"/>
      <c r="W101" s="473"/>
      <c r="X101" s="473"/>
      <c r="Y101" s="473"/>
      <c r="Z101" s="473"/>
      <c r="AA101" s="473"/>
      <c r="AB101" s="473"/>
      <c r="AC101" s="473"/>
      <c r="AD101" s="473"/>
      <c r="AE101" s="473"/>
      <c r="AF101" s="473"/>
      <c r="AG101" s="476"/>
      <c r="AH101" s="477"/>
      <c r="AI101" s="477"/>
      <c r="AJ101" s="477"/>
      <c r="AK101" s="477"/>
      <c r="AL101" s="477"/>
      <c r="AM101" s="477"/>
      <c r="AN101" s="477"/>
      <c r="AO101" s="477"/>
      <c r="AP101" s="477"/>
      <c r="AQ101" s="477"/>
      <c r="AR101" s="478"/>
      <c r="AS101" s="479"/>
      <c r="AT101" s="480"/>
      <c r="AU101" s="480"/>
      <c r="AV101" s="480"/>
      <c r="AW101" s="480"/>
      <c r="AX101" s="480"/>
      <c r="AY101" s="480"/>
      <c r="AZ101" s="480"/>
      <c r="BA101" s="480"/>
      <c r="BB101" s="480"/>
      <c r="BC101" s="480"/>
      <c r="BD101" s="481"/>
      <c r="BE101" s="482">
        <f t="shared" si="7"/>
        <v>0</v>
      </c>
      <c r="BF101" s="482">
        <f>SUM($U101:V101)</f>
        <v>0</v>
      </c>
      <c r="BG101" s="482">
        <f>SUM($U101:W101)</f>
        <v>0</v>
      </c>
      <c r="BH101" s="482">
        <f>SUM($U101:X101)</f>
        <v>0</v>
      </c>
      <c r="BI101" s="482">
        <f>SUM($U101:Y101)</f>
        <v>0</v>
      </c>
      <c r="BJ101" s="482">
        <f>SUM($U101:Z101)</f>
        <v>0</v>
      </c>
      <c r="BK101" s="482">
        <f>SUM($U101:AA101)</f>
        <v>0</v>
      </c>
      <c r="BL101" s="482">
        <f>SUM($U101:AB101)</f>
        <v>0</v>
      </c>
      <c r="BM101" s="482">
        <f>SUM($U101:AC101)</f>
        <v>0</v>
      </c>
      <c r="BN101" s="482">
        <f>SUM($U101:AD101)</f>
        <v>0</v>
      </c>
      <c r="BO101" s="482">
        <f>SUM($U101:AE101)</f>
        <v>0</v>
      </c>
      <c r="BP101" s="483">
        <f>SUM($U101:AF101)</f>
        <v>0</v>
      </c>
      <c r="BQ101" s="484">
        <f t="shared" si="8"/>
        <v>0</v>
      </c>
      <c r="BR101" s="482">
        <f>SUM($AS101:AT101)</f>
        <v>0</v>
      </c>
      <c r="BS101" s="482">
        <f>SUM($AS101:AU101)</f>
        <v>0</v>
      </c>
      <c r="BT101" s="482">
        <f>SUM($AS101:AV101)</f>
        <v>0</v>
      </c>
      <c r="BU101" s="482">
        <f>SUM($AS101:AW101)</f>
        <v>0</v>
      </c>
      <c r="BV101" s="482">
        <f>SUM($AS101:AX101)</f>
        <v>0</v>
      </c>
      <c r="BW101" s="482">
        <f>SUM($AS101:AY101)</f>
        <v>0</v>
      </c>
      <c r="BX101" s="482">
        <f>SUM($AS101:AZ101)</f>
        <v>0</v>
      </c>
      <c r="BY101" s="482">
        <f>SUM($AS101:BA101)</f>
        <v>0</v>
      </c>
      <c r="BZ101" s="482">
        <f>SUM($AS101:BB101)</f>
        <v>0</v>
      </c>
      <c r="CA101" s="482">
        <f>SUM($AS101:BC101)</f>
        <v>0</v>
      </c>
      <c r="CB101" s="483">
        <f>SUM($AS101:BD101)</f>
        <v>0</v>
      </c>
    </row>
    <row r="102" spans="1:80" s="471" customFormat="1" ht="12.75" hidden="1" customHeight="1">
      <c r="A102" s="471">
        <f t="shared" si="9"/>
        <v>93</v>
      </c>
      <c r="B102" s="628"/>
      <c r="C102" s="533"/>
      <c r="D102" s="533"/>
      <c r="E102" s="427"/>
      <c r="F102" s="586"/>
      <c r="G102" s="629"/>
      <c r="H102" s="582">
        <f t="shared" ref="H102:H165" si="10">1+H101</f>
        <v>95</v>
      </c>
      <c r="I102" s="524"/>
      <c r="J102" s="473"/>
      <c r="K102" s="473"/>
      <c r="L102" s="473"/>
      <c r="M102" s="473"/>
      <c r="N102" s="473"/>
      <c r="O102" s="473"/>
      <c r="P102" s="473"/>
      <c r="Q102" s="473"/>
      <c r="R102" s="473"/>
      <c r="S102" s="473"/>
      <c r="T102" s="474"/>
      <c r="U102" s="475"/>
      <c r="V102" s="473"/>
      <c r="W102" s="473"/>
      <c r="X102" s="473"/>
      <c r="Y102" s="473"/>
      <c r="Z102" s="473"/>
      <c r="AA102" s="473"/>
      <c r="AB102" s="473"/>
      <c r="AC102" s="473"/>
      <c r="AD102" s="473"/>
      <c r="AE102" s="473"/>
      <c r="AF102" s="473"/>
      <c r="AG102" s="476"/>
      <c r="AH102" s="477"/>
      <c r="AI102" s="477"/>
      <c r="AJ102" s="477"/>
      <c r="AK102" s="477"/>
      <c r="AL102" s="477"/>
      <c r="AM102" s="477"/>
      <c r="AN102" s="477"/>
      <c r="AO102" s="477"/>
      <c r="AP102" s="477"/>
      <c r="AQ102" s="477"/>
      <c r="AR102" s="478"/>
      <c r="AS102" s="479"/>
      <c r="AT102" s="480"/>
      <c r="AU102" s="480"/>
      <c r="AV102" s="480"/>
      <c r="AW102" s="480"/>
      <c r="AX102" s="480"/>
      <c r="AY102" s="480"/>
      <c r="AZ102" s="480"/>
      <c r="BA102" s="480"/>
      <c r="BB102" s="480"/>
      <c r="BC102" s="480"/>
      <c r="BD102" s="481"/>
      <c r="BE102" s="482">
        <f t="shared" si="7"/>
        <v>0</v>
      </c>
      <c r="BF102" s="482">
        <f>SUM($U102:V102)</f>
        <v>0</v>
      </c>
      <c r="BG102" s="482">
        <f>SUM($U102:W102)</f>
        <v>0</v>
      </c>
      <c r="BH102" s="482">
        <f>SUM($U102:X102)</f>
        <v>0</v>
      </c>
      <c r="BI102" s="482">
        <f>SUM($U102:Y102)</f>
        <v>0</v>
      </c>
      <c r="BJ102" s="482">
        <f>SUM($U102:Z102)</f>
        <v>0</v>
      </c>
      <c r="BK102" s="482">
        <f>SUM($U102:AA102)</f>
        <v>0</v>
      </c>
      <c r="BL102" s="482">
        <f>SUM($U102:AB102)</f>
        <v>0</v>
      </c>
      <c r="BM102" s="482">
        <f>SUM($U102:AC102)</f>
        <v>0</v>
      </c>
      <c r="BN102" s="482">
        <f>SUM($U102:AD102)</f>
        <v>0</v>
      </c>
      <c r="BO102" s="482">
        <f>SUM($U102:AE102)</f>
        <v>0</v>
      </c>
      <c r="BP102" s="483">
        <f>SUM($U102:AF102)</f>
        <v>0</v>
      </c>
      <c r="BQ102" s="484">
        <f t="shared" si="8"/>
        <v>0</v>
      </c>
      <c r="BR102" s="482">
        <f>SUM($AS102:AT102)</f>
        <v>0</v>
      </c>
      <c r="BS102" s="482">
        <f>SUM($AS102:AU102)</f>
        <v>0</v>
      </c>
      <c r="BT102" s="482">
        <f>SUM($AS102:AV102)</f>
        <v>0</v>
      </c>
      <c r="BU102" s="482">
        <f>SUM($AS102:AW102)</f>
        <v>0</v>
      </c>
      <c r="BV102" s="482">
        <f>SUM($AS102:AX102)</f>
        <v>0</v>
      </c>
      <c r="BW102" s="482">
        <f>SUM($AS102:AY102)</f>
        <v>0</v>
      </c>
      <c r="BX102" s="482">
        <f>SUM($AS102:AZ102)</f>
        <v>0</v>
      </c>
      <c r="BY102" s="482">
        <f>SUM($AS102:BA102)</f>
        <v>0</v>
      </c>
      <c r="BZ102" s="482">
        <f>SUM($AS102:BB102)</f>
        <v>0</v>
      </c>
      <c r="CA102" s="482">
        <f>SUM($AS102:BC102)</f>
        <v>0</v>
      </c>
      <c r="CB102" s="483">
        <f>SUM($AS102:BD102)</f>
        <v>0</v>
      </c>
    </row>
    <row r="103" spans="1:80" s="471" customFormat="1" ht="12.75" hidden="1" customHeight="1">
      <c r="A103" s="471">
        <f t="shared" si="9"/>
        <v>94</v>
      </c>
      <c r="B103" s="628"/>
      <c r="C103" s="533"/>
      <c r="D103" s="533"/>
      <c r="E103" s="427"/>
      <c r="F103" s="586"/>
      <c r="G103" s="629"/>
      <c r="H103" s="582">
        <f t="shared" si="10"/>
        <v>96</v>
      </c>
      <c r="I103" s="524"/>
      <c r="J103" s="473"/>
      <c r="K103" s="473"/>
      <c r="L103" s="473"/>
      <c r="M103" s="473"/>
      <c r="N103" s="473"/>
      <c r="O103" s="473"/>
      <c r="P103" s="473"/>
      <c r="Q103" s="473"/>
      <c r="R103" s="473"/>
      <c r="S103" s="473"/>
      <c r="T103" s="474"/>
      <c r="U103" s="475"/>
      <c r="V103" s="473"/>
      <c r="W103" s="473"/>
      <c r="X103" s="473"/>
      <c r="Y103" s="473"/>
      <c r="Z103" s="473"/>
      <c r="AA103" s="473"/>
      <c r="AB103" s="473"/>
      <c r="AC103" s="473"/>
      <c r="AD103" s="473"/>
      <c r="AE103" s="473"/>
      <c r="AF103" s="473"/>
      <c r="AG103" s="476"/>
      <c r="AH103" s="477"/>
      <c r="AI103" s="477"/>
      <c r="AJ103" s="477"/>
      <c r="AK103" s="477"/>
      <c r="AL103" s="477"/>
      <c r="AM103" s="477"/>
      <c r="AN103" s="477"/>
      <c r="AO103" s="477"/>
      <c r="AP103" s="477"/>
      <c r="AQ103" s="477"/>
      <c r="AR103" s="478"/>
      <c r="AS103" s="479"/>
      <c r="AT103" s="480"/>
      <c r="AU103" s="480"/>
      <c r="AV103" s="480"/>
      <c r="AW103" s="480"/>
      <c r="AX103" s="480"/>
      <c r="AY103" s="480"/>
      <c r="AZ103" s="480"/>
      <c r="BA103" s="480"/>
      <c r="BB103" s="480"/>
      <c r="BC103" s="480"/>
      <c r="BD103" s="481"/>
      <c r="BE103" s="482">
        <f t="shared" si="7"/>
        <v>0</v>
      </c>
      <c r="BF103" s="482">
        <f>SUM($U103:V103)</f>
        <v>0</v>
      </c>
      <c r="BG103" s="482">
        <f>SUM($U103:W103)</f>
        <v>0</v>
      </c>
      <c r="BH103" s="482">
        <f>SUM($U103:X103)</f>
        <v>0</v>
      </c>
      <c r="BI103" s="482">
        <f>SUM($U103:Y103)</f>
        <v>0</v>
      </c>
      <c r="BJ103" s="482">
        <f>SUM($U103:Z103)</f>
        <v>0</v>
      </c>
      <c r="BK103" s="482">
        <f>SUM($U103:AA103)</f>
        <v>0</v>
      </c>
      <c r="BL103" s="482">
        <f>SUM($U103:AB103)</f>
        <v>0</v>
      </c>
      <c r="BM103" s="482">
        <f>SUM($U103:AC103)</f>
        <v>0</v>
      </c>
      <c r="BN103" s="482">
        <f>SUM($U103:AD103)</f>
        <v>0</v>
      </c>
      <c r="BO103" s="482">
        <f>SUM($U103:AE103)</f>
        <v>0</v>
      </c>
      <c r="BP103" s="483">
        <f>SUM($U103:AF103)</f>
        <v>0</v>
      </c>
      <c r="BQ103" s="484">
        <f t="shared" si="8"/>
        <v>0</v>
      </c>
      <c r="BR103" s="482">
        <f>SUM($AS103:AT103)</f>
        <v>0</v>
      </c>
      <c r="BS103" s="482">
        <f>SUM($AS103:AU103)</f>
        <v>0</v>
      </c>
      <c r="BT103" s="482">
        <f>SUM($AS103:AV103)</f>
        <v>0</v>
      </c>
      <c r="BU103" s="482">
        <f>SUM($AS103:AW103)</f>
        <v>0</v>
      </c>
      <c r="BV103" s="482">
        <f>SUM($AS103:AX103)</f>
        <v>0</v>
      </c>
      <c r="BW103" s="482">
        <f>SUM($AS103:AY103)</f>
        <v>0</v>
      </c>
      <c r="BX103" s="482">
        <f>SUM($AS103:AZ103)</f>
        <v>0</v>
      </c>
      <c r="BY103" s="482">
        <f>SUM($AS103:BA103)</f>
        <v>0</v>
      </c>
      <c r="BZ103" s="482">
        <f>SUM($AS103:BB103)</f>
        <v>0</v>
      </c>
      <c r="CA103" s="482">
        <f>SUM($AS103:BC103)</f>
        <v>0</v>
      </c>
      <c r="CB103" s="483">
        <f>SUM($AS103:BD103)</f>
        <v>0</v>
      </c>
    </row>
    <row r="104" spans="1:80" s="471" customFormat="1" ht="12.75" hidden="1" customHeight="1">
      <c r="A104" s="471">
        <f t="shared" si="9"/>
        <v>95</v>
      </c>
      <c r="B104" s="628"/>
      <c r="C104" s="533"/>
      <c r="D104" s="533"/>
      <c r="E104" s="427"/>
      <c r="F104" s="586"/>
      <c r="G104" s="629"/>
      <c r="H104" s="582">
        <f t="shared" si="10"/>
        <v>97</v>
      </c>
      <c r="I104" s="524"/>
      <c r="J104" s="473"/>
      <c r="K104" s="473"/>
      <c r="L104" s="473"/>
      <c r="M104" s="473"/>
      <c r="N104" s="473"/>
      <c r="O104" s="473"/>
      <c r="P104" s="473"/>
      <c r="Q104" s="473"/>
      <c r="R104" s="473"/>
      <c r="S104" s="473"/>
      <c r="T104" s="474"/>
      <c r="U104" s="475"/>
      <c r="V104" s="473"/>
      <c r="W104" s="473"/>
      <c r="X104" s="473"/>
      <c r="Y104" s="473"/>
      <c r="Z104" s="473"/>
      <c r="AA104" s="473"/>
      <c r="AB104" s="473"/>
      <c r="AC104" s="473"/>
      <c r="AD104" s="473"/>
      <c r="AE104" s="473"/>
      <c r="AF104" s="473"/>
      <c r="AG104" s="476"/>
      <c r="AH104" s="477"/>
      <c r="AI104" s="477"/>
      <c r="AJ104" s="477"/>
      <c r="AK104" s="477"/>
      <c r="AL104" s="477"/>
      <c r="AM104" s="477"/>
      <c r="AN104" s="477"/>
      <c r="AO104" s="477"/>
      <c r="AP104" s="477"/>
      <c r="AQ104" s="477"/>
      <c r="AR104" s="478"/>
      <c r="AS104" s="479"/>
      <c r="AT104" s="480"/>
      <c r="AU104" s="480"/>
      <c r="AV104" s="480"/>
      <c r="AW104" s="480"/>
      <c r="AX104" s="480"/>
      <c r="AY104" s="480"/>
      <c r="AZ104" s="480"/>
      <c r="BA104" s="480"/>
      <c r="BB104" s="480"/>
      <c r="BC104" s="480"/>
      <c r="BD104" s="481"/>
      <c r="BE104" s="482">
        <f t="shared" si="7"/>
        <v>0</v>
      </c>
      <c r="BF104" s="482">
        <f>SUM($U104:V104)</f>
        <v>0</v>
      </c>
      <c r="BG104" s="482">
        <f>SUM($U104:W104)</f>
        <v>0</v>
      </c>
      <c r="BH104" s="482">
        <f>SUM($U104:X104)</f>
        <v>0</v>
      </c>
      <c r="BI104" s="482">
        <f>SUM($U104:Y104)</f>
        <v>0</v>
      </c>
      <c r="BJ104" s="482">
        <f>SUM($U104:Z104)</f>
        <v>0</v>
      </c>
      <c r="BK104" s="482">
        <f>SUM($U104:AA104)</f>
        <v>0</v>
      </c>
      <c r="BL104" s="482">
        <f>SUM($U104:AB104)</f>
        <v>0</v>
      </c>
      <c r="BM104" s="482">
        <f>SUM($U104:AC104)</f>
        <v>0</v>
      </c>
      <c r="BN104" s="482">
        <f>SUM($U104:AD104)</f>
        <v>0</v>
      </c>
      <c r="BO104" s="482">
        <f>SUM($U104:AE104)</f>
        <v>0</v>
      </c>
      <c r="BP104" s="483">
        <f>SUM($U104:AF104)</f>
        <v>0</v>
      </c>
      <c r="BQ104" s="484">
        <f t="shared" si="8"/>
        <v>0</v>
      </c>
      <c r="BR104" s="482">
        <f>SUM($AS104:AT104)</f>
        <v>0</v>
      </c>
      <c r="BS104" s="482">
        <f>SUM($AS104:AU104)</f>
        <v>0</v>
      </c>
      <c r="BT104" s="482">
        <f>SUM($AS104:AV104)</f>
        <v>0</v>
      </c>
      <c r="BU104" s="482">
        <f>SUM($AS104:AW104)</f>
        <v>0</v>
      </c>
      <c r="BV104" s="482">
        <f>SUM($AS104:AX104)</f>
        <v>0</v>
      </c>
      <c r="BW104" s="482">
        <f>SUM($AS104:AY104)</f>
        <v>0</v>
      </c>
      <c r="BX104" s="482">
        <f>SUM($AS104:AZ104)</f>
        <v>0</v>
      </c>
      <c r="BY104" s="482">
        <f>SUM($AS104:BA104)</f>
        <v>0</v>
      </c>
      <c r="BZ104" s="482">
        <f>SUM($AS104:BB104)</f>
        <v>0</v>
      </c>
      <c r="CA104" s="482">
        <f>SUM($AS104:BC104)</f>
        <v>0</v>
      </c>
      <c r="CB104" s="483">
        <f>SUM($AS104:BD104)</f>
        <v>0</v>
      </c>
    </row>
    <row r="105" spans="1:80" s="471" customFormat="1" ht="12.75" hidden="1" customHeight="1">
      <c r="A105" s="471">
        <f t="shared" si="9"/>
        <v>96</v>
      </c>
      <c r="B105" s="628"/>
      <c r="C105" s="533"/>
      <c r="D105" s="533"/>
      <c r="E105" s="427"/>
      <c r="F105" s="586"/>
      <c r="G105" s="629"/>
      <c r="H105" s="582">
        <f t="shared" si="10"/>
        <v>98</v>
      </c>
      <c r="I105" s="524"/>
      <c r="J105" s="473"/>
      <c r="K105" s="473"/>
      <c r="L105" s="473"/>
      <c r="M105" s="473"/>
      <c r="N105" s="473"/>
      <c r="O105" s="473"/>
      <c r="P105" s="473"/>
      <c r="Q105" s="473"/>
      <c r="R105" s="473"/>
      <c r="S105" s="473"/>
      <c r="T105" s="474"/>
      <c r="U105" s="475"/>
      <c r="V105" s="473"/>
      <c r="W105" s="473"/>
      <c r="X105" s="473"/>
      <c r="Y105" s="473"/>
      <c r="Z105" s="473"/>
      <c r="AA105" s="473"/>
      <c r="AB105" s="473"/>
      <c r="AC105" s="473"/>
      <c r="AD105" s="473"/>
      <c r="AE105" s="473"/>
      <c r="AF105" s="473"/>
      <c r="AG105" s="476"/>
      <c r="AH105" s="477"/>
      <c r="AI105" s="477"/>
      <c r="AJ105" s="477"/>
      <c r="AK105" s="477"/>
      <c r="AL105" s="477"/>
      <c r="AM105" s="477"/>
      <c r="AN105" s="477"/>
      <c r="AO105" s="477"/>
      <c r="AP105" s="477"/>
      <c r="AQ105" s="477"/>
      <c r="AR105" s="478"/>
      <c r="AS105" s="479"/>
      <c r="AT105" s="480"/>
      <c r="AU105" s="480"/>
      <c r="AV105" s="480"/>
      <c r="AW105" s="480"/>
      <c r="AX105" s="480"/>
      <c r="AY105" s="480"/>
      <c r="AZ105" s="480"/>
      <c r="BA105" s="480"/>
      <c r="BB105" s="480"/>
      <c r="BC105" s="480"/>
      <c r="BD105" s="481"/>
      <c r="BE105" s="482">
        <f t="shared" si="7"/>
        <v>0</v>
      </c>
      <c r="BF105" s="482">
        <f>SUM($U105:V105)</f>
        <v>0</v>
      </c>
      <c r="BG105" s="482">
        <f>SUM($U105:W105)</f>
        <v>0</v>
      </c>
      <c r="BH105" s="482">
        <f>SUM($U105:X105)</f>
        <v>0</v>
      </c>
      <c r="BI105" s="482">
        <f>SUM($U105:Y105)</f>
        <v>0</v>
      </c>
      <c r="BJ105" s="482">
        <f>SUM($U105:Z105)</f>
        <v>0</v>
      </c>
      <c r="BK105" s="482">
        <f>SUM($U105:AA105)</f>
        <v>0</v>
      </c>
      <c r="BL105" s="482">
        <f>SUM($U105:AB105)</f>
        <v>0</v>
      </c>
      <c r="BM105" s="482">
        <f>SUM($U105:AC105)</f>
        <v>0</v>
      </c>
      <c r="BN105" s="482">
        <f>SUM($U105:AD105)</f>
        <v>0</v>
      </c>
      <c r="BO105" s="482">
        <f>SUM($U105:AE105)</f>
        <v>0</v>
      </c>
      <c r="BP105" s="483">
        <f>SUM($U105:AF105)</f>
        <v>0</v>
      </c>
      <c r="BQ105" s="484">
        <f t="shared" si="8"/>
        <v>0</v>
      </c>
      <c r="BR105" s="482">
        <f>SUM($AS105:AT105)</f>
        <v>0</v>
      </c>
      <c r="BS105" s="482">
        <f>SUM($AS105:AU105)</f>
        <v>0</v>
      </c>
      <c r="BT105" s="482">
        <f>SUM($AS105:AV105)</f>
        <v>0</v>
      </c>
      <c r="BU105" s="482">
        <f>SUM($AS105:AW105)</f>
        <v>0</v>
      </c>
      <c r="BV105" s="482">
        <f>SUM($AS105:AX105)</f>
        <v>0</v>
      </c>
      <c r="BW105" s="482">
        <f>SUM($AS105:AY105)</f>
        <v>0</v>
      </c>
      <c r="BX105" s="482">
        <f>SUM($AS105:AZ105)</f>
        <v>0</v>
      </c>
      <c r="BY105" s="482">
        <f>SUM($AS105:BA105)</f>
        <v>0</v>
      </c>
      <c r="BZ105" s="482">
        <f>SUM($AS105:BB105)</f>
        <v>0</v>
      </c>
      <c r="CA105" s="482">
        <f>SUM($AS105:BC105)</f>
        <v>0</v>
      </c>
      <c r="CB105" s="483">
        <f>SUM($AS105:BD105)</f>
        <v>0</v>
      </c>
    </row>
    <row r="106" spans="1:80" s="471" customFormat="1" ht="12.75" hidden="1" customHeight="1">
      <c r="A106" s="471">
        <f t="shared" si="9"/>
        <v>97</v>
      </c>
      <c r="B106" s="628"/>
      <c r="C106" s="533"/>
      <c r="D106" s="533"/>
      <c r="E106" s="427"/>
      <c r="F106" s="586"/>
      <c r="G106" s="629"/>
      <c r="H106" s="582">
        <f t="shared" si="10"/>
        <v>99</v>
      </c>
      <c r="I106" s="524"/>
      <c r="J106" s="473"/>
      <c r="K106" s="473"/>
      <c r="L106" s="473"/>
      <c r="M106" s="473"/>
      <c r="N106" s="473"/>
      <c r="O106" s="473"/>
      <c r="P106" s="473"/>
      <c r="Q106" s="473"/>
      <c r="R106" s="473"/>
      <c r="S106" s="473"/>
      <c r="T106" s="474"/>
      <c r="U106" s="475"/>
      <c r="V106" s="473"/>
      <c r="W106" s="473"/>
      <c r="X106" s="473"/>
      <c r="Y106" s="473"/>
      <c r="Z106" s="473"/>
      <c r="AA106" s="473"/>
      <c r="AB106" s="473"/>
      <c r="AC106" s="473"/>
      <c r="AD106" s="473"/>
      <c r="AE106" s="473"/>
      <c r="AF106" s="473"/>
      <c r="AG106" s="476"/>
      <c r="AH106" s="477"/>
      <c r="AI106" s="477"/>
      <c r="AJ106" s="477"/>
      <c r="AK106" s="477"/>
      <c r="AL106" s="477"/>
      <c r="AM106" s="477"/>
      <c r="AN106" s="477"/>
      <c r="AO106" s="477"/>
      <c r="AP106" s="477"/>
      <c r="AQ106" s="477"/>
      <c r="AR106" s="478"/>
      <c r="AS106" s="479"/>
      <c r="AT106" s="480"/>
      <c r="AU106" s="480"/>
      <c r="AV106" s="480"/>
      <c r="AW106" s="480"/>
      <c r="AX106" s="480"/>
      <c r="AY106" s="480"/>
      <c r="AZ106" s="480"/>
      <c r="BA106" s="480"/>
      <c r="BB106" s="480"/>
      <c r="BC106" s="480"/>
      <c r="BD106" s="481"/>
      <c r="BE106" s="482">
        <f t="shared" ref="BE106:BE125" si="11">(U106)</f>
        <v>0</v>
      </c>
      <c r="BF106" s="482">
        <f>SUM($U106:V106)</f>
        <v>0</v>
      </c>
      <c r="BG106" s="482">
        <f>SUM($U106:W106)</f>
        <v>0</v>
      </c>
      <c r="BH106" s="482">
        <f>SUM($U106:X106)</f>
        <v>0</v>
      </c>
      <c r="BI106" s="482">
        <f>SUM($U106:Y106)</f>
        <v>0</v>
      </c>
      <c r="BJ106" s="482">
        <f>SUM($U106:Z106)</f>
        <v>0</v>
      </c>
      <c r="BK106" s="482">
        <f>SUM($U106:AA106)</f>
        <v>0</v>
      </c>
      <c r="BL106" s="482">
        <f>SUM($U106:AB106)</f>
        <v>0</v>
      </c>
      <c r="BM106" s="482">
        <f>SUM($U106:AC106)</f>
        <v>0</v>
      </c>
      <c r="BN106" s="482">
        <f>SUM($U106:AD106)</f>
        <v>0</v>
      </c>
      <c r="BO106" s="482">
        <f>SUM($U106:AE106)</f>
        <v>0</v>
      </c>
      <c r="BP106" s="483">
        <f>SUM($U106:AF106)</f>
        <v>0</v>
      </c>
      <c r="BQ106" s="484">
        <f t="shared" ref="BQ106:BQ125" si="12">(AS106)</f>
        <v>0</v>
      </c>
      <c r="BR106" s="482">
        <f>SUM($AS106:AT106)</f>
        <v>0</v>
      </c>
      <c r="BS106" s="482">
        <f>SUM($AS106:AU106)</f>
        <v>0</v>
      </c>
      <c r="BT106" s="482">
        <f>SUM($AS106:AV106)</f>
        <v>0</v>
      </c>
      <c r="BU106" s="482">
        <f>SUM($AS106:AW106)</f>
        <v>0</v>
      </c>
      <c r="BV106" s="482">
        <f>SUM($AS106:AX106)</f>
        <v>0</v>
      </c>
      <c r="BW106" s="482">
        <f>SUM($AS106:AY106)</f>
        <v>0</v>
      </c>
      <c r="BX106" s="482">
        <f>SUM($AS106:AZ106)</f>
        <v>0</v>
      </c>
      <c r="BY106" s="482">
        <f>SUM($AS106:BA106)</f>
        <v>0</v>
      </c>
      <c r="BZ106" s="482">
        <f>SUM($AS106:BB106)</f>
        <v>0</v>
      </c>
      <c r="CA106" s="482">
        <f>SUM($AS106:BC106)</f>
        <v>0</v>
      </c>
      <c r="CB106" s="483">
        <f>SUM($AS106:BD106)</f>
        <v>0</v>
      </c>
    </row>
    <row r="107" spans="1:80" s="471" customFormat="1" ht="12.75" hidden="1" customHeight="1">
      <c r="A107" s="471">
        <f t="shared" si="9"/>
        <v>98</v>
      </c>
      <c r="B107" s="628"/>
      <c r="C107" s="533"/>
      <c r="D107" s="533"/>
      <c r="E107" s="427"/>
      <c r="F107" s="586"/>
      <c r="G107" s="629"/>
      <c r="H107" s="582">
        <f t="shared" si="10"/>
        <v>100</v>
      </c>
      <c r="I107" s="524"/>
      <c r="J107" s="473"/>
      <c r="K107" s="473"/>
      <c r="L107" s="473"/>
      <c r="M107" s="473"/>
      <c r="N107" s="473"/>
      <c r="O107" s="473"/>
      <c r="P107" s="473"/>
      <c r="Q107" s="473"/>
      <c r="R107" s="473"/>
      <c r="S107" s="473"/>
      <c r="T107" s="474"/>
      <c r="U107" s="475"/>
      <c r="V107" s="473"/>
      <c r="W107" s="473"/>
      <c r="X107" s="473"/>
      <c r="Y107" s="473"/>
      <c r="Z107" s="473"/>
      <c r="AA107" s="473"/>
      <c r="AB107" s="473"/>
      <c r="AC107" s="473"/>
      <c r="AD107" s="473"/>
      <c r="AE107" s="473"/>
      <c r="AF107" s="473"/>
      <c r="AG107" s="476"/>
      <c r="AH107" s="477"/>
      <c r="AI107" s="477"/>
      <c r="AJ107" s="477"/>
      <c r="AK107" s="477"/>
      <c r="AL107" s="477"/>
      <c r="AM107" s="477"/>
      <c r="AN107" s="477"/>
      <c r="AO107" s="477"/>
      <c r="AP107" s="477"/>
      <c r="AQ107" s="477"/>
      <c r="AR107" s="478"/>
      <c r="AS107" s="479"/>
      <c r="AT107" s="480"/>
      <c r="AU107" s="480"/>
      <c r="AV107" s="480"/>
      <c r="AW107" s="480"/>
      <c r="AX107" s="480"/>
      <c r="AY107" s="480"/>
      <c r="AZ107" s="480"/>
      <c r="BA107" s="480"/>
      <c r="BB107" s="480"/>
      <c r="BC107" s="480"/>
      <c r="BD107" s="481"/>
      <c r="BE107" s="482">
        <f t="shared" si="11"/>
        <v>0</v>
      </c>
      <c r="BF107" s="482">
        <f>SUM($U107:V107)</f>
        <v>0</v>
      </c>
      <c r="BG107" s="482">
        <f>SUM($U107:W107)</f>
        <v>0</v>
      </c>
      <c r="BH107" s="482">
        <f>SUM($U107:X107)</f>
        <v>0</v>
      </c>
      <c r="BI107" s="482">
        <f>SUM($U107:Y107)</f>
        <v>0</v>
      </c>
      <c r="BJ107" s="482">
        <f>SUM($U107:Z107)</f>
        <v>0</v>
      </c>
      <c r="BK107" s="482">
        <f>SUM($U107:AA107)</f>
        <v>0</v>
      </c>
      <c r="BL107" s="482">
        <f>SUM($U107:AB107)</f>
        <v>0</v>
      </c>
      <c r="BM107" s="482">
        <f>SUM($U107:AC107)</f>
        <v>0</v>
      </c>
      <c r="BN107" s="482">
        <f>SUM($U107:AD107)</f>
        <v>0</v>
      </c>
      <c r="BO107" s="482">
        <f>SUM($U107:AE107)</f>
        <v>0</v>
      </c>
      <c r="BP107" s="483">
        <f>SUM($U107:AF107)</f>
        <v>0</v>
      </c>
      <c r="BQ107" s="484">
        <f t="shared" si="12"/>
        <v>0</v>
      </c>
      <c r="BR107" s="482">
        <f>SUM($AS107:AT107)</f>
        <v>0</v>
      </c>
      <c r="BS107" s="482">
        <f>SUM($AS107:AU107)</f>
        <v>0</v>
      </c>
      <c r="BT107" s="482">
        <f>SUM($AS107:AV107)</f>
        <v>0</v>
      </c>
      <c r="BU107" s="482">
        <f>SUM($AS107:AW107)</f>
        <v>0</v>
      </c>
      <c r="BV107" s="482">
        <f>SUM($AS107:AX107)</f>
        <v>0</v>
      </c>
      <c r="BW107" s="482">
        <f>SUM($AS107:AY107)</f>
        <v>0</v>
      </c>
      <c r="BX107" s="482">
        <f>SUM($AS107:AZ107)</f>
        <v>0</v>
      </c>
      <c r="BY107" s="482">
        <f>SUM($AS107:BA107)</f>
        <v>0</v>
      </c>
      <c r="BZ107" s="482">
        <f>SUM($AS107:BB107)</f>
        <v>0</v>
      </c>
      <c r="CA107" s="482">
        <f>SUM($AS107:BC107)</f>
        <v>0</v>
      </c>
      <c r="CB107" s="483">
        <f>SUM($AS107:BD107)</f>
        <v>0</v>
      </c>
    </row>
    <row r="108" spans="1:80" s="471" customFormat="1" ht="12.75" hidden="1" customHeight="1">
      <c r="A108" s="471">
        <f t="shared" si="9"/>
        <v>99</v>
      </c>
      <c r="B108" s="628"/>
      <c r="C108" s="533"/>
      <c r="D108" s="533"/>
      <c r="E108" s="427"/>
      <c r="F108" s="586"/>
      <c r="G108" s="629"/>
      <c r="H108" s="582">
        <f t="shared" si="10"/>
        <v>101</v>
      </c>
      <c r="I108" s="524"/>
      <c r="J108" s="473"/>
      <c r="K108" s="473"/>
      <c r="L108" s="473"/>
      <c r="M108" s="473"/>
      <c r="N108" s="473"/>
      <c r="O108" s="473"/>
      <c r="P108" s="473"/>
      <c r="Q108" s="473"/>
      <c r="R108" s="473"/>
      <c r="S108" s="473"/>
      <c r="T108" s="474"/>
      <c r="U108" s="475"/>
      <c r="V108" s="473"/>
      <c r="W108" s="473"/>
      <c r="X108" s="473"/>
      <c r="Y108" s="473"/>
      <c r="Z108" s="473"/>
      <c r="AA108" s="473"/>
      <c r="AB108" s="473"/>
      <c r="AC108" s="473"/>
      <c r="AD108" s="473"/>
      <c r="AE108" s="473"/>
      <c r="AF108" s="473"/>
      <c r="AG108" s="476"/>
      <c r="AH108" s="477"/>
      <c r="AI108" s="477"/>
      <c r="AJ108" s="477"/>
      <c r="AK108" s="477"/>
      <c r="AL108" s="477"/>
      <c r="AM108" s="477"/>
      <c r="AN108" s="477"/>
      <c r="AO108" s="477"/>
      <c r="AP108" s="477"/>
      <c r="AQ108" s="477"/>
      <c r="AR108" s="478"/>
      <c r="AS108" s="479"/>
      <c r="AT108" s="480"/>
      <c r="AU108" s="480"/>
      <c r="AV108" s="480"/>
      <c r="AW108" s="480"/>
      <c r="AX108" s="480"/>
      <c r="AY108" s="480"/>
      <c r="AZ108" s="480"/>
      <c r="BA108" s="480"/>
      <c r="BB108" s="480"/>
      <c r="BC108" s="480"/>
      <c r="BD108" s="481"/>
      <c r="BE108" s="482">
        <f t="shared" si="11"/>
        <v>0</v>
      </c>
      <c r="BF108" s="482">
        <f>SUM($U108:V108)</f>
        <v>0</v>
      </c>
      <c r="BG108" s="482">
        <f>SUM($U108:W108)</f>
        <v>0</v>
      </c>
      <c r="BH108" s="482">
        <f>SUM($U108:X108)</f>
        <v>0</v>
      </c>
      <c r="BI108" s="482">
        <f>SUM($U108:Y108)</f>
        <v>0</v>
      </c>
      <c r="BJ108" s="482">
        <f>SUM($U108:Z108)</f>
        <v>0</v>
      </c>
      <c r="BK108" s="482">
        <f>SUM($U108:AA108)</f>
        <v>0</v>
      </c>
      <c r="BL108" s="482">
        <f>SUM($U108:AB108)</f>
        <v>0</v>
      </c>
      <c r="BM108" s="482">
        <f>SUM($U108:AC108)</f>
        <v>0</v>
      </c>
      <c r="BN108" s="482">
        <f>SUM($U108:AD108)</f>
        <v>0</v>
      </c>
      <c r="BO108" s="482">
        <f>SUM($U108:AE108)</f>
        <v>0</v>
      </c>
      <c r="BP108" s="483">
        <f>SUM($U108:AF108)</f>
        <v>0</v>
      </c>
      <c r="BQ108" s="484">
        <f t="shared" si="12"/>
        <v>0</v>
      </c>
      <c r="BR108" s="482">
        <f>SUM($AS108:AT108)</f>
        <v>0</v>
      </c>
      <c r="BS108" s="482">
        <f>SUM($AS108:AU108)</f>
        <v>0</v>
      </c>
      <c r="BT108" s="482">
        <f>SUM($AS108:AV108)</f>
        <v>0</v>
      </c>
      <c r="BU108" s="482">
        <f>SUM($AS108:AW108)</f>
        <v>0</v>
      </c>
      <c r="BV108" s="482">
        <f>SUM($AS108:AX108)</f>
        <v>0</v>
      </c>
      <c r="BW108" s="482">
        <f>SUM($AS108:AY108)</f>
        <v>0</v>
      </c>
      <c r="BX108" s="482">
        <f>SUM($AS108:AZ108)</f>
        <v>0</v>
      </c>
      <c r="BY108" s="482">
        <f>SUM($AS108:BA108)</f>
        <v>0</v>
      </c>
      <c r="BZ108" s="482">
        <f>SUM($AS108:BB108)</f>
        <v>0</v>
      </c>
      <c r="CA108" s="482">
        <f>SUM($AS108:BC108)</f>
        <v>0</v>
      </c>
      <c r="CB108" s="483">
        <f>SUM($AS108:BD108)</f>
        <v>0</v>
      </c>
    </row>
    <row r="109" spans="1:80" s="471" customFormat="1" ht="12.75" hidden="1" customHeight="1">
      <c r="A109" s="471">
        <f t="shared" si="9"/>
        <v>100</v>
      </c>
      <c r="B109" s="628"/>
      <c r="C109" s="533"/>
      <c r="D109" s="533"/>
      <c r="E109" s="427"/>
      <c r="F109" s="586"/>
      <c r="G109" s="629"/>
      <c r="H109" s="582">
        <f t="shared" si="10"/>
        <v>102</v>
      </c>
      <c r="I109" s="524"/>
      <c r="J109" s="473"/>
      <c r="K109" s="473"/>
      <c r="L109" s="473"/>
      <c r="M109" s="473"/>
      <c r="N109" s="473"/>
      <c r="O109" s="473"/>
      <c r="P109" s="473"/>
      <c r="Q109" s="473"/>
      <c r="R109" s="473"/>
      <c r="S109" s="473"/>
      <c r="T109" s="474"/>
      <c r="U109" s="475"/>
      <c r="V109" s="473"/>
      <c r="W109" s="473"/>
      <c r="X109" s="473"/>
      <c r="Y109" s="473"/>
      <c r="Z109" s="473"/>
      <c r="AA109" s="473"/>
      <c r="AB109" s="473"/>
      <c r="AC109" s="473"/>
      <c r="AD109" s="473"/>
      <c r="AE109" s="473"/>
      <c r="AF109" s="473"/>
      <c r="AG109" s="476"/>
      <c r="AH109" s="477"/>
      <c r="AI109" s="477"/>
      <c r="AJ109" s="477"/>
      <c r="AK109" s="477"/>
      <c r="AL109" s="477"/>
      <c r="AM109" s="477"/>
      <c r="AN109" s="477"/>
      <c r="AO109" s="477"/>
      <c r="AP109" s="477"/>
      <c r="AQ109" s="477"/>
      <c r="AR109" s="478"/>
      <c r="AS109" s="479"/>
      <c r="AT109" s="480"/>
      <c r="AU109" s="480"/>
      <c r="AV109" s="480"/>
      <c r="AW109" s="480"/>
      <c r="AX109" s="480"/>
      <c r="AY109" s="480"/>
      <c r="AZ109" s="480"/>
      <c r="BA109" s="480"/>
      <c r="BB109" s="480"/>
      <c r="BC109" s="480"/>
      <c r="BD109" s="481"/>
      <c r="BE109" s="482">
        <f t="shared" si="11"/>
        <v>0</v>
      </c>
      <c r="BF109" s="482">
        <f>SUM($U109:V109)</f>
        <v>0</v>
      </c>
      <c r="BG109" s="482">
        <f>SUM($U109:W109)</f>
        <v>0</v>
      </c>
      <c r="BH109" s="482">
        <f>SUM($U109:X109)</f>
        <v>0</v>
      </c>
      <c r="BI109" s="482">
        <f>SUM($U109:Y109)</f>
        <v>0</v>
      </c>
      <c r="BJ109" s="482">
        <f>SUM($U109:Z109)</f>
        <v>0</v>
      </c>
      <c r="BK109" s="482">
        <f>SUM($U109:AA109)</f>
        <v>0</v>
      </c>
      <c r="BL109" s="482">
        <f>SUM($U109:AB109)</f>
        <v>0</v>
      </c>
      <c r="BM109" s="482">
        <f>SUM($U109:AC109)</f>
        <v>0</v>
      </c>
      <c r="BN109" s="482">
        <f>SUM($U109:AD109)</f>
        <v>0</v>
      </c>
      <c r="BO109" s="482">
        <f>SUM($U109:AE109)</f>
        <v>0</v>
      </c>
      <c r="BP109" s="483">
        <f>SUM($U109:AF109)</f>
        <v>0</v>
      </c>
      <c r="BQ109" s="484">
        <f t="shared" si="12"/>
        <v>0</v>
      </c>
      <c r="BR109" s="482">
        <f>SUM($AS109:AT109)</f>
        <v>0</v>
      </c>
      <c r="BS109" s="482">
        <f>SUM($AS109:AU109)</f>
        <v>0</v>
      </c>
      <c r="BT109" s="482">
        <f>SUM($AS109:AV109)</f>
        <v>0</v>
      </c>
      <c r="BU109" s="482">
        <f>SUM($AS109:AW109)</f>
        <v>0</v>
      </c>
      <c r="BV109" s="482">
        <f>SUM($AS109:AX109)</f>
        <v>0</v>
      </c>
      <c r="BW109" s="482">
        <f>SUM($AS109:AY109)</f>
        <v>0</v>
      </c>
      <c r="BX109" s="482">
        <f>SUM($AS109:AZ109)</f>
        <v>0</v>
      </c>
      <c r="BY109" s="482">
        <f>SUM($AS109:BA109)</f>
        <v>0</v>
      </c>
      <c r="BZ109" s="482">
        <f>SUM($AS109:BB109)</f>
        <v>0</v>
      </c>
      <c r="CA109" s="482">
        <f>SUM($AS109:BC109)</f>
        <v>0</v>
      </c>
      <c r="CB109" s="483">
        <f>SUM($AS109:BD109)</f>
        <v>0</v>
      </c>
    </row>
    <row r="110" spans="1:80" s="471" customFormat="1" ht="12.75" hidden="1" customHeight="1">
      <c r="A110" s="471">
        <f t="shared" si="9"/>
        <v>101</v>
      </c>
      <c r="B110" s="628"/>
      <c r="C110" s="533"/>
      <c r="D110" s="533"/>
      <c r="E110" s="427"/>
      <c r="F110" s="586"/>
      <c r="G110" s="629"/>
      <c r="H110" s="582">
        <f t="shared" si="10"/>
        <v>103</v>
      </c>
      <c r="I110" s="524"/>
      <c r="J110" s="473"/>
      <c r="K110" s="473"/>
      <c r="L110" s="473"/>
      <c r="M110" s="473"/>
      <c r="N110" s="473"/>
      <c r="O110" s="473"/>
      <c r="P110" s="473"/>
      <c r="Q110" s="473"/>
      <c r="R110" s="473"/>
      <c r="S110" s="473"/>
      <c r="T110" s="474"/>
      <c r="U110" s="475"/>
      <c r="V110" s="473"/>
      <c r="W110" s="473"/>
      <c r="X110" s="473"/>
      <c r="Y110" s="473"/>
      <c r="Z110" s="473"/>
      <c r="AA110" s="473"/>
      <c r="AB110" s="473"/>
      <c r="AC110" s="473"/>
      <c r="AD110" s="473"/>
      <c r="AE110" s="473"/>
      <c r="AF110" s="473"/>
      <c r="AG110" s="476"/>
      <c r="AH110" s="477"/>
      <c r="AI110" s="477"/>
      <c r="AJ110" s="477"/>
      <c r="AK110" s="477"/>
      <c r="AL110" s="477"/>
      <c r="AM110" s="477"/>
      <c r="AN110" s="477"/>
      <c r="AO110" s="477"/>
      <c r="AP110" s="477"/>
      <c r="AQ110" s="477"/>
      <c r="AR110" s="478"/>
      <c r="AS110" s="479"/>
      <c r="AT110" s="480"/>
      <c r="AU110" s="480"/>
      <c r="AV110" s="480"/>
      <c r="AW110" s="480"/>
      <c r="AX110" s="480"/>
      <c r="AY110" s="480"/>
      <c r="AZ110" s="480"/>
      <c r="BA110" s="480"/>
      <c r="BB110" s="480"/>
      <c r="BC110" s="480"/>
      <c r="BD110" s="481"/>
      <c r="BE110" s="482">
        <f t="shared" si="11"/>
        <v>0</v>
      </c>
      <c r="BF110" s="482">
        <f>SUM($U110:V110)</f>
        <v>0</v>
      </c>
      <c r="BG110" s="482">
        <f>SUM($U110:W110)</f>
        <v>0</v>
      </c>
      <c r="BH110" s="482">
        <f>SUM($U110:X110)</f>
        <v>0</v>
      </c>
      <c r="BI110" s="482">
        <f>SUM($U110:Y110)</f>
        <v>0</v>
      </c>
      <c r="BJ110" s="482">
        <f>SUM($U110:Z110)</f>
        <v>0</v>
      </c>
      <c r="BK110" s="482">
        <f>SUM($U110:AA110)</f>
        <v>0</v>
      </c>
      <c r="BL110" s="482">
        <f>SUM($U110:AB110)</f>
        <v>0</v>
      </c>
      <c r="BM110" s="482">
        <f>SUM($U110:AC110)</f>
        <v>0</v>
      </c>
      <c r="BN110" s="482">
        <f>SUM($U110:AD110)</f>
        <v>0</v>
      </c>
      <c r="BO110" s="482">
        <f>SUM($U110:AE110)</f>
        <v>0</v>
      </c>
      <c r="BP110" s="483">
        <f>SUM($U110:AF110)</f>
        <v>0</v>
      </c>
      <c r="BQ110" s="484">
        <f t="shared" si="12"/>
        <v>0</v>
      </c>
      <c r="BR110" s="482">
        <f>SUM($AS110:AT110)</f>
        <v>0</v>
      </c>
      <c r="BS110" s="482">
        <f>SUM($AS110:AU110)</f>
        <v>0</v>
      </c>
      <c r="BT110" s="482">
        <f>SUM($AS110:AV110)</f>
        <v>0</v>
      </c>
      <c r="BU110" s="482">
        <f>SUM($AS110:AW110)</f>
        <v>0</v>
      </c>
      <c r="BV110" s="482">
        <f>SUM($AS110:AX110)</f>
        <v>0</v>
      </c>
      <c r="BW110" s="482">
        <f>SUM($AS110:AY110)</f>
        <v>0</v>
      </c>
      <c r="BX110" s="482">
        <f>SUM($AS110:AZ110)</f>
        <v>0</v>
      </c>
      <c r="BY110" s="482">
        <f>SUM($AS110:BA110)</f>
        <v>0</v>
      </c>
      <c r="BZ110" s="482">
        <f>SUM($AS110:BB110)</f>
        <v>0</v>
      </c>
      <c r="CA110" s="482">
        <f>SUM($AS110:BC110)</f>
        <v>0</v>
      </c>
      <c r="CB110" s="483">
        <f>SUM($AS110:BD110)</f>
        <v>0</v>
      </c>
    </row>
    <row r="111" spans="1:80" s="471" customFormat="1" ht="12.75" hidden="1" customHeight="1">
      <c r="A111" s="471">
        <f t="shared" si="9"/>
        <v>102</v>
      </c>
      <c r="B111" s="628"/>
      <c r="C111" s="533"/>
      <c r="D111" s="533"/>
      <c r="E111" s="427"/>
      <c r="F111" s="586"/>
      <c r="G111" s="629"/>
      <c r="H111" s="582">
        <f t="shared" si="10"/>
        <v>104</v>
      </c>
      <c r="I111" s="524"/>
      <c r="J111" s="473"/>
      <c r="K111" s="473"/>
      <c r="L111" s="473"/>
      <c r="M111" s="473"/>
      <c r="N111" s="473"/>
      <c r="O111" s="473"/>
      <c r="P111" s="473"/>
      <c r="Q111" s="473"/>
      <c r="R111" s="473"/>
      <c r="S111" s="473"/>
      <c r="T111" s="474"/>
      <c r="U111" s="475"/>
      <c r="V111" s="473"/>
      <c r="W111" s="473"/>
      <c r="X111" s="473"/>
      <c r="Y111" s="473"/>
      <c r="Z111" s="473"/>
      <c r="AA111" s="473"/>
      <c r="AB111" s="473"/>
      <c r="AC111" s="473"/>
      <c r="AD111" s="473"/>
      <c r="AE111" s="473"/>
      <c r="AF111" s="473"/>
      <c r="AG111" s="476"/>
      <c r="AH111" s="477"/>
      <c r="AI111" s="477"/>
      <c r="AJ111" s="477"/>
      <c r="AK111" s="477"/>
      <c r="AL111" s="477"/>
      <c r="AM111" s="477"/>
      <c r="AN111" s="477"/>
      <c r="AO111" s="477"/>
      <c r="AP111" s="477"/>
      <c r="AQ111" s="477"/>
      <c r="AR111" s="478"/>
      <c r="AS111" s="479"/>
      <c r="AT111" s="480"/>
      <c r="AU111" s="480"/>
      <c r="AV111" s="480"/>
      <c r="AW111" s="480"/>
      <c r="AX111" s="480"/>
      <c r="AY111" s="480"/>
      <c r="AZ111" s="480"/>
      <c r="BA111" s="480"/>
      <c r="BB111" s="480"/>
      <c r="BC111" s="480"/>
      <c r="BD111" s="481"/>
      <c r="BE111" s="482">
        <f t="shared" si="11"/>
        <v>0</v>
      </c>
      <c r="BF111" s="482">
        <f>SUM($U111:V111)</f>
        <v>0</v>
      </c>
      <c r="BG111" s="482">
        <f>SUM($U111:W111)</f>
        <v>0</v>
      </c>
      <c r="BH111" s="482">
        <f>SUM($U111:X111)</f>
        <v>0</v>
      </c>
      <c r="BI111" s="482">
        <f>SUM($U111:Y111)</f>
        <v>0</v>
      </c>
      <c r="BJ111" s="482">
        <f>SUM($U111:Z111)</f>
        <v>0</v>
      </c>
      <c r="BK111" s="482">
        <f>SUM($U111:AA111)</f>
        <v>0</v>
      </c>
      <c r="BL111" s="482">
        <f>SUM($U111:AB111)</f>
        <v>0</v>
      </c>
      <c r="BM111" s="482">
        <f>SUM($U111:AC111)</f>
        <v>0</v>
      </c>
      <c r="BN111" s="482">
        <f>SUM($U111:AD111)</f>
        <v>0</v>
      </c>
      <c r="BO111" s="482">
        <f>SUM($U111:AE111)</f>
        <v>0</v>
      </c>
      <c r="BP111" s="483">
        <f>SUM($U111:AF111)</f>
        <v>0</v>
      </c>
      <c r="BQ111" s="484">
        <f t="shared" si="12"/>
        <v>0</v>
      </c>
      <c r="BR111" s="482">
        <f>SUM($AS111:AT111)</f>
        <v>0</v>
      </c>
      <c r="BS111" s="482">
        <f>SUM($AS111:AU111)</f>
        <v>0</v>
      </c>
      <c r="BT111" s="482">
        <f>SUM($AS111:AV111)</f>
        <v>0</v>
      </c>
      <c r="BU111" s="482">
        <f>SUM($AS111:AW111)</f>
        <v>0</v>
      </c>
      <c r="BV111" s="482">
        <f>SUM($AS111:AX111)</f>
        <v>0</v>
      </c>
      <c r="BW111" s="482">
        <f>SUM($AS111:AY111)</f>
        <v>0</v>
      </c>
      <c r="BX111" s="482">
        <f>SUM($AS111:AZ111)</f>
        <v>0</v>
      </c>
      <c r="BY111" s="482">
        <f>SUM($AS111:BA111)</f>
        <v>0</v>
      </c>
      <c r="BZ111" s="482">
        <f>SUM($AS111:BB111)</f>
        <v>0</v>
      </c>
      <c r="CA111" s="482">
        <f>SUM($AS111:BC111)</f>
        <v>0</v>
      </c>
      <c r="CB111" s="483">
        <f>SUM($AS111:BD111)</f>
        <v>0</v>
      </c>
    </row>
    <row r="112" spans="1:80" s="471" customFormat="1" ht="12.75" hidden="1" customHeight="1">
      <c r="A112" s="471">
        <f t="shared" si="9"/>
        <v>103</v>
      </c>
      <c r="B112" s="628"/>
      <c r="C112" s="533"/>
      <c r="D112" s="533"/>
      <c r="E112" s="427"/>
      <c r="F112" s="586"/>
      <c r="G112" s="629"/>
      <c r="H112" s="582">
        <f t="shared" si="10"/>
        <v>105</v>
      </c>
      <c r="I112" s="524"/>
      <c r="J112" s="473"/>
      <c r="K112" s="473"/>
      <c r="L112" s="473"/>
      <c r="M112" s="473"/>
      <c r="N112" s="473"/>
      <c r="O112" s="473"/>
      <c r="P112" s="473"/>
      <c r="Q112" s="473"/>
      <c r="R112" s="473"/>
      <c r="S112" s="473"/>
      <c r="T112" s="474"/>
      <c r="U112" s="475"/>
      <c r="V112" s="473"/>
      <c r="W112" s="473"/>
      <c r="X112" s="473"/>
      <c r="Y112" s="473"/>
      <c r="Z112" s="473"/>
      <c r="AA112" s="473"/>
      <c r="AB112" s="473"/>
      <c r="AC112" s="473"/>
      <c r="AD112" s="473"/>
      <c r="AE112" s="473"/>
      <c r="AF112" s="473"/>
      <c r="AG112" s="476"/>
      <c r="AH112" s="477"/>
      <c r="AI112" s="477"/>
      <c r="AJ112" s="477"/>
      <c r="AK112" s="477"/>
      <c r="AL112" s="477"/>
      <c r="AM112" s="477"/>
      <c r="AN112" s="477"/>
      <c r="AO112" s="477"/>
      <c r="AP112" s="477"/>
      <c r="AQ112" s="477"/>
      <c r="AR112" s="478"/>
      <c r="AS112" s="479"/>
      <c r="AT112" s="480"/>
      <c r="AU112" s="480"/>
      <c r="AV112" s="480"/>
      <c r="AW112" s="480"/>
      <c r="AX112" s="480"/>
      <c r="AY112" s="480"/>
      <c r="AZ112" s="480"/>
      <c r="BA112" s="480"/>
      <c r="BB112" s="480"/>
      <c r="BC112" s="480"/>
      <c r="BD112" s="481"/>
      <c r="BE112" s="482">
        <f t="shared" si="11"/>
        <v>0</v>
      </c>
      <c r="BF112" s="482">
        <f>SUM($U112:V112)</f>
        <v>0</v>
      </c>
      <c r="BG112" s="482">
        <f>SUM($U112:W112)</f>
        <v>0</v>
      </c>
      <c r="BH112" s="482">
        <f>SUM($U112:X112)</f>
        <v>0</v>
      </c>
      <c r="BI112" s="482">
        <f>SUM($U112:Y112)</f>
        <v>0</v>
      </c>
      <c r="BJ112" s="482">
        <f>SUM($U112:Z112)</f>
        <v>0</v>
      </c>
      <c r="BK112" s="482">
        <f>SUM($U112:AA112)</f>
        <v>0</v>
      </c>
      <c r="BL112" s="482">
        <f>SUM($U112:AB112)</f>
        <v>0</v>
      </c>
      <c r="BM112" s="482">
        <f>SUM($U112:AC112)</f>
        <v>0</v>
      </c>
      <c r="BN112" s="482">
        <f>SUM($U112:AD112)</f>
        <v>0</v>
      </c>
      <c r="BO112" s="482">
        <f>SUM($U112:AE112)</f>
        <v>0</v>
      </c>
      <c r="BP112" s="483">
        <f>SUM($U112:AF112)</f>
        <v>0</v>
      </c>
      <c r="BQ112" s="484">
        <f t="shared" si="12"/>
        <v>0</v>
      </c>
      <c r="BR112" s="482">
        <f>SUM($AS112:AT112)</f>
        <v>0</v>
      </c>
      <c r="BS112" s="482">
        <f>SUM($AS112:AU112)</f>
        <v>0</v>
      </c>
      <c r="BT112" s="482">
        <f>SUM($AS112:AV112)</f>
        <v>0</v>
      </c>
      <c r="BU112" s="482">
        <f>SUM($AS112:AW112)</f>
        <v>0</v>
      </c>
      <c r="BV112" s="482">
        <f>SUM($AS112:AX112)</f>
        <v>0</v>
      </c>
      <c r="BW112" s="482">
        <f>SUM($AS112:AY112)</f>
        <v>0</v>
      </c>
      <c r="BX112" s="482">
        <f>SUM($AS112:AZ112)</f>
        <v>0</v>
      </c>
      <c r="BY112" s="482">
        <f>SUM($AS112:BA112)</f>
        <v>0</v>
      </c>
      <c r="BZ112" s="482">
        <f>SUM($AS112:BB112)</f>
        <v>0</v>
      </c>
      <c r="CA112" s="482">
        <f>SUM($AS112:BC112)</f>
        <v>0</v>
      </c>
      <c r="CB112" s="483">
        <f>SUM($AS112:BD112)</f>
        <v>0</v>
      </c>
    </row>
    <row r="113" spans="1:80" s="471" customFormat="1" ht="12.75" hidden="1" customHeight="1">
      <c r="A113" s="471">
        <f t="shared" si="9"/>
        <v>104</v>
      </c>
      <c r="B113" s="628"/>
      <c r="C113" s="533"/>
      <c r="D113" s="533"/>
      <c r="E113" s="427"/>
      <c r="F113" s="586"/>
      <c r="G113" s="629"/>
      <c r="H113" s="582">
        <f t="shared" si="10"/>
        <v>106</v>
      </c>
      <c r="I113" s="524"/>
      <c r="J113" s="473"/>
      <c r="K113" s="473"/>
      <c r="L113" s="473"/>
      <c r="M113" s="473"/>
      <c r="N113" s="473"/>
      <c r="O113" s="473"/>
      <c r="P113" s="473"/>
      <c r="Q113" s="473"/>
      <c r="R113" s="473"/>
      <c r="S113" s="473"/>
      <c r="T113" s="474"/>
      <c r="U113" s="475"/>
      <c r="V113" s="473"/>
      <c r="W113" s="473"/>
      <c r="X113" s="473"/>
      <c r="Y113" s="473"/>
      <c r="Z113" s="473"/>
      <c r="AA113" s="473"/>
      <c r="AB113" s="473"/>
      <c r="AC113" s="473"/>
      <c r="AD113" s="473"/>
      <c r="AE113" s="473"/>
      <c r="AF113" s="473"/>
      <c r="AG113" s="476"/>
      <c r="AH113" s="477"/>
      <c r="AI113" s="477"/>
      <c r="AJ113" s="477"/>
      <c r="AK113" s="477"/>
      <c r="AL113" s="477"/>
      <c r="AM113" s="477"/>
      <c r="AN113" s="477"/>
      <c r="AO113" s="477"/>
      <c r="AP113" s="477"/>
      <c r="AQ113" s="477"/>
      <c r="AR113" s="478"/>
      <c r="AS113" s="479"/>
      <c r="AT113" s="480"/>
      <c r="AU113" s="480"/>
      <c r="AV113" s="480"/>
      <c r="AW113" s="480"/>
      <c r="AX113" s="480"/>
      <c r="AY113" s="480"/>
      <c r="AZ113" s="480"/>
      <c r="BA113" s="480"/>
      <c r="BB113" s="480"/>
      <c r="BC113" s="480"/>
      <c r="BD113" s="481"/>
      <c r="BE113" s="482">
        <f t="shared" si="11"/>
        <v>0</v>
      </c>
      <c r="BF113" s="482">
        <f>SUM($U113:V113)</f>
        <v>0</v>
      </c>
      <c r="BG113" s="482">
        <f>SUM($U113:W113)</f>
        <v>0</v>
      </c>
      <c r="BH113" s="482">
        <f>SUM($U113:X113)</f>
        <v>0</v>
      </c>
      <c r="BI113" s="482">
        <f>SUM($U113:Y113)</f>
        <v>0</v>
      </c>
      <c r="BJ113" s="482">
        <f>SUM($U113:Z113)</f>
        <v>0</v>
      </c>
      <c r="BK113" s="482">
        <f>SUM($U113:AA113)</f>
        <v>0</v>
      </c>
      <c r="BL113" s="482">
        <f>SUM($U113:AB113)</f>
        <v>0</v>
      </c>
      <c r="BM113" s="482">
        <f>SUM($U113:AC113)</f>
        <v>0</v>
      </c>
      <c r="BN113" s="482">
        <f>SUM($U113:AD113)</f>
        <v>0</v>
      </c>
      <c r="BO113" s="482">
        <f>SUM($U113:AE113)</f>
        <v>0</v>
      </c>
      <c r="BP113" s="483">
        <f>SUM($U113:AF113)</f>
        <v>0</v>
      </c>
      <c r="BQ113" s="484">
        <f t="shared" si="12"/>
        <v>0</v>
      </c>
      <c r="BR113" s="482">
        <f>SUM($AS113:AT113)</f>
        <v>0</v>
      </c>
      <c r="BS113" s="482">
        <f>SUM($AS113:AU113)</f>
        <v>0</v>
      </c>
      <c r="BT113" s="482">
        <f>SUM($AS113:AV113)</f>
        <v>0</v>
      </c>
      <c r="BU113" s="482">
        <f>SUM($AS113:AW113)</f>
        <v>0</v>
      </c>
      <c r="BV113" s="482">
        <f>SUM($AS113:AX113)</f>
        <v>0</v>
      </c>
      <c r="BW113" s="482">
        <f>SUM($AS113:AY113)</f>
        <v>0</v>
      </c>
      <c r="BX113" s="482">
        <f>SUM($AS113:AZ113)</f>
        <v>0</v>
      </c>
      <c r="BY113" s="482">
        <f>SUM($AS113:BA113)</f>
        <v>0</v>
      </c>
      <c r="BZ113" s="482">
        <f>SUM($AS113:BB113)</f>
        <v>0</v>
      </c>
      <c r="CA113" s="482">
        <f>SUM($AS113:BC113)</f>
        <v>0</v>
      </c>
      <c r="CB113" s="483">
        <f>SUM($AS113:BD113)</f>
        <v>0</v>
      </c>
    </row>
    <row r="114" spans="1:80" s="471" customFormat="1" ht="12.75" hidden="1" customHeight="1">
      <c r="A114" s="471">
        <f t="shared" si="9"/>
        <v>105</v>
      </c>
      <c r="B114" s="628"/>
      <c r="C114" s="533"/>
      <c r="D114" s="533"/>
      <c r="E114" s="427"/>
      <c r="F114" s="586"/>
      <c r="G114" s="629"/>
      <c r="H114" s="582">
        <f t="shared" si="10"/>
        <v>107</v>
      </c>
      <c r="I114" s="524"/>
      <c r="J114" s="473"/>
      <c r="K114" s="473"/>
      <c r="L114" s="473"/>
      <c r="M114" s="473"/>
      <c r="N114" s="473"/>
      <c r="O114" s="473"/>
      <c r="P114" s="473"/>
      <c r="Q114" s="473"/>
      <c r="R114" s="473"/>
      <c r="S114" s="473"/>
      <c r="T114" s="474"/>
      <c r="U114" s="475"/>
      <c r="V114" s="473"/>
      <c r="W114" s="473"/>
      <c r="X114" s="473"/>
      <c r="Y114" s="473"/>
      <c r="Z114" s="473"/>
      <c r="AA114" s="473"/>
      <c r="AB114" s="473"/>
      <c r="AC114" s="473"/>
      <c r="AD114" s="473"/>
      <c r="AE114" s="473"/>
      <c r="AF114" s="473"/>
      <c r="AG114" s="476"/>
      <c r="AH114" s="477"/>
      <c r="AI114" s="477"/>
      <c r="AJ114" s="477"/>
      <c r="AK114" s="477"/>
      <c r="AL114" s="477"/>
      <c r="AM114" s="477"/>
      <c r="AN114" s="477"/>
      <c r="AO114" s="477"/>
      <c r="AP114" s="477"/>
      <c r="AQ114" s="477"/>
      <c r="AR114" s="478"/>
      <c r="AS114" s="479"/>
      <c r="AT114" s="480"/>
      <c r="AU114" s="480"/>
      <c r="AV114" s="480"/>
      <c r="AW114" s="480"/>
      <c r="AX114" s="480"/>
      <c r="AY114" s="480"/>
      <c r="AZ114" s="480"/>
      <c r="BA114" s="480"/>
      <c r="BB114" s="480"/>
      <c r="BC114" s="480"/>
      <c r="BD114" s="481"/>
      <c r="BE114" s="482">
        <f t="shared" si="11"/>
        <v>0</v>
      </c>
      <c r="BF114" s="482">
        <f>SUM($U114:V114)</f>
        <v>0</v>
      </c>
      <c r="BG114" s="482">
        <f>SUM($U114:W114)</f>
        <v>0</v>
      </c>
      <c r="BH114" s="482">
        <f>SUM($U114:X114)</f>
        <v>0</v>
      </c>
      <c r="BI114" s="482">
        <f>SUM($U114:Y114)</f>
        <v>0</v>
      </c>
      <c r="BJ114" s="482">
        <f>SUM($U114:Z114)</f>
        <v>0</v>
      </c>
      <c r="BK114" s="482">
        <f>SUM($U114:AA114)</f>
        <v>0</v>
      </c>
      <c r="BL114" s="482">
        <f>SUM($U114:AB114)</f>
        <v>0</v>
      </c>
      <c r="BM114" s="482">
        <f>SUM($U114:AC114)</f>
        <v>0</v>
      </c>
      <c r="BN114" s="482">
        <f>SUM($U114:AD114)</f>
        <v>0</v>
      </c>
      <c r="BO114" s="482">
        <f>SUM($U114:AE114)</f>
        <v>0</v>
      </c>
      <c r="BP114" s="483">
        <f>SUM($U114:AF114)</f>
        <v>0</v>
      </c>
      <c r="BQ114" s="484">
        <f t="shared" si="12"/>
        <v>0</v>
      </c>
      <c r="BR114" s="482">
        <f>SUM($AS114:AT114)</f>
        <v>0</v>
      </c>
      <c r="BS114" s="482">
        <f>SUM($AS114:AU114)</f>
        <v>0</v>
      </c>
      <c r="BT114" s="482">
        <f>SUM($AS114:AV114)</f>
        <v>0</v>
      </c>
      <c r="BU114" s="482">
        <f>SUM($AS114:AW114)</f>
        <v>0</v>
      </c>
      <c r="BV114" s="482">
        <f>SUM($AS114:AX114)</f>
        <v>0</v>
      </c>
      <c r="BW114" s="482">
        <f>SUM($AS114:AY114)</f>
        <v>0</v>
      </c>
      <c r="BX114" s="482">
        <f>SUM($AS114:AZ114)</f>
        <v>0</v>
      </c>
      <c r="BY114" s="482">
        <f>SUM($AS114:BA114)</f>
        <v>0</v>
      </c>
      <c r="BZ114" s="482">
        <f>SUM($AS114:BB114)</f>
        <v>0</v>
      </c>
      <c r="CA114" s="482">
        <f>SUM($AS114:BC114)</f>
        <v>0</v>
      </c>
      <c r="CB114" s="483">
        <f>SUM($AS114:BD114)</f>
        <v>0</v>
      </c>
    </row>
    <row r="115" spans="1:80" s="471" customFormat="1" ht="12.75" hidden="1" customHeight="1">
      <c r="A115" s="471">
        <f t="shared" si="9"/>
        <v>106</v>
      </c>
      <c r="B115" s="628"/>
      <c r="C115" s="533"/>
      <c r="D115" s="533"/>
      <c r="E115" s="427"/>
      <c r="F115" s="586"/>
      <c r="G115" s="629"/>
      <c r="H115" s="582">
        <f t="shared" si="10"/>
        <v>108</v>
      </c>
      <c r="I115" s="524"/>
      <c r="J115" s="473"/>
      <c r="K115" s="473"/>
      <c r="L115" s="473"/>
      <c r="M115" s="473"/>
      <c r="N115" s="473"/>
      <c r="O115" s="473"/>
      <c r="P115" s="473"/>
      <c r="Q115" s="473"/>
      <c r="R115" s="473"/>
      <c r="S115" s="473"/>
      <c r="T115" s="474"/>
      <c r="U115" s="475"/>
      <c r="V115" s="473"/>
      <c r="W115" s="473"/>
      <c r="X115" s="473"/>
      <c r="Y115" s="473"/>
      <c r="Z115" s="473"/>
      <c r="AA115" s="473"/>
      <c r="AB115" s="473"/>
      <c r="AC115" s="473"/>
      <c r="AD115" s="473"/>
      <c r="AE115" s="473"/>
      <c r="AF115" s="473"/>
      <c r="AG115" s="476"/>
      <c r="AH115" s="477"/>
      <c r="AI115" s="477"/>
      <c r="AJ115" s="477"/>
      <c r="AK115" s="477"/>
      <c r="AL115" s="477"/>
      <c r="AM115" s="477"/>
      <c r="AN115" s="477"/>
      <c r="AO115" s="477"/>
      <c r="AP115" s="477"/>
      <c r="AQ115" s="477"/>
      <c r="AR115" s="478"/>
      <c r="AS115" s="479"/>
      <c r="AT115" s="480"/>
      <c r="AU115" s="480"/>
      <c r="AV115" s="480"/>
      <c r="AW115" s="480"/>
      <c r="AX115" s="480"/>
      <c r="AY115" s="480"/>
      <c r="AZ115" s="480"/>
      <c r="BA115" s="480"/>
      <c r="BB115" s="480"/>
      <c r="BC115" s="480"/>
      <c r="BD115" s="481"/>
      <c r="BE115" s="482">
        <f t="shared" si="11"/>
        <v>0</v>
      </c>
      <c r="BF115" s="482">
        <f>SUM($U115:V115)</f>
        <v>0</v>
      </c>
      <c r="BG115" s="482">
        <f>SUM($U115:W115)</f>
        <v>0</v>
      </c>
      <c r="BH115" s="482">
        <f>SUM($U115:X115)</f>
        <v>0</v>
      </c>
      <c r="BI115" s="482">
        <f>SUM($U115:Y115)</f>
        <v>0</v>
      </c>
      <c r="BJ115" s="482">
        <f>SUM($U115:Z115)</f>
        <v>0</v>
      </c>
      <c r="BK115" s="482">
        <f>SUM($U115:AA115)</f>
        <v>0</v>
      </c>
      <c r="BL115" s="482">
        <f>SUM($U115:AB115)</f>
        <v>0</v>
      </c>
      <c r="BM115" s="482">
        <f>SUM($U115:AC115)</f>
        <v>0</v>
      </c>
      <c r="BN115" s="482">
        <f>SUM($U115:AD115)</f>
        <v>0</v>
      </c>
      <c r="BO115" s="482">
        <f>SUM($U115:AE115)</f>
        <v>0</v>
      </c>
      <c r="BP115" s="483">
        <f>SUM($U115:AF115)</f>
        <v>0</v>
      </c>
      <c r="BQ115" s="484">
        <f t="shared" si="12"/>
        <v>0</v>
      </c>
      <c r="BR115" s="482">
        <f>SUM($AS115:AT115)</f>
        <v>0</v>
      </c>
      <c r="BS115" s="482">
        <f>SUM($AS115:AU115)</f>
        <v>0</v>
      </c>
      <c r="BT115" s="482">
        <f>SUM($AS115:AV115)</f>
        <v>0</v>
      </c>
      <c r="BU115" s="482">
        <f>SUM($AS115:AW115)</f>
        <v>0</v>
      </c>
      <c r="BV115" s="482">
        <f>SUM($AS115:AX115)</f>
        <v>0</v>
      </c>
      <c r="BW115" s="482">
        <f>SUM($AS115:AY115)</f>
        <v>0</v>
      </c>
      <c r="BX115" s="482">
        <f>SUM($AS115:AZ115)</f>
        <v>0</v>
      </c>
      <c r="BY115" s="482">
        <f>SUM($AS115:BA115)</f>
        <v>0</v>
      </c>
      <c r="BZ115" s="482">
        <f>SUM($AS115:BB115)</f>
        <v>0</v>
      </c>
      <c r="CA115" s="482">
        <f>SUM($AS115:BC115)</f>
        <v>0</v>
      </c>
      <c r="CB115" s="483">
        <f>SUM($AS115:BD115)</f>
        <v>0</v>
      </c>
    </row>
    <row r="116" spans="1:80" s="471" customFormat="1" ht="12.75" hidden="1" customHeight="1">
      <c r="A116" s="471">
        <f t="shared" si="9"/>
        <v>107</v>
      </c>
      <c r="B116" s="628"/>
      <c r="C116" s="533"/>
      <c r="D116" s="533"/>
      <c r="E116" s="427"/>
      <c r="F116" s="586"/>
      <c r="G116" s="629"/>
      <c r="H116" s="582">
        <f t="shared" si="10"/>
        <v>109</v>
      </c>
      <c r="I116" s="524"/>
      <c r="J116" s="473"/>
      <c r="K116" s="473"/>
      <c r="L116" s="473"/>
      <c r="M116" s="473"/>
      <c r="N116" s="473"/>
      <c r="O116" s="473"/>
      <c r="P116" s="473"/>
      <c r="Q116" s="473"/>
      <c r="R116" s="473"/>
      <c r="S116" s="473"/>
      <c r="T116" s="474"/>
      <c r="U116" s="475"/>
      <c r="V116" s="473"/>
      <c r="W116" s="473"/>
      <c r="X116" s="473"/>
      <c r="Y116" s="473"/>
      <c r="Z116" s="473"/>
      <c r="AA116" s="473"/>
      <c r="AB116" s="473"/>
      <c r="AC116" s="473"/>
      <c r="AD116" s="473"/>
      <c r="AE116" s="473"/>
      <c r="AF116" s="473"/>
      <c r="AG116" s="476"/>
      <c r="AH116" s="477"/>
      <c r="AI116" s="477"/>
      <c r="AJ116" s="477"/>
      <c r="AK116" s="477"/>
      <c r="AL116" s="477"/>
      <c r="AM116" s="477"/>
      <c r="AN116" s="477"/>
      <c r="AO116" s="477"/>
      <c r="AP116" s="477"/>
      <c r="AQ116" s="477"/>
      <c r="AR116" s="478"/>
      <c r="AS116" s="479"/>
      <c r="AT116" s="480"/>
      <c r="AU116" s="480"/>
      <c r="AV116" s="480"/>
      <c r="AW116" s="480"/>
      <c r="AX116" s="480"/>
      <c r="AY116" s="480"/>
      <c r="AZ116" s="480"/>
      <c r="BA116" s="480"/>
      <c r="BB116" s="480"/>
      <c r="BC116" s="480"/>
      <c r="BD116" s="481"/>
      <c r="BE116" s="482">
        <f t="shared" si="11"/>
        <v>0</v>
      </c>
      <c r="BF116" s="482">
        <f>SUM($U116:V116)</f>
        <v>0</v>
      </c>
      <c r="BG116" s="482">
        <f>SUM($U116:W116)</f>
        <v>0</v>
      </c>
      <c r="BH116" s="482">
        <f>SUM($U116:X116)</f>
        <v>0</v>
      </c>
      <c r="BI116" s="482">
        <f>SUM($U116:Y116)</f>
        <v>0</v>
      </c>
      <c r="BJ116" s="482">
        <f>SUM($U116:Z116)</f>
        <v>0</v>
      </c>
      <c r="BK116" s="482">
        <f>SUM($U116:AA116)</f>
        <v>0</v>
      </c>
      <c r="BL116" s="482">
        <f>SUM($U116:AB116)</f>
        <v>0</v>
      </c>
      <c r="BM116" s="482">
        <f>SUM($U116:AC116)</f>
        <v>0</v>
      </c>
      <c r="BN116" s="482">
        <f>SUM($U116:AD116)</f>
        <v>0</v>
      </c>
      <c r="BO116" s="482">
        <f>SUM($U116:AE116)</f>
        <v>0</v>
      </c>
      <c r="BP116" s="483">
        <f>SUM($U116:AF116)</f>
        <v>0</v>
      </c>
      <c r="BQ116" s="484">
        <f t="shared" si="12"/>
        <v>0</v>
      </c>
      <c r="BR116" s="482">
        <f>SUM($AS116:AT116)</f>
        <v>0</v>
      </c>
      <c r="BS116" s="482">
        <f>SUM($AS116:AU116)</f>
        <v>0</v>
      </c>
      <c r="BT116" s="482">
        <f>SUM($AS116:AV116)</f>
        <v>0</v>
      </c>
      <c r="BU116" s="482">
        <f>SUM($AS116:AW116)</f>
        <v>0</v>
      </c>
      <c r="BV116" s="482">
        <f>SUM($AS116:AX116)</f>
        <v>0</v>
      </c>
      <c r="BW116" s="482">
        <f>SUM($AS116:AY116)</f>
        <v>0</v>
      </c>
      <c r="BX116" s="482">
        <f>SUM($AS116:AZ116)</f>
        <v>0</v>
      </c>
      <c r="BY116" s="482">
        <f>SUM($AS116:BA116)</f>
        <v>0</v>
      </c>
      <c r="BZ116" s="482">
        <f>SUM($AS116:BB116)</f>
        <v>0</v>
      </c>
      <c r="CA116" s="482">
        <f>SUM($AS116:BC116)</f>
        <v>0</v>
      </c>
      <c r="CB116" s="483">
        <f>SUM($AS116:BD116)</f>
        <v>0</v>
      </c>
    </row>
    <row r="117" spans="1:80" s="471" customFormat="1" ht="12.75" hidden="1" customHeight="1">
      <c r="A117" s="471">
        <f t="shared" si="9"/>
        <v>108</v>
      </c>
      <c r="B117" s="628"/>
      <c r="C117" s="533"/>
      <c r="D117" s="533"/>
      <c r="E117" s="427"/>
      <c r="F117" s="586"/>
      <c r="G117" s="629"/>
      <c r="H117" s="582">
        <f t="shared" si="10"/>
        <v>110</v>
      </c>
      <c r="I117" s="524"/>
      <c r="J117" s="473"/>
      <c r="K117" s="473"/>
      <c r="L117" s="473"/>
      <c r="M117" s="473"/>
      <c r="N117" s="473"/>
      <c r="O117" s="473"/>
      <c r="P117" s="473"/>
      <c r="Q117" s="473"/>
      <c r="R117" s="473"/>
      <c r="S117" s="473"/>
      <c r="T117" s="474"/>
      <c r="U117" s="475"/>
      <c r="V117" s="473"/>
      <c r="W117" s="473"/>
      <c r="X117" s="473"/>
      <c r="Y117" s="473"/>
      <c r="Z117" s="473"/>
      <c r="AA117" s="473"/>
      <c r="AB117" s="473"/>
      <c r="AC117" s="473"/>
      <c r="AD117" s="473"/>
      <c r="AE117" s="473"/>
      <c r="AF117" s="473"/>
      <c r="AG117" s="476"/>
      <c r="AH117" s="477"/>
      <c r="AI117" s="477"/>
      <c r="AJ117" s="477"/>
      <c r="AK117" s="477"/>
      <c r="AL117" s="477"/>
      <c r="AM117" s="477"/>
      <c r="AN117" s="477"/>
      <c r="AO117" s="477"/>
      <c r="AP117" s="477"/>
      <c r="AQ117" s="477"/>
      <c r="AR117" s="478"/>
      <c r="AS117" s="479"/>
      <c r="AT117" s="480"/>
      <c r="AU117" s="480"/>
      <c r="AV117" s="480"/>
      <c r="AW117" s="480"/>
      <c r="AX117" s="480"/>
      <c r="AY117" s="480"/>
      <c r="AZ117" s="480"/>
      <c r="BA117" s="480"/>
      <c r="BB117" s="480"/>
      <c r="BC117" s="480"/>
      <c r="BD117" s="481"/>
      <c r="BE117" s="482">
        <f t="shared" si="11"/>
        <v>0</v>
      </c>
      <c r="BF117" s="482">
        <f>SUM($U117:V117)</f>
        <v>0</v>
      </c>
      <c r="BG117" s="482">
        <f>SUM($U117:W117)</f>
        <v>0</v>
      </c>
      <c r="BH117" s="482">
        <f>SUM($U117:X117)</f>
        <v>0</v>
      </c>
      <c r="BI117" s="482">
        <f>SUM($U117:Y117)</f>
        <v>0</v>
      </c>
      <c r="BJ117" s="482">
        <f>SUM($U117:Z117)</f>
        <v>0</v>
      </c>
      <c r="BK117" s="482">
        <f>SUM($U117:AA117)</f>
        <v>0</v>
      </c>
      <c r="BL117" s="482">
        <f>SUM($U117:AB117)</f>
        <v>0</v>
      </c>
      <c r="BM117" s="482">
        <f>SUM($U117:AC117)</f>
        <v>0</v>
      </c>
      <c r="BN117" s="482">
        <f>SUM($U117:AD117)</f>
        <v>0</v>
      </c>
      <c r="BO117" s="482">
        <f>SUM($U117:AE117)</f>
        <v>0</v>
      </c>
      <c r="BP117" s="483">
        <f>SUM($U117:AF117)</f>
        <v>0</v>
      </c>
      <c r="BQ117" s="484">
        <f t="shared" si="12"/>
        <v>0</v>
      </c>
      <c r="BR117" s="482">
        <f>SUM($AS117:AT117)</f>
        <v>0</v>
      </c>
      <c r="BS117" s="482">
        <f>SUM($AS117:AU117)</f>
        <v>0</v>
      </c>
      <c r="BT117" s="482">
        <f>SUM($AS117:AV117)</f>
        <v>0</v>
      </c>
      <c r="BU117" s="482">
        <f>SUM($AS117:AW117)</f>
        <v>0</v>
      </c>
      <c r="BV117" s="482">
        <f>SUM($AS117:AX117)</f>
        <v>0</v>
      </c>
      <c r="BW117" s="482">
        <f>SUM($AS117:AY117)</f>
        <v>0</v>
      </c>
      <c r="BX117" s="482">
        <f>SUM($AS117:AZ117)</f>
        <v>0</v>
      </c>
      <c r="BY117" s="482">
        <f>SUM($AS117:BA117)</f>
        <v>0</v>
      </c>
      <c r="BZ117" s="482">
        <f>SUM($AS117:BB117)</f>
        <v>0</v>
      </c>
      <c r="CA117" s="482">
        <f>SUM($AS117:BC117)</f>
        <v>0</v>
      </c>
      <c r="CB117" s="483">
        <f>SUM($AS117:BD117)</f>
        <v>0</v>
      </c>
    </row>
    <row r="118" spans="1:80" s="471" customFormat="1" ht="12.75" hidden="1" customHeight="1">
      <c r="A118" s="471">
        <f t="shared" si="9"/>
        <v>109</v>
      </c>
      <c r="B118" s="628"/>
      <c r="C118" s="533"/>
      <c r="D118" s="533"/>
      <c r="E118" s="427"/>
      <c r="F118" s="586"/>
      <c r="G118" s="629"/>
      <c r="H118" s="582">
        <f t="shared" si="10"/>
        <v>111</v>
      </c>
      <c r="I118" s="524"/>
      <c r="J118" s="473"/>
      <c r="K118" s="473"/>
      <c r="L118" s="473"/>
      <c r="M118" s="473"/>
      <c r="N118" s="473"/>
      <c r="O118" s="473"/>
      <c r="P118" s="473"/>
      <c r="Q118" s="473"/>
      <c r="R118" s="473"/>
      <c r="S118" s="473"/>
      <c r="T118" s="474"/>
      <c r="U118" s="475"/>
      <c r="V118" s="473"/>
      <c r="W118" s="473"/>
      <c r="X118" s="473"/>
      <c r="Y118" s="473"/>
      <c r="Z118" s="473"/>
      <c r="AA118" s="473"/>
      <c r="AB118" s="473"/>
      <c r="AC118" s="473"/>
      <c r="AD118" s="473"/>
      <c r="AE118" s="473"/>
      <c r="AF118" s="473"/>
      <c r="AG118" s="476"/>
      <c r="AH118" s="477"/>
      <c r="AI118" s="477"/>
      <c r="AJ118" s="477"/>
      <c r="AK118" s="477"/>
      <c r="AL118" s="477"/>
      <c r="AM118" s="477"/>
      <c r="AN118" s="477"/>
      <c r="AO118" s="477"/>
      <c r="AP118" s="477"/>
      <c r="AQ118" s="477"/>
      <c r="AR118" s="478"/>
      <c r="AS118" s="479"/>
      <c r="AT118" s="480"/>
      <c r="AU118" s="480"/>
      <c r="AV118" s="480"/>
      <c r="AW118" s="480"/>
      <c r="AX118" s="480"/>
      <c r="AY118" s="480"/>
      <c r="AZ118" s="480"/>
      <c r="BA118" s="480"/>
      <c r="BB118" s="480"/>
      <c r="BC118" s="480"/>
      <c r="BD118" s="481"/>
      <c r="BE118" s="482">
        <f t="shared" si="11"/>
        <v>0</v>
      </c>
      <c r="BF118" s="482">
        <f>SUM($U118:V118)</f>
        <v>0</v>
      </c>
      <c r="BG118" s="482">
        <f>SUM($U118:W118)</f>
        <v>0</v>
      </c>
      <c r="BH118" s="482">
        <f>SUM($U118:X118)</f>
        <v>0</v>
      </c>
      <c r="BI118" s="482">
        <f>SUM($U118:Y118)</f>
        <v>0</v>
      </c>
      <c r="BJ118" s="482">
        <f>SUM($U118:Z118)</f>
        <v>0</v>
      </c>
      <c r="BK118" s="482">
        <f>SUM($U118:AA118)</f>
        <v>0</v>
      </c>
      <c r="BL118" s="482">
        <f>SUM($U118:AB118)</f>
        <v>0</v>
      </c>
      <c r="BM118" s="482">
        <f>SUM($U118:AC118)</f>
        <v>0</v>
      </c>
      <c r="BN118" s="482">
        <f>SUM($U118:AD118)</f>
        <v>0</v>
      </c>
      <c r="BO118" s="482">
        <f>SUM($U118:AE118)</f>
        <v>0</v>
      </c>
      <c r="BP118" s="483">
        <f>SUM($U118:AF118)</f>
        <v>0</v>
      </c>
      <c r="BQ118" s="484">
        <f t="shared" si="12"/>
        <v>0</v>
      </c>
      <c r="BR118" s="482">
        <f>SUM($AS118:AT118)</f>
        <v>0</v>
      </c>
      <c r="BS118" s="482">
        <f>SUM($AS118:AU118)</f>
        <v>0</v>
      </c>
      <c r="BT118" s="482">
        <f>SUM($AS118:AV118)</f>
        <v>0</v>
      </c>
      <c r="BU118" s="482">
        <f>SUM($AS118:AW118)</f>
        <v>0</v>
      </c>
      <c r="BV118" s="482">
        <f>SUM($AS118:AX118)</f>
        <v>0</v>
      </c>
      <c r="BW118" s="482">
        <f>SUM($AS118:AY118)</f>
        <v>0</v>
      </c>
      <c r="BX118" s="482">
        <f>SUM($AS118:AZ118)</f>
        <v>0</v>
      </c>
      <c r="BY118" s="482">
        <f>SUM($AS118:BA118)</f>
        <v>0</v>
      </c>
      <c r="BZ118" s="482">
        <f>SUM($AS118:BB118)</f>
        <v>0</v>
      </c>
      <c r="CA118" s="482">
        <f>SUM($AS118:BC118)</f>
        <v>0</v>
      </c>
      <c r="CB118" s="483">
        <f>SUM($AS118:BD118)</f>
        <v>0</v>
      </c>
    </row>
    <row r="119" spans="1:80" s="471" customFormat="1" ht="12.75" hidden="1" customHeight="1">
      <c r="A119" s="471">
        <f t="shared" si="9"/>
        <v>110</v>
      </c>
      <c r="B119" s="628"/>
      <c r="C119" s="533"/>
      <c r="D119" s="533"/>
      <c r="E119" s="427"/>
      <c r="F119" s="586"/>
      <c r="G119" s="629"/>
      <c r="H119" s="582">
        <f t="shared" si="10"/>
        <v>112</v>
      </c>
      <c r="I119" s="524"/>
      <c r="J119" s="473"/>
      <c r="K119" s="473"/>
      <c r="L119" s="473"/>
      <c r="M119" s="473"/>
      <c r="N119" s="473"/>
      <c r="O119" s="473"/>
      <c r="P119" s="473"/>
      <c r="Q119" s="473"/>
      <c r="R119" s="473"/>
      <c r="S119" s="473"/>
      <c r="T119" s="474"/>
      <c r="U119" s="475"/>
      <c r="V119" s="473"/>
      <c r="W119" s="473"/>
      <c r="X119" s="473"/>
      <c r="Y119" s="473"/>
      <c r="Z119" s="473"/>
      <c r="AA119" s="473"/>
      <c r="AB119" s="473"/>
      <c r="AC119" s="473"/>
      <c r="AD119" s="473"/>
      <c r="AE119" s="473"/>
      <c r="AF119" s="473"/>
      <c r="AG119" s="476"/>
      <c r="AH119" s="477"/>
      <c r="AI119" s="477"/>
      <c r="AJ119" s="477"/>
      <c r="AK119" s="477"/>
      <c r="AL119" s="477"/>
      <c r="AM119" s="477"/>
      <c r="AN119" s="477"/>
      <c r="AO119" s="477"/>
      <c r="AP119" s="477"/>
      <c r="AQ119" s="477"/>
      <c r="AR119" s="478"/>
      <c r="AS119" s="479"/>
      <c r="AT119" s="480"/>
      <c r="AU119" s="480"/>
      <c r="AV119" s="480"/>
      <c r="AW119" s="480"/>
      <c r="AX119" s="480"/>
      <c r="AY119" s="480"/>
      <c r="AZ119" s="480"/>
      <c r="BA119" s="480"/>
      <c r="BB119" s="480"/>
      <c r="BC119" s="480"/>
      <c r="BD119" s="481"/>
      <c r="BE119" s="482">
        <f t="shared" si="11"/>
        <v>0</v>
      </c>
      <c r="BF119" s="482">
        <f>SUM($U119:V119)</f>
        <v>0</v>
      </c>
      <c r="BG119" s="482">
        <f>SUM($U119:W119)</f>
        <v>0</v>
      </c>
      <c r="BH119" s="482">
        <f>SUM($U119:X119)</f>
        <v>0</v>
      </c>
      <c r="BI119" s="482">
        <f>SUM($U119:Y119)</f>
        <v>0</v>
      </c>
      <c r="BJ119" s="482">
        <f>SUM($U119:Z119)</f>
        <v>0</v>
      </c>
      <c r="BK119" s="482">
        <f>SUM($U119:AA119)</f>
        <v>0</v>
      </c>
      <c r="BL119" s="482">
        <f>SUM($U119:AB119)</f>
        <v>0</v>
      </c>
      <c r="BM119" s="482">
        <f>SUM($U119:AC119)</f>
        <v>0</v>
      </c>
      <c r="BN119" s="482">
        <f>SUM($U119:AD119)</f>
        <v>0</v>
      </c>
      <c r="BO119" s="482">
        <f>SUM($U119:AE119)</f>
        <v>0</v>
      </c>
      <c r="BP119" s="483">
        <f>SUM($U119:AF119)</f>
        <v>0</v>
      </c>
      <c r="BQ119" s="484">
        <f t="shared" si="12"/>
        <v>0</v>
      </c>
      <c r="BR119" s="482">
        <f>SUM($AS119:AT119)</f>
        <v>0</v>
      </c>
      <c r="BS119" s="482">
        <f>SUM($AS119:AU119)</f>
        <v>0</v>
      </c>
      <c r="BT119" s="482">
        <f>SUM($AS119:AV119)</f>
        <v>0</v>
      </c>
      <c r="BU119" s="482">
        <f>SUM($AS119:AW119)</f>
        <v>0</v>
      </c>
      <c r="BV119" s="482">
        <f>SUM($AS119:AX119)</f>
        <v>0</v>
      </c>
      <c r="BW119" s="482">
        <f>SUM($AS119:AY119)</f>
        <v>0</v>
      </c>
      <c r="BX119" s="482">
        <f>SUM($AS119:AZ119)</f>
        <v>0</v>
      </c>
      <c r="BY119" s="482">
        <f>SUM($AS119:BA119)</f>
        <v>0</v>
      </c>
      <c r="BZ119" s="482">
        <f>SUM($AS119:BB119)</f>
        <v>0</v>
      </c>
      <c r="CA119" s="482">
        <f>SUM($AS119:BC119)</f>
        <v>0</v>
      </c>
      <c r="CB119" s="483">
        <f>SUM($AS119:BD119)</f>
        <v>0</v>
      </c>
    </row>
    <row r="120" spans="1:80" s="471" customFormat="1" ht="12.75" hidden="1" customHeight="1">
      <c r="A120" s="471">
        <f t="shared" si="9"/>
        <v>111</v>
      </c>
      <c r="B120" s="628"/>
      <c r="C120" s="533"/>
      <c r="D120" s="533"/>
      <c r="E120" s="427"/>
      <c r="F120" s="586"/>
      <c r="G120" s="629"/>
      <c r="H120" s="582">
        <f t="shared" si="10"/>
        <v>113</v>
      </c>
      <c r="I120" s="524"/>
      <c r="J120" s="473"/>
      <c r="K120" s="473"/>
      <c r="L120" s="473"/>
      <c r="M120" s="473"/>
      <c r="N120" s="473"/>
      <c r="O120" s="473"/>
      <c r="P120" s="473"/>
      <c r="Q120" s="473"/>
      <c r="R120" s="473"/>
      <c r="S120" s="473"/>
      <c r="T120" s="474"/>
      <c r="U120" s="475"/>
      <c r="V120" s="473"/>
      <c r="W120" s="473"/>
      <c r="X120" s="473"/>
      <c r="Y120" s="473"/>
      <c r="Z120" s="473"/>
      <c r="AA120" s="473"/>
      <c r="AB120" s="473"/>
      <c r="AC120" s="473"/>
      <c r="AD120" s="473"/>
      <c r="AE120" s="473"/>
      <c r="AF120" s="473"/>
      <c r="AG120" s="476"/>
      <c r="AH120" s="477"/>
      <c r="AI120" s="477"/>
      <c r="AJ120" s="477"/>
      <c r="AK120" s="477"/>
      <c r="AL120" s="477"/>
      <c r="AM120" s="477"/>
      <c r="AN120" s="477"/>
      <c r="AO120" s="477"/>
      <c r="AP120" s="477"/>
      <c r="AQ120" s="477"/>
      <c r="AR120" s="478"/>
      <c r="AS120" s="479"/>
      <c r="AT120" s="480"/>
      <c r="AU120" s="480"/>
      <c r="AV120" s="480"/>
      <c r="AW120" s="480"/>
      <c r="AX120" s="480"/>
      <c r="AY120" s="480"/>
      <c r="AZ120" s="480"/>
      <c r="BA120" s="480"/>
      <c r="BB120" s="480"/>
      <c r="BC120" s="480"/>
      <c r="BD120" s="481"/>
      <c r="BE120" s="482">
        <f t="shared" si="11"/>
        <v>0</v>
      </c>
      <c r="BF120" s="482">
        <f>SUM($U120:V120)</f>
        <v>0</v>
      </c>
      <c r="BG120" s="482">
        <f>SUM($U120:W120)</f>
        <v>0</v>
      </c>
      <c r="BH120" s="482">
        <f>SUM($U120:X120)</f>
        <v>0</v>
      </c>
      <c r="BI120" s="482">
        <f>SUM($U120:Y120)</f>
        <v>0</v>
      </c>
      <c r="BJ120" s="482">
        <f>SUM($U120:Z120)</f>
        <v>0</v>
      </c>
      <c r="BK120" s="482">
        <f>SUM($U120:AA120)</f>
        <v>0</v>
      </c>
      <c r="BL120" s="482">
        <f>SUM($U120:AB120)</f>
        <v>0</v>
      </c>
      <c r="BM120" s="482">
        <f>SUM($U120:AC120)</f>
        <v>0</v>
      </c>
      <c r="BN120" s="482">
        <f>SUM($U120:AD120)</f>
        <v>0</v>
      </c>
      <c r="BO120" s="482">
        <f>SUM($U120:AE120)</f>
        <v>0</v>
      </c>
      <c r="BP120" s="483">
        <f>SUM($U120:AF120)</f>
        <v>0</v>
      </c>
      <c r="BQ120" s="484">
        <f t="shared" si="12"/>
        <v>0</v>
      </c>
      <c r="BR120" s="482">
        <f>SUM($AS120:AT120)</f>
        <v>0</v>
      </c>
      <c r="BS120" s="482">
        <f>SUM($AS120:AU120)</f>
        <v>0</v>
      </c>
      <c r="BT120" s="482">
        <f>SUM($AS120:AV120)</f>
        <v>0</v>
      </c>
      <c r="BU120" s="482">
        <f>SUM($AS120:AW120)</f>
        <v>0</v>
      </c>
      <c r="BV120" s="482">
        <f>SUM($AS120:AX120)</f>
        <v>0</v>
      </c>
      <c r="BW120" s="482">
        <f>SUM($AS120:AY120)</f>
        <v>0</v>
      </c>
      <c r="BX120" s="482">
        <f>SUM($AS120:AZ120)</f>
        <v>0</v>
      </c>
      <c r="BY120" s="482">
        <f>SUM($AS120:BA120)</f>
        <v>0</v>
      </c>
      <c r="BZ120" s="482">
        <f>SUM($AS120:BB120)</f>
        <v>0</v>
      </c>
      <c r="CA120" s="482">
        <f>SUM($AS120:BC120)</f>
        <v>0</v>
      </c>
      <c r="CB120" s="483">
        <f>SUM($AS120:BD120)</f>
        <v>0</v>
      </c>
    </row>
    <row r="121" spans="1:80" s="471" customFormat="1" ht="12.75" hidden="1" customHeight="1">
      <c r="A121" s="471">
        <f t="shared" si="9"/>
        <v>112</v>
      </c>
      <c r="B121" s="628"/>
      <c r="C121" s="533"/>
      <c r="D121" s="533"/>
      <c r="E121" s="427"/>
      <c r="F121" s="586"/>
      <c r="G121" s="629"/>
      <c r="H121" s="582">
        <f t="shared" si="10"/>
        <v>114</v>
      </c>
      <c r="I121" s="524"/>
      <c r="J121" s="473"/>
      <c r="K121" s="473"/>
      <c r="L121" s="473"/>
      <c r="M121" s="473"/>
      <c r="N121" s="473"/>
      <c r="O121" s="473"/>
      <c r="P121" s="473"/>
      <c r="Q121" s="473"/>
      <c r="R121" s="473"/>
      <c r="S121" s="473"/>
      <c r="T121" s="474"/>
      <c r="U121" s="475"/>
      <c r="V121" s="473"/>
      <c r="W121" s="473"/>
      <c r="X121" s="473"/>
      <c r="Y121" s="473"/>
      <c r="Z121" s="473"/>
      <c r="AA121" s="473"/>
      <c r="AB121" s="473"/>
      <c r="AC121" s="473"/>
      <c r="AD121" s="473"/>
      <c r="AE121" s="473"/>
      <c r="AF121" s="473"/>
      <c r="AG121" s="476"/>
      <c r="AH121" s="477"/>
      <c r="AI121" s="477"/>
      <c r="AJ121" s="477"/>
      <c r="AK121" s="477"/>
      <c r="AL121" s="477"/>
      <c r="AM121" s="477"/>
      <c r="AN121" s="477"/>
      <c r="AO121" s="477"/>
      <c r="AP121" s="477"/>
      <c r="AQ121" s="477"/>
      <c r="AR121" s="478"/>
      <c r="AS121" s="479"/>
      <c r="AT121" s="480"/>
      <c r="AU121" s="480"/>
      <c r="AV121" s="480"/>
      <c r="AW121" s="480"/>
      <c r="AX121" s="480"/>
      <c r="AY121" s="480"/>
      <c r="AZ121" s="480"/>
      <c r="BA121" s="480"/>
      <c r="BB121" s="480"/>
      <c r="BC121" s="480"/>
      <c r="BD121" s="481"/>
      <c r="BE121" s="482">
        <f t="shared" si="11"/>
        <v>0</v>
      </c>
      <c r="BF121" s="482">
        <f>SUM($U121:V121)</f>
        <v>0</v>
      </c>
      <c r="BG121" s="482">
        <f>SUM($U121:W121)</f>
        <v>0</v>
      </c>
      <c r="BH121" s="482">
        <f>SUM($U121:X121)</f>
        <v>0</v>
      </c>
      <c r="BI121" s="482">
        <f>SUM($U121:Y121)</f>
        <v>0</v>
      </c>
      <c r="BJ121" s="482">
        <f>SUM($U121:Z121)</f>
        <v>0</v>
      </c>
      <c r="BK121" s="482">
        <f>SUM($U121:AA121)</f>
        <v>0</v>
      </c>
      <c r="BL121" s="482">
        <f>SUM($U121:AB121)</f>
        <v>0</v>
      </c>
      <c r="BM121" s="482">
        <f>SUM($U121:AC121)</f>
        <v>0</v>
      </c>
      <c r="BN121" s="482">
        <f>SUM($U121:AD121)</f>
        <v>0</v>
      </c>
      <c r="BO121" s="482">
        <f>SUM($U121:AE121)</f>
        <v>0</v>
      </c>
      <c r="BP121" s="483">
        <f>SUM($U121:AF121)</f>
        <v>0</v>
      </c>
      <c r="BQ121" s="484">
        <f t="shared" si="12"/>
        <v>0</v>
      </c>
      <c r="BR121" s="482">
        <f>SUM($AS121:AT121)</f>
        <v>0</v>
      </c>
      <c r="BS121" s="482">
        <f>SUM($AS121:AU121)</f>
        <v>0</v>
      </c>
      <c r="BT121" s="482">
        <f>SUM($AS121:AV121)</f>
        <v>0</v>
      </c>
      <c r="BU121" s="482">
        <f>SUM($AS121:AW121)</f>
        <v>0</v>
      </c>
      <c r="BV121" s="482">
        <f>SUM($AS121:AX121)</f>
        <v>0</v>
      </c>
      <c r="BW121" s="482">
        <f>SUM($AS121:AY121)</f>
        <v>0</v>
      </c>
      <c r="BX121" s="482">
        <f>SUM($AS121:AZ121)</f>
        <v>0</v>
      </c>
      <c r="BY121" s="482">
        <f>SUM($AS121:BA121)</f>
        <v>0</v>
      </c>
      <c r="BZ121" s="482">
        <f>SUM($AS121:BB121)</f>
        <v>0</v>
      </c>
      <c r="CA121" s="482">
        <f>SUM($AS121:BC121)</f>
        <v>0</v>
      </c>
      <c r="CB121" s="483">
        <f>SUM($AS121:BD121)</f>
        <v>0</v>
      </c>
    </row>
    <row r="122" spans="1:80" s="471" customFormat="1" ht="12.75" hidden="1" customHeight="1">
      <c r="A122" s="471">
        <f t="shared" si="9"/>
        <v>113</v>
      </c>
      <c r="B122" s="628"/>
      <c r="C122" s="533"/>
      <c r="D122" s="533"/>
      <c r="E122" s="427"/>
      <c r="F122" s="586"/>
      <c r="G122" s="629"/>
      <c r="H122" s="582">
        <f t="shared" si="10"/>
        <v>115</v>
      </c>
      <c r="I122" s="524"/>
      <c r="J122" s="473"/>
      <c r="K122" s="473"/>
      <c r="L122" s="473"/>
      <c r="M122" s="473"/>
      <c r="N122" s="473"/>
      <c r="O122" s="473"/>
      <c r="P122" s="473"/>
      <c r="Q122" s="473"/>
      <c r="R122" s="473"/>
      <c r="S122" s="473"/>
      <c r="T122" s="474"/>
      <c r="U122" s="475"/>
      <c r="V122" s="473"/>
      <c r="W122" s="473"/>
      <c r="X122" s="473"/>
      <c r="Y122" s="473"/>
      <c r="Z122" s="473"/>
      <c r="AA122" s="473"/>
      <c r="AB122" s="473"/>
      <c r="AC122" s="473"/>
      <c r="AD122" s="473"/>
      <c r="AE122" s="473"/>
      <c r="AF122" s="473"/>
      <c r="AG122" s="476"/>
      <c r="AH122" s="477"/>
      <c r="AI122" s="477"/>
      <c r="AJ122" s="477"/>
      <c r="AK122" s="477"/>
      <c r="AL122" s="477"/>
      <c r="AM122" s="477"/>
      <c r="AN122" s="477"/>
      <c r="AO122" s="477"/>
      <c r="AP122" s="477"/>
      <c r="AQ122" s="477"/>
      <c r="AR122" s="478"/>
      <c r="AS122" s="479"/>
      <c r="AT122" s="480"/>
      <c r="AU122" s="480"/>
      <c r="AV122" s="480"/>
      <c r="AW122" s="480"/>
      <c r="AX122" s="480"/>
      <c r="AY122" s="480"/>
      <c r="AZ122" s="480"/>
      <c r="BA122" s="480"/>
      <c r="BB122" s="480"/>
      <c r="BC122" s="480"/>
      <c r="BD122" s="481"/>
      <c r="BE122" s="482">
        <f t="shared" si="11"/>
        <v>0</v>
      </c>
      <c r="BF122" s="482">
        <f>SUM($U122:V122)</f>
        <v>0</v>
      </c>
      <c r="BG122" s="482">
        <f>SUM($U122:W122)</f>
        <v>0</v>
      </c>
      <c r="BH122" s="482">
        <f>SUM($U122:X122)</f>
        <v>0</v>
      </c>
      <c r="BI122" s="482">
        <f>SUM($U122:Y122)</f>
        <v>0</v>
      </c>
      <c r="BJ122" s="482">
        <f>SUM($U122:Z122)</f>
        <v>0</v>
      </c>
      <c r="BK122" s="482">
        <f>SUM($U122:AA122)</f>
        <v>0</v>
      </c>
      <c r="BL122" s="482">
        <f>SUM($U122:AB122)</f>
        <v>0</v>
      </c>
      <c r="BM122" s="482">
        <f>SUM($U122:AC122)</f>
        <v>0</v>
      </c>
      <c r="BN122" s="482">
        <f>SUM($U122:AD122)</f>
        <v>0</v>
      </c>
      <c r="BO122" s="482">
        <f>SUM($U122:AE122)</f>
        <v>0</v>
      </c>
      <c r="BP122" s="483">
        <f>SUM($U122:AF122)</f>
        <v>0</v>
      </c>
      <c r="BQ122" s="484">
        <f t="shared" si="12"/>
        <v>0</v>
      </c>
      <c r="BR122" s="482">
        <f>SUM($AS122:AT122)</f>
        <v>0</v>
      </c>
      <c r="BS122" s="482">
        <f>SUM($AS122:AU122)</f>
        <v>0</v>
      </c>
      <c r="BT122" s="482">
        <f>SUM($AS122:AV122)</f>
        <v>0</v>
      </c>
      <c r="BU122" s="482">
        <f>SUM($AS122:AW122)</f>
        <v>0</v>
      </c>
      <c r="BV122" s="482">
        <f>SUM($AS122:AX122)</f>
        <v>0</v>
      </c>
      <c r="BW122" s="482">
        <f>SUM($AS122:AY122)</f>
        <v>0</v>
      </c>
      <c r="BX122" s="482">
        <f>SUM($AS122:AZ122)</f>
        <v>0</v>
      </c>
      <c r="BY122" s="482">
        <f>SUM($AS122:BA122)</f>
        <v>0</v>
      </c>
      <c r="BZ122" s="482">
        <f>SUM($AS122:BB122)</f>
        <v>0</v>
      </c>
      <c r="CA122" s="482">
        <f>SUM($AS122:BC122)</f>
        <v>0</v>
      </c>
      <c r="CB122" s="483">
        <f>SUM($AS122:BD122)</f>
        <v>0</v>
      </c>
    </row>
    <row r="123" spans="1:80" s="471" customFormat="1" ht="12.75" hidden="1" customHeight="1">
      <c r="A123" s="471">
        <f t="shared" si="9"/>
        <v>114</v>
      </c>
      <c r="B123" s="628"/>
      <c r="C123" s="533"/>
      <c r="D123" s="533"/>
      <c r="E123" s="427"/>
      <c r="F123" s="586"/>
      <c r="G123" s="629"/>
      <c r="H123" s="582">
        <f t="shared" si="10"/>
        <v>116</v>
      </c>
      <c r="I123" s="524"/>
      <c r="J123" s="473"/>
      <c r="K123" s="473"/>
      <c r="L123" s="473"/>
      <c r="M123" s="473"/>
      <c r="N123" s="473"/>
      <c r="O123" s="473"/>
      <c r="P123" s="473"/>
      <c r="Q123" s="473"/>
      <c r="R123" s="473"/>
      <c r="S123" s="473"/>
      <c r="T123" s="474"/>
      <c r="U123" s="475"/>
      <c r="V123" s="473"/>
      <c r="W123" s="473"/>
      <c r="X123" s="473"/>
      <c r="Y123" s="473"/>
      <c r="Z123" s="473"/>
      <c r="AA123" s="473"/>
      <c r="AB123" s="473"/>
      <c r="AC123" s="473"/>
      <c r="AD123" s="473"/>
      <c r="AE123" s="473"/>
      <c r="AF123" s="473"/>
      <c r="AG123" s="476"/>
      <c r="AH123" s="477"/>
      <c r="AI123" s="477"/>
      <c r="AJ123" s="477"/>
      <c r="AK123" s="477"/>
      <c r="AL123" s="477"/>
      <c r="AM123" s="477"/>
      <c r="AN123" s="477"/>
      <c r="AO123" s="477"/>
      <c r="AP123" s="477"/>
      <c r="AQ123" s="477"/>
      <c r="AR123" s="478"/>
      <c r="AS123" s="479"/>
      <c r="AT123" s="480"/>
      <c r="AU123" s="480"/>
      <c r="AV123" s="480"/>
      <c r="AW123" s="480"/>
      <c r="AX123" s="480"/>
      <c r="AY123" s="480"/>
      <c r="AZ123" s="480"/>
      <c r="BA123" s="480"/>
      <c r="BB123" s="480"/>
      <c r="BC123" s="480"/>
      <c r="BD123" s="481"/>
      <c r="BE123" s="482">
        <f t="shared" si="11"/>
        <v>0</v>
      </c>
      <c r="BF123" s="482">
        <f>SUM($U123:V123)</f>
        <v>0</v>
      </c>
      <c r="BG123" s="482">
        <f>SUM($U123:W123)</f>
        <v>0</v>
      </c>
      <c r="BH123" s="482">
        <f>SUM($U123:X123)</f>
        <v>0</v>
      </c>
      <c r="BI123" s="482">
        <f>SUM($U123:Y123)</f>
        <v>0</v>
      </c>
      <c r="BJ123" s="482">
        <f>SUM($U123:Z123)</f>
        <v>0</v>
      </c>
      <c r="BK123" s="482">
        <f>SUM($U123:AA123)</f>
        <v>0</v>
      </c>
      <c r="BL123" s="482">
        <f>SUM($U123:AB123)</f>
        <v>0</v>
      </c>
      <c r="BM123" s="482">
        <f>SUM($U123:AC123)</f>
        <v>0</v>
      </c>
      <c r="BN123" s="482">
        <f>SUM($U123:AD123)</f>
        <v>0</v>
      </c>
      <c r="BO123" s="482">
        <f>SUM($U123:AE123)</f>
        <v>0</v>
      </c>
      <c r="BP123" s="483">
        <f>SUM($U123:AF123)</f>
        <v>0</v>
      </c>
      <c r="BQ123" s="484">
        <f t="shared" si="12"/>
        <v>0</v>
      </c>
      <c r="BR123" s="482">
        <f>SUM($AS123:AT123)</f>
        <v>0</v>
      </c>
      <c r="BS123" s="482">
        <f>SUM($AS123:AU123)</f>
        <v>0</v>
      </c>
      <c r="BT123" s="482">
        <f>SUM($AS123:AV123)</f>
        <v>0</v>
      </c>
      <c r="BU123" s="482">
        <f>SUM($AS123:AW123)</f>
        <v>0</v>
      </c>
      <c r="BV123" s="482">
        <f>SUM($AS123:AX123)</f>
        <v>0</v>
      </c>
      <c r="BW123" s="482">
        <f>SUM($AS123:AY123)</f>
        <v>0</v>
      </c>
      <c r="BX123" s="482">
        <f>SUM($AS123:AZ123)</f>
        <v>0</v>
      </c>
      <c r="BY123" s="482">
        <f>SUM($AS123:BA123)</f>
        <v>0</v>
      </c>
      <c r="BZ123" s="482">
        <f>SUM($AS123:BB123)</f>
        <v>0</v>
      </c>
      <c r="CA123" s="482">
        <f>SUM($AS123:BC123)</f>
        <v>0</v>
      </c>
      <c r="CB123" s="483">
        <f>SUM($AS123:BD123)</f>
        <v>0</v>
      </c>
    </row>
    <row r="124" spans="1:80" s="471" customFormat="1" ht="12.75" hidden="1" customHeight="1">
      <c r="A124" s="471">
        <f t="shared" si="9"/>
        <v>115</v>
      </c>
      <c r="B124" s="628"/>
      <c r="C124" s="533"/>
      <c r="D124" s="533"/>
      <c r="E124" s="427"/>
      <c r="F124" s="586"/>
      <c r="G124" s="629"/>
      <c r="H124" s="582">
        <f t="shared" si="10"/>
        <v>117</v>
      </c>
      <c r="I124" s="524"/>
      <c r="J124" s="473"/>
      <c r="K124" s="473"/>
      <c r="L124" s="473"/>
      <c r="M124" s="473"/>
      <c r="N124" s="473"/>
      <c r="O124" s="473"/>
      <c r="P124" s="473"/>
      <c r="Q124" s="473"/>
      <c r="R124" s="473"/>
      <c r="S124" s="473"/>
      <c r="T124" s="474"/>
      <c r="U124" s="475"/>
      <c r="V124" s="473"/>
      <c r="W124" s="473"/>
      <c r="X124" s="473"/>
      <c r="Y124" s="473"/>
      <c r="Z124" s="473"/>
      <c r="AA124" s="473"/>
      <c r="AB124" s="473"/>
      <c r="AC124" s="473"/>
      <c r="AD124" s="473"/>
      <c r="AE124" s="473"/>
      <c r="AF124" s="473"/>
      <c r="AG124" s="476"/>
      <c r="AH124" s="477"/>
      <c r="AI124" s="477"/>
      <c r="AJ124" s="477"/>
      <c r="AK124" s="477"/>
      <c r="AL124" s="477"/>
      <c r="AM124" s="477"/>
      <c r="AN124" s="477"/>
      <c r="AO124" s="477"/>
      <c r="AP124" s="477"/>
      <c r="AQ124" s="477"/>
      <c r="AR124" s="478"/>
      <c r="AS124" s="479"/>
      <c r="AT124" s="480"/>
      <c r="AU124" s="480"/>
      <c r="AV124" s="480"/>
      <c r="AW124" s="480"/>
      <c r="AX124" s="480"/>
      <c r="AY124" s="480"/>
      <c r="AZ124" s="480"/>
      <c r="BA124" s="480"/>
      <c r="BB124" s="480"/>
      <c r="BC124" s="480"/>
      <c r="BD124" s="481"/>
      <c r="BE124" s="482">
        <f t="shared" si="11"/>
        <v>0</v>
      </c>
      <c r="BF124" s="482">
        <f>SUM($U124:V124)</f>
        <v>0</v>
      </c>
      <c r="BG124" s="482">
        <f>SUM($U124:W124)</f>
        <v>0</v>
      </c>
      <c r="BH124" s="482">
        <f>SUM($U124:X124)</f>
        <v>0</v>
      </c>
      <c r="BI124" s="482">
        <f>SUM($U124:Y124)</f>
        <v>0</v>
      </c>
      <c r="BJ124" s="482">
        <f>SUM($U124:Z124)</f>
        <v>0</v>
      </c>
      <c r="BK124" s="482">
        <f>SUM($U124:AA124)</f>
        <v>0</v>
      </c>
      <c r="BL124" s="482">
        <f>SUM($U124:AB124)</f>
        <v>0</v>
      </c>
      <c r="BM124" s="482">
        <f>SUM($U124:AC124)</f>
        <v>0</v>
      </c>
      <c r="BN124" s="482">
        <f>SUM($U124:AD124)</f>
        <v>0</v>
      </c>
      <c r="BO124" s="482">
        <f>SUM($U124:AE124)</f>
        <v>0</v>
      </c>
      <c r="BP124" s="483">
        <f>SUM($U124:AF124)</f>
        <v>0</v>
      </c>
      <c r="BQ124" s="484">
        <f t="shared" si="12"/>
        <v>0</v>
      </c>
      <c r="BR124" s="482">
        <f>SUM($AS124:AT124)</f>
        <v>0</v>
      </c>
      <c r="BS124" s="482">
        <f>SUM($AS124:AU124)</f>
        <v>0</v>
      </c>
      <c r="BT124" s="482">
        <f>SUM($AS124:AV124)</f>
        <v>0</v>
      </c>
      <c r="BU124" s="482">
        <f>SUM($AS124:AW124)</f>
        <v>0</v>
      </c>
      <c r="BV124" s="482">
        <f>SUM($AS124:AX124)</f>
        <v>0</v>
      </c>
      <c r="BW124" s="482">
        <f>SUM($AS124:AY124)</f>
        <v>0</v>
      </c>
      <c r="BX124" s="482">
        <f>SUM($AS124:AZ124)</f>
        <v>0</v>
      </c>
      <c r="BY124" s="482">
        <f>SUM($AS124:BA124)</f>
        <v>0</v>
      </c>
      <c r="BZ124" s="482">
        <f>SUM($AS124:BB124)</f>
        <v>0</v>
      </c>
      <c r="CA124" s="482">
        <f>SUM($AS124:BC124)</f>
        <v>0</v>
      </c>
      <c r="CB124" s="483">
        <f>SUM($AS124:BD124)</f>
        <v>0</v>
      </c>
    </row>
    <row r="125" spans="1:80" s="471" customFormat="1" ht="12.75" hidden="1" customHeight="1">
      <c r="A125" s="471">
        <f t="shared" si="9"/>
        <v>116</v>
      </c>
      <c r="B125" s="628"/>
      <c r="C125" s="533"/>
      <c r="D125" s="533"/>
      <c r="E125" s="427"/>
      <c r="F125" s="586"/>
      <c r="G125" s="629"/>
      <c r="H125" s="582">
        <f t="shared" si="10"/>
        <v>118</v>
      </c>
      <c r="I125" s="524"/>
      <c r="J125" s="473"/>
      <c r="K125" s="473"/>
      <c r="L125" s="473"/>
      <c r="M125" s="473"/>
      <c r="N125" s="473"/>
      <c r="O125" s="473"/>
      <c r="P125" s="473"/>
      <c r="Q125" s="473"/>
      <c r="R125" s="473"/>
      <c r="S125" s="473"/>
      <c r="T125" s="474"/>
      <c r="U125" s="475"/>
      <c r="V125" s="473"/>
      <c r="W125" s="473"/>
      <c r="X125" s="473"/>
      <c r="Y125" s="473"/>
      <c r="Z125" s="473"/>
      <c r="AA125" s="473"/>
      <c r="AB125" s="473"/>
      <c r="AC125" s="473"/>
      <c r="AD125" s="473"/>
      <c r="AE125" s="473"/>
      <c r="AF125" s="473"/>
      <c r="AG125" s="476"/>
      <c r="AH125" s="477"/>
      <c r="AI125" s="477"/>
      <c r="AJ125" s="477"/>
      <c r="AK125" s="477"/>
      <c r="AL125" s="477"/>
      <c r="AM125" s="477"/>
      <c r="AN125" s="477"/>
      <c r="AO125" s="477"/>
      <c r="AP125" s="477"/>
      <c r="AQ125" s="477"/>
      <c r="AR125" s="478"/>
      <c r="AS125" s="479"/>
      <c r="AT125" s="480"/>
      <c r="AU125" s="480"/>
      <c r="AV125" s="480"/>
      <c r="AW125" s="480"/>
      <c r="AX125" s="480"/>
      <c r="AY125" s="480"/>
      <c r="AZ125" s="480"/>
      <c r="BA125" s="480"/>
      <c r="BB125" s="480"/>
      <c r="BC125" s="480"/>
      <c r="BD125" s="481"/>
      <c r="BE125" s="482">
        <f t="shared" si="11"/>
        <v>0</v>
      </c>
      <c r="BF125" s="482">
        <f>SUM($U125:V125)</f>
        <v>0</v>
      </c>
      <c r="BG125" s="482">
        <f>SUM($U125:W125)</f>
        <v>0</v>
      </c>
      <c r="BH125" s="482">
        <f>SUM($U125:X125)</f>
        <v>0</v>
      </c>
      <c r="BI125" s="482">
        <f>SUM($U125:Y125)</f>
        <v>0</v>
      </c>
      <c r="BJ125" s="482">
        <f>SUM($U125:Z125)</f>
        <v>0</v>
      </c>
      <c r="BK125" s="482">
        <f>SUM($U125:AA125)</f>
        <v>0</v>
      </c>
      <c r="BL125" s="482">
        <f>SUM($U125:AB125)</f>
        <v>0</v>
      </c>
      <c r="BM125" s="482">
        <f>SUM($U125:AC125)</f>
        <v>0</v>
      </c>
      <c r="BN125" s="482">
        <f>SUM($U125:AD125)</f>
        <v>0</v>
      </c>
      <c r="BO125" s="482">
        <f>SUM($U125:AE125)</f>
        <v>0</v>
      </c>
      <c r="BP125" s="483">
        <f>SUM($U125:AF125)</f>
        <v>0</v>
      </c>
      <c r="BQ125" s="484">
        <f t="shared" si="12"/>
        <v>0</v>
      </c>
      <c r="BR125" s="482">
        <f>SUM($AS125:AT125)</f>
        <v>0</v>
      </c>
      <c r="BS125" s="482">
        <f>SUM($AS125:AU125)</f>
        <v>0</v>
      </c>
      <c r="BT125" s="482">
        <f>SUM($AS125:AV125)</f>
        <v>0</v>
      </c>
      <c r="BU125" s="482">
        <f>SUM($AS125:AW125)</f>
        <v>0</v>
      </c>
      <c r="BV125" s="482">
        <f>SUM($AS125:AX125)</f>
        <v>0</v>
      </c>
      <c r="BW125" s="482">
        <f>SUM($AS125:AY125)</f>
        <v>0</v>
      </c>
      <c r="BX125" s="482">
        <f>SUM($AS125:AZ125)</f>
        <v>0</v>
      </c>
      <c r="BY125" s="482">
        <f>SUM($AS125:BA125)</f>
        <v>0</v>
      </c>
      <c r="BZ125" s="482">
        <f>SUM($AS125:BB125)</f>
        <v>0</v>
      </c>
      <c r="CA125" s="482">
        <f>SUM($AS125:BC125)</f>
        <v>0</v>
      </c>
      <c r="CB125" s="483">
        <f>SUM($AS125:BD125)</f>
        <v>0</v>
      </c>
    </row>
    <row r="126" spans="1:80" s="471" customFormat="1" ht="12.75" hidden="1" customHeight="1">
      <c r="A126" s="471">
        <f t="shared" si="9"/>
        <v>117</v>
      </c>
      <c r="B126" s="628"/>
      <c r="C126" s="533"/>
      <c r="D126" s="533"/>
      <c r="E126" s="427"/>
      <c r="F126" s="586"/>
      <c r="G126" s="629"/>
      <c r="H126" s="582">
        <f t="shared" si="10"/>
        <v>119</v>
      </c>
      <c r="I126" s="524"/>
      <c r="J126" s="473"/>
      <c r="K126" s="473"/>
      <c r="L126" s="473"/>
      <c r="M126" s="473"/>
      <c r="N126" s="473"/>
      <c r="O126" s="473"/>
      <c r="P126" s="473"/>
      <c r="Q126" s="473"/>
      <c r="R126" s="473"/>
      <c r="S126" s="473"/>
      <c r="T126" s="474"/>
      <c r="U126" s="475"/>
      <c r="V126" s="473"/>
      <c r="W126" s="473"/>
      <c r="X126" s="473"/>
      <c r="Y126" s="473"/>
      <c r="Z126" s="473"/>
      <c r="AA126" s="473"/>
      <c r="AB126" s="473"/>
      <c r="AC126" s="473"/>
      <c r="AD126" s="473"/>
      <c r="AE126" s="473"/>
      <c r="AF126" s="473"/>
      <c r="AG126" s="476"/>
      <c r="AH126" s="477"/>
      <c r="AI126" s="477"/>
      <c r="AJ126" s="477"/>
      <c r="AK126" s="477"/>
      <c r="AL126" s="477"/>
      <c r="AM126" s="477"/>
      <c r="AN126" s="477"/>
      <c r="AO126" s="477"/>
      <c r="AP126" s="477"/>
      <c r="AQ126" s="477"/>
      <c r="AR126" s="478"/>
      <c r="AS126" s="479"/>
      <c r="AT126" s="480"/>
      <c r="AU126" s="480"/>
      <c r="AV126" s="480"/>
      <c r="AW126" s="480"/>
      <c r="AX126" s="480"/>
      <c r="AY126" s="480"/>
      <c r="AZ126" s="480"/>
      <c r="BA126" s="480"/>
      <c r="BB126" s="480"/>
      <c r="BC126" s="480"/>
      <c r="BD126" s="481"/>
      <c r="BE126" s="482"/>
      <c r="BF126" s="482"/>
      <c r="BG126" s="482"/>
      <c r="BH126" s="482"/>
      <c r="BI126" s="482"/>
      <c r="BJ126" s="482"/>
      <c r="BK126" s="482"/>
      <c r="BL126" s="482"/>
      <c r="BM126" s="482"/>
      <c r="BN126" s="482"/>
      <c r="BO126" s="482"/>
      <c r="BP126" s="483"/>
      <c r="BQ126" s="484"/>
      <c r="BR126" s="482"/>
      <c r="BS126" s="482"/>
      <c r="BT126" s="482"/>
      <c r="BU126" s="482"/>
      <c r="BV126" s="482"/>
      <c r="BW126" s="482"/>
      <c r="BX126" s="482"/>
      <c r="BY126" s="482"/>
      <c r="BZ126" s="482"/>
      <c r="CA126" s="482"/>
      <c r="CB126" s="483"/>
    </row>
    <row r="127" spans="1:80" s="471" customFormat="1" ht="12.75" hidden="1" customHeight="1">
      <c r="A127" s="471">
        <f t="shared" si="9"/>
        <v>118</v>
      </c>
      <c r="B127" s="628"/>
      <c r="C127" s="533"/>
      <c r="D127" s="533"/>
      <c r="E127" s="427"/>
      <c r="F127" s="586"/>
      <c r="G127" s="629"/>
      <c r="H127" s="582">
        <f t="shared" si="10"/>
        <v>120</v>
      </c>
      <c r="I127" s="524"/>
      <c r="J127" s="473"/>
      <c r="K127" s="473"/>
      <c r="L127" s="473"/>
      <c r="M127" s="473"/>
      <c r="N127" s="473"/>
      <c r="O127" s="473"/>
      <c r="P127" s="473"/>
      <c r="Q127" s="473"/>
      <c r="R127" s="473"/>
      <c r="S127" s="473"/>
      <c r="T127" s="474"/>
      <c r="U127" s="475"/>
      <c r="V127" s="473"/>
      <c r="W127" s="473"/>
      <c r="X127" s="473"/>
      <c r="Y127" s="473"/>
      <c r="Z127" s="473"/>
      <c r="AA127" s="473"/>
      <c r="AB127" s="473"/>
      <c r="AC127" s="473"/>
      <c r="AD127" s="473"/>
      <c r="AE127" s="473"/>
      <c r="AF127" s="473"/>
      <c r="AG127" s="476"/>
      <c r="AH127" s="477"/>
      <c r="AI127" s="477"/>
      <c r="AJ127" s="477"/>
      <c r="AK127" s="477"/>
      <c r="AL127" s="477"/>
      <c r="AM127" s="477"/>
      <c r="AN127" s="477"/>
      <c r="AO127" s="477"/>
      <c r="AP127" s="477"/>
      <c r="AQ127" s="477"/>
      <c r="AR127" s="478"/>
      <c r="AS127" s="479"/>
      <c r="AT127" s="480"/>
      <c r="AU127" s="480"/>
      <c r="AV127" s="480"/>
      <c r="AW127" s="480"/>
      <c r="AX127" s="480"/>
      <c r="AY127" s="480"/>
      <c r="AZ127" s="480"/>
      <c r="BA127" s="480"/>
      <c r="BB127" s="480"/>
      <c r="BC127" s="480"/>
      <c r="BD127" s="481"/>
      <c r="BE127" s="482"/>
      <c r="BF127" s="482"/>
      <c r="BG127" s="482"/>
      <c r="BH127" s="482"/>
      <c r="BI127" s="482"/>
      <c r="BJ127" s="482"/>
      <c r="BK127" s="482"/>
      <c r="BL127" s="482"/>
      <c r="BM127" s="482"/>
      <c r="BN127" s="482"/>
      <c r="BO127" s="482"/>
      <c r="BP127" s="483"/>
      <c r="BQ127" s="484"/>
      <c r="BR127" s="482"/>
      <c r="BS127" s="482"/>
      <c r="BT127" s="482"/>
      <c r="BU127" s="482"/>
      <c r="BV127" s="482"/>
      <c r="BW127" s="482"/>
      <c r="BX127" s="482"/>
      <c r="BY127" s="482"/>
      <c r="BZ127" s="482"/>
      <c r="CA127" s="482"/>
      <c r="CB127" s="483"/>
    </row>
    <row r="128" spans="1:80" s="471" customFormat="1" ht="12.75" hidden="1" customHeight="1">
      <c r="A128" s="471">
        <f t="shared" si="9"/>
        <v>119</v>
      </c>
      <c r="B128" s="628"/>
      <c r="C128" s="533"/>
      <c r="D128" s="533"/>
      <c r="E128" s="427"/>
      <c r="F128" s="586"/>
      <c r="G128" s="629"/>
      <c r="H128" s="582">
        <f t="shared" si="10"/>
        <v>121</v>
      </c>
      <c r="I128" s="524"/>
      <c r="J128" s="473"/>
      <c r="K128" s="473"/>
      <c r="L128" s="473"/>
      <c r="M128" s="473"/>
      <c r="N128" s="473"/>
      <c r="O128" s="473"/>
      <c r="P128" s="473"/>
      <c r="Q128" s="473"/>
      <c r="R128" s="473"/>
      <c r="S128" s="473"/>
      <c r="T128" s="474"/>
      <c r="U128" s="475"/>
      <c r="V128" s="473"/>
      <c r="W128" s="473"/>
      <c r="X128" s="473"/>
      <c r="Y128" s="473"/>
      <c r="Z128" s="473"/>
      <c r="AA128" s="473"/>
      <c r="AB128" s="473"/>
      <c r="AC128" s="473"/>
      <c r="AD128" s="473"/>
      <c r="AE128" s="473"/>
      <c r="AF128" s="473"/>
      <c r="AG128" s="476"/>
      <c r="AH128" s="477"/>
      <c r="AI128" s="477"/>
      <c r="AJ128" s="477"/>
      <c r="AK128" s="477"/>
      <c r="AL128" s="477"/>
      <c r="AM128" s="477"/>
      <c r="AN128" s="477"/>
      <c r="AO128" s="477"/>
      <c r="AP128" s="477"/>
      <c r="AQ128" s="477"/>
      <c r="AR128" s="478"/>
      <c r="AS128" s="479"/>
      <c r="AT128" s="480"/>
      <c r="AU128" s="480"/>
      <c r="AV128" s="480"/>
      <c r="AW128" s="480"/>
      <c r="AX128" s="480"/>
      <c r="AY128" s="480"/>
      <c r="AZ128" s="480"/>
      <c r="BA128" s="480"/>
      <c r="BB128" s="480"/>
      <c r="BC128" s="480"/>
      <c r="BD128" s="481"/>
      <c r="BE128" s="482"/>
      <c r="BF128" s="482"/>
      <c r="BG128" s="482"/>
      <c r="BH128" s="482"/>
      <c r="BI128" s="482"/>
      <c r="BJ128" s="482"/>
      <c r="BK128" s="482"/>
      <c r="BL128" s="482"/>
      <c r="BM128" s="482"/>
      <c r="BN128" s="482"/>
      <c r="BO128" s="482"/>
      <c r="BP128" s="483"/>
      <c r="BQ128" s="484"/>
      <c r="BR128" s="482"/>
      <c r="BS128" s="482"/>
      <c r="BT128" s="482"/>
      <c r="BU128" s="482"/>
      <c r="BV128" s="482"/>
      <c r="BW128" s="482"/>
      <c r="BX128" s="482"/>
      <c r="BY128" s="482"/>
      <c r="BZ128" s="482"/>
      <c r="CA128" s="482"/>
      <c r="CB128" s="483"/>
    </row>
    <row r="129" spans="1:80" s="471" customFormat="1" ht="12.75" hidden="1" customHeight="1">
      <c r="A129" s="471">
        <f t="shared" si="9"/>
        <v>120</v>
      </c>
      <c r="B129" s="628"/>
      <c r="C129" s="533"/>
      <c r="D129" s="533"/>
      <c r="E129" s="427"/>
      <c r="F129" s="586"/>
      <c r="G129" s="629"/>
      <c r="H129" s="582">
        <f t="shared" si="10"/>
        <v>122</v>
      </c>
      <c r="I129" s="524"/>
      <c r="J129" s="473"/>
      <c r="K129" s="473"/>
      <c r="L129" s="473"/>
      <c r="M129" s="473"/>
      <c r="N129" s="473"/>
      <c r="O129" s="473"/>
      <c r="P129" s="473"/>
      <c r="Q129" s="473"/>
      <c r="R129" s="473"/>
      <c r="S129" s="473"/>
      <c r="T129" s="474"/>
      <c r="U129" s="475"/>
      <c r="V129" s="473"/>
      <c r="W129" s="473"/>
      <c r="X129" s="473"/>
      <c r="Y129" s="473"/>
      <c r="Z129" s="473"/>
      <c r="AA129" s="473"/>
      <c r="AB129" s="473"/>
      <c r="AC129" s="473"/>
      <c r="AD129" s="473"/>
      <c r="AE129" s="473"/>
      <c r="AF129" s="473"/>
      <c r="AG129" s="476"/>
      <c r="AH129" s="477"/>
      <c r="AI129" s="477"/>
      <c r="AJ129" s="477"/>
      <c r="AK129" s="477"/>
      <c r="AL129" s="477"/>
      <c r="AM129" s="477"/>
      <c r="AN129" s="477"/>
      <c r="AO129" s="477"/>
      <c r="AP129" s="477"/>
      <c r="AQ129" s="477"/>
      <c r="AR129" s="478"/>
      <c r="AS129" s="479"/>
      <c r="AT129" s="480"/>
      <c r="AU129" s="480"/>
      <c r="AV129" s="480"/>
      <c r="AW129" s="480"/>
      <c r="AX129" s="480"/>
      <c r="AY129" s="480"/>
      <c r="AZ129" s="480"/>
      <c r="BA129" s="480"/>
      <c r="BB129" s="480"/>
      <c r="BC129" s="480"/>
      <c r="BD129" s="481"/>
      <c r="BE129" s="482"/>
      <c r="BF129" s="482"/>
      <c r="BG129" s="482"/>
      <c r="BH129" s="482"/>
      <c r="BI129" s="482"/>
      <c r="BJ129" s="482"/>
      <c r="BK129" s="482"/>
      <c r="BL129" s="482"/>
      <c r="BM129" s="482"/>
      <c r="BN129" s="482"/>
      <c r="BO129" s="482"/>
      <c r="BP129" s="483"/>
      <c r="BQ129" s="484"/>
      <c r="BR129" s="482"/>
      <c r="BS129" s="482"/>
      <c r="BT129" s="482"/>
      <c r="BU129" s="482"/>
      <c r="BV129" s="482"/>
      <c r="BW129" s="482"/>
      <c r="BX129" s="482"/>
      <c r="BY129" s="482"/>
      <c r="BZ129" s="482"/>
      <c r="CA129" s="482"/>
      <c r="CB129" s="483"/>
    </row>
    <row r="130" spans="1:80" s="471" customFormat="1" ht="12.75" hidden="1" customHeight="1">
      <c r="A130" s="471">
        <f t="shared" si="9"/>
        <v>121</v>
      </c>
      <c r="B130" s="628"/>
      <c r="C130" s="533"/>
      <c r="D130" s="533"/>
      <c r="E130" s="427"/>
      <c r="F130" s="586"/>
      <c r="G130" s="629"/>
      <c r="H130" s="582">
        <f t="shared" si="10"/>
        <v>123</v>
      </c>
      <c r="I130" s="524"/>
      <c r="J130" s="473"/>
      <c r="K130" s="473"/>
      <c r="L130" s="473"/>
      <c r="M130" s="473"/>
      <c r="N130" s="473"/>
      <c r="O130" s="473"/>
      <c r="P130" s="473"/>
      <c r="Q130" s="473"/>
      <c r="R130" s="473"/>
      <c r="S130" s="473"/>
      <c r="T130" s="474"/>
      <c r="U130" s="475"/>
      <c r="V130" s="473"/>
      <c r="W130" s="473"/>
      <c r="X130" s="473"/>
      <c r="Y130" s="473"/>
      <c r="Z130" s="473"/>
      <c r="AA130" s="473"/>
      <c r="AB130" s="473"/>
      <c r="AC130" s="473"/>
      <c r="AD130" s="473"/>
      <c r="AE130" s="473"/>
      <c r="AF130" s="473"/>
      <c r="AG130" s="476"/>
      <c r="AH130" s="477"/>
      <c r="AI130" s="477"/>
      <c r="AJ130" s="477"/>
      <c r="AK130" s="477"/>
      <c r="AL130" s="477"/>
      <c r="AM130" s="477"/>
      <c r="AN130" s="477"/>
      <c r="AO130" s="477"/>
      <c r="AP130" s="477"/>
      <c r="AQ130" s="477"/>
      <c r="AR130" s="478"/>
      <c r="AS130" s="479"/>
      <c r="AT130" s="480"/>
      <c r="AU130" s="480"/>
      <c r="AV130" s="480"/>
      <c r="AW130" s="480"/>
      <c r="AX130" s="480"/>
      <c r="AY130" s="480"/>
      <c r="AZ130" s="480"/>
      <c r="BA130" s="480"/>
      <c r="BB130" s="480"/>
      <c r="BC130" s="480"/>
      <c r="BD130" s="481"/>
      <c r="BE130" s="482"/>
      <c r="BF130" s="482"/>
      <c r="BG130" s="482"/>
      <c r="BH130" s="482"/>
      <c r="BI130" s="482"/>
      <c r="BJ130" s="482"/>
      <c r="BK130" s="482"/>
      <c r="BL130" s="482"/>
      <c r="BM130" s="482"/>
      <c r="BN130" s="482"/>
      <c r="BO130" s="482"/>
      <c r="BP130" s="483"/>
      <c r="BQ130" s="484"/>
      <c r="BR130" s="482"/>
      <c r="BS130" s="482"/>
      <c r="BT130" s="482"/>
      <c r="BU130" s="482"/>
      <c r="BV130" s="482"/>
      <c r="BW130" s="482"/>
      <c r="BX130" s="482"/>
      <c r="BY130" s="482"/>
      <c r="BZ130" s="482"/>
      <c r="CA130" s="482"/>
      <c r="CB130" s="483"/>
    </row>
    <row r="131" spans="1:80" s="471" customFormat="1" ht="12.75" hidden="1" customHeight="1">
      <c r="A131" s="471">
        <f t="shared" si="9"/>
        <v>122</v>
      </c>
      <c r="B131" s="628"/>
      <c r="C131" s="533"/>
      <c r="D131" s="533"/>
      <c r="E131" s="427"/>
      <c r="F131" s="586"/>
      <c r="G131" s="629"/>
      <c r="H131" s="582">
        <f t="shared" si="10"/>
        <v>124</v>
      </c>
      <c r="I131" s="524"/>
      <c r="J131" s="473"/>
      <c r="K131" s="473"/>
      <c r="L131" s="473"/>
      <c r="M131" s="473"/>
      <c r="N131" s="473"/>
      <c r="O131" s="473"/>
      <c r="P131" s="473"/>
      <c r="Q131" s="473"/>
      <c r="R131" s="473"/>
      <c r="S131" s="473"/>
      <c r="T131" s="474"/>
      <c r="U131" s="475"/>
      <c r="V131" s="473"/>
      <c r="W131" s="473"/>
      <c r="X131" s="473"/>
      <c r="Y131" s="473"/>
      <c r="Z131" s="473"/>
      <c r="AA131" s="473"/>
      <c r="AB131" s="473"/>
      <c r="AC131" s="473"/>
      <c r="AD131" s="473"/>
      <c r="AE131" s="473"/>
      <c r="AF131" s="473"/>
      <c r="AG131" s="476"/>
      <c r="AH131" s="477"/>
      <c r="AI131" s="477"/>
      <c r="AJ131" s="477"/>
      <c r="AK131" s="477"/>
      <c r="AL131" s="477"/>
      <c r="AM131" s="477"/>
      <c r="AN131" s="477"/>
      <c r="AO131" s="477"/>
      <c r="AP131" s="477"/>
      <c r="AQ131" s="477"/>
      <c r="AR131" s="478"/>
      <c r="AS131" s="479"/>
      <c r="AT131" s="480"/>
      <c r="AU131" s="480"/>
      <c r="AV131" s="480"/>
      <c r="AW131" s="480"/>
      <c r="AX131" s="480"/>
      <c r="AY131" s="480"/>
      <c r="AZ131" s="480"/>
      <c r="BA131" s="480"/>
      <c r="BB131" s="480"/>
      <c r="BC131" s="480"/>
      <c r="BD131" s="481"/>
      <c r="BE131" s="482">
        <f>(U131)</f>
        <v>0</v>
      </c>
      <c r="BF131" s="482">
        <f>SUM($U131:V131)</f>
        <v>0</v>
      </c>
      <c r="BG131" s="482">
        <f>SUM($U131:W131)</f>
        <v>0</v>
      </c>
      <c r="BH131" s="482">
        <f>SUM($U131:X131)</f>
        <v>0</v>
      </c>
      <c r="BI131" s="482">
        <f>SUM($U131:Y131)</f>
        <v>0</v>
      </c>
      <c r="BJ131" s="482">
        <f>SUM($U131:Z131)</f>
        <v>0</v>
      </c>
      <c r="BK131" s="482">
        <f>SUM($U131:AA131)</f>
        <v>0</v>
      </c>
      <c r="BL131" s="482">
        <f>SUM($U131:AB131)</f>
        <v>0</v>
      </c>
      <c r="BM131" s="482">
        <f>SUM($U131:AC131)</f>
        <v>0</v>
      </c>
      <c r="BN131" s="482">
        <f>SUM($U131:AD131)</f>
        <v>0</v>
      </c>
      <c r="BO131" s="482">
        <f>SUM($U131:AE131)</f>
        <v>0</v>
      </c>
      <c r="BP131" s="483">
        <f>SUM($U131:AF131)</f>
        <v>0</v>
      </c>
      <c r="BQ131" s="484">
        <f>(AS131)</f>
        <v>0</v>
      </c>
      <c r="BR131" s="482">
        <f>SUM($AS131:AT131)</f>
        <v>0</v>
      </c>
      <c r="BS131" s="482">
        <f>SUM($AS131:AU131)</f>
        <v>0</v>
      </c>
      <c r="BT131" s="482">
        <f>SUM($AS131:AV131)</f>
        <v>0</v>
      </c>
      <c r="BU131" s="482">
        <f>SUM($AS131:AW131)</f>
        <v>0</v>
      </c>
      <c r="BV131" s="482">
        <f>SUM($AS131:AX131)</f>
        <v>0</v>
      </c>
      <c r="BW131" s="482">
        <f>SUM($AS131:AY131)</f>
        <v>0</v>
      </c>
      <c r="BX131" s="482">
        <f>SUM($AS131:AZ131)</f>
        <v>0</v>
      </c>
      <c r="BY131" s="482">
        <f>SUM($AS131:BA131)</f>
        <v>0</v>
      </c>
      <c r="BZ131" s="482">
        <f>SUM($AS131:BB131)</f>
        <v>0</v>
      </c>
      <c r="CA131" s="482">
        <f>SUM($AS131:BC131)</f>
        <v>0</v>
      </c>
      <c r="CB131" s="483">
        <f>SUM($AS131:BD131)</f>
        <v>0</v>
      </c>
    </row>
    <row r="132" spans="1:80" s="471" customFormat="1" ht="12.75" hidden="1" customHeight="1">
      <c r="A132" s="471">
        <f t="shared" si="9"/>
        <v>123</v>
      </c>
      <c r="B132" s="628"/>
      <c r="C132" s="533"/>
      <c r="D132" s="533"/>
      <c r="E132" s="427"/>
      <c r="F132" s="586"/>
      <c r="G132" s="629"/>
      <c r="H132" s="582">
        <f t="shared" si="10"/>
        <v>125</v>
      </c>
      <c r="I132" s="524"/>
      <c r="J132" s="473"/>
      <c r="K132" s="473"/>
      <c r="L132" s="473"/>
      <c r="M132" s="473"/>
      <c r="N132" s="473"/>
      <c r="O132" s="473"/>
      <c r="P132" s="473"/>
      <c r="Q132" s="473"/>
      <c r="R132" s="473"/>
      <c r="S132" s="473"/>
      <c r="T132" s="474"/>
      <c r="U132" s="475"/>
      <c r="V132" s="473"/>
      <c r="W132" s="473"/>
      <c r="X132" s="473"/>
      <c r="Y132" s="473"/>
      <c r="Z132" s="473"/>
      <c r="AA132" s="473"/>
      <c r="AB132" s="473"/>
      <c r="AC132" s="473"/>
      <c r="AD132" s="473"/>
      <c r="AE132" s="473"/>
      <c r="AF132" s="473"/>
      <c r="AG132" s="476"/>
      <c r="AH132" s="477"/>
      <c r="AI132" s="477"/>
      <c r="AJ132" s="477"/>
      <c r="AK132" s="477"/>
      <c r="AL132" s="477"/>
      <c r="AM132" s="477"/>
      <c r="AN132" s="477"/>
      <c r="AO132" s="477"/>
      <c r="AP132" s="477"/>
      <c r="AQ132" s="477"/>
      <c r="AR132" s="478"/>
      <c r="AS132" s="479"/>
      <c r="AT132" s="480"/>
      <c r="AU132" s="480"/>
      <c r="AV132" s="480"/>
      <c r="AW132" s="480"/>
      <c r="AX132" s="480"/>
      <c r="AY132" s="480"/>
      <c r="AZ132" s="480"/>
      <c r="BA132" s="480"/>
      <c r="BB132" s="480"/>
      <c r="BC132" s="480"/>
      <c r="BD132" s="481"/>
      <c r="BE132" s="482">
        <f>(U132)</f>
        <v>0</v>
      </c>
      <c r="BF132" s="482">
        <f>SUM($U132:V132)</f>
        <v>0</v>
      </c>
      <c r="BG132" s="482">
        <f>SUM($U132:W132)</f>
        <v>0</v>
      </c>
      <c r="BH132" s="482">
        <f>SUM($U132:X132)</f>
        <v>0</v>
      </c>
      <c r="BI132" s="482">
        <f>SUM($U132:Y132)</f>
        <v>0</v>
      </c>
      <c r="BJ132" s="482">
        <f>SUM($U132:Z132)</f>
        <v>0</v>
      </c>
      <c r="BK132" s="482">
        <f>SUM($U132:AA132)</f>
        <v>0</v>
      </c>
      <c r="BL132" s="482">
        <f>SUM($U132:AB132)</f>
        <v>0</v>
      </c>
      <c r="BM132" s="482">
        <f>SUM($U132:AC132)</f>
        <v>0</v>
      </c>
      <c r="BN132" s="482">
        <f>SUM($U132:AD132)</f>
        <v>0</v>
      </c>
      <c r="BO132" s="482">
        <f>SUM($U132:AE132)</f>
        <v>0</v>
      </c>
      <c r="BP132" s="483">
        <f>SUM($U132:AF132)</f>
        <v>0</v>
      </c>
      <c r="BQ132" s="484">
        <f>(AS132)</f>
        <v>0</v>
      </c>
      <c r="BR132" s="482">
        <f>SUM($AS132:AT132)</f>
        <v>0</v>
      </c>
      <c r="BS132" s="482">
        <f>SUM($AS132:AU132)</f>
        <v>0</v>
      </c>
      <c r="BT132" s="482">
        <f>SUM($AS132:AV132)</f>
        <v>0</v>
      </c>
      <c r="BU132" s="482">
        <f>SUM($AS132:AW132)</f>
        <v>0</v>
      </c>
      <c r="BV132" s="482">
        <f>SUM($AS132:AX132)</f>
        <v>0</v>
      </c>
      <c r="BW132" s="482">
        <f>SUM($AS132:AY132)</f>
        <v>0</v>
      </c>
      <c r="BX132" s="482">
        <f>SUM($AS132:AZ132)</f>
        <v>0</v>
      </c>
      <c r="BY132" s="482">
        <f>SUM($AS132:BA132)</f>
        <v>0</v>
      </c>
      <c r="BZ132" s="482">
        <f>SUM($AS132:BB132)</f>
        <v>0</v>
      </c>
      <c r="CA132" s="482">
        <f>SUM($AS132:BC132)</f>
        <v>0</v>
      </c>
      <c r="CB132" s="483">
        <f>SUM($AS132:BD132)</f>
        <v>0</v>
      </c>
    </row>
    <row r="133" spans="1:80" s="471" customFormat="1" ht="12.75" hidden="1" customHeight="1">
      <c r="A133" s="471">
        <f t="shared" si="9"/>
        <v>124</v>
      </c>
      <c r="B133" s="628"/>
      <c r="C133" s="533"/>
      <c r="D133" s="533"/>
      <c r="E133" s="427"/>
      <c r="F133" s="586"/>
      <c r="G133" s="629"/>
      <c r="H133" s="582">
        <f t="shared" si="10"/>
        <v>126</v>
      </c>
      <c r="I133" s="524"/>
      <c r="J133" s="473"/>
      <c r="K133" s="473"/>
      <c r="L133" s="473"/>
      <c r="M133" s="473"/>
      <c r="N133" s="473"/>
      <c r="O133" s="473"/>
      <c r="P133" s="473"/>
      <c r="Q133" s="473"/>
      <c r="R133" s="473"/>
      <c r="S133" s="473"/>
      <c r="T133" s="474"/>
      <c r="U133" s="475"/>
      <c r="V133" s="473"/>
      <c r="W133" s="473"/>
      <c r="X133" s="473"/>
      <c r="Y133" s="473"/>
      <c r="Z133" s="473"/>
      <c r="AA133" s="473"/>
      <c r="AB133" s="473"/>
      <c r="AC133" s="473"/>
      <c r="AD133" s="473"/>
      <c r="AE133" s="473"/>
      <c r="AF133" s="473"/>
      <c r="AG133" s="476"/>
      <c r="AH133" s="477"/>
      <c r="AI133" s="477"/>
      <c r="AJ133" s="477"/>
      <c r="AK133" s="477"/>
      <c r="AL133" s="477"/>
      <c r="AM133" s="477"/>
      <c r="AN133" s="477"/>
      <c r="AO133" s="477"/>
      <c r="AP133" s="477"/>
      <c r="AQ133" s="477"/>
      <c r="AR133" s="478"/>
      <c r="AS133" s="479"/>
      <c r="AT133" s="480"/>
      <c r="AU133" s="480"/>
      <c r="AV133" s="480"/>
      <c r="AW133" s="480"/>
      <c r="AX133" s="480"/>
      <c r="AY133" s="480"/>
      <c r="AZ133" s="480"/>
      <c r="BA133" s="480"/>
      <c r="BB133" s="480"/>
      <c r="BC133" s="480"/>
      <c r="BD133" s="481"/>
      <c r="BE133" s="482">
        <f>(U133)</f>
        <v>0</v>
      </c>
      <c r="BF133" s="482">
        <f>SUM($U133:V133)</f>
        <v>0</v>
      </c>
      <c r="BG133" s="482">
        <f>SUM($U133:W133)</f>
        <v>0</v>
      </c>
      <c r="BH133" s="482">
        <f>SUM($U133:X133)</f>
        <v>0</v>
      </c>
      <c r="BI133" s="482">
        <f>SUM($U133:Y133)</f>
        <v>0</v>
      </c>
      <c r="BJ133" s="482">
        <f>SUM($U133:Z133)</f>
        <v>0</v>
      </c>
      <c r="BK133" s="482">
        <f>SUM($U133:AA133)</f>
        <v>0</v>
      </c>
      <c r="BL133" s="482">
        <f>SUM($U133:AB133)</f>
        <v>0</v>
      </c>
      <c r="BM133" s="482">
        <f>SUM($U133:AC133)</f>
        <v>0</v>
      </c>
      <c r="BN133" s="482">
        <f>SUM($U133:AD133)</f>
        <v>0</v>
      </c>
      <c r="BO133" s="482">
        <f>SUM($U133:AE133)</f>
        <v>0</v>
      </c>
      <c r="BP133" s="483">
        <f>SUM($U133:AF133)</f>
        <v>0</v>
      </c>
      <c r="BQ133" s="484">
        <f>(AS133)</f>
        <v>0</v>
      </c>
      <c r="BR133" s="482">
        <f>SUM($AS133:AT133)</f>
        <v>0</v>
      </c>
      <c r="BS133" s="482">
        <f>SUM($AS133:AU133)</f>
        <v>0</v>
      </c>
      <c r="BT133" s="482">
        <f>SUM($AS133:AV133)</f>
        <v>0</v>
      </c>
      <c r="BU133" s="482">
        <f>SUM($AS133:AW133)</f>
        <v>0</v>
      </c>
      <c r="BV133" s="482">
        <f>SUM($AS133:AX133)</f>
        <v>0</v>
      </c>
      <c r="BW133" s="482">
        <f>SUM($AS133:AY133)</f>
        <v>0</v>
      </c>
      <c r="BX133" s="482">
        <f>SUM($AS133:AZ133)</f>
        <v>0</v>
      </c>
      <c r="BY133" s="482">
        <f>SUM($AS133:BA133)</f>
        <v>0</v>
      </c>
      <c r="BZ133" s="482">
        <f>SUM($AS133:BB133)</f>
        <v>0</v>
      </c>
      <c r="CA133" s="482">
        <f>SUM($AS133:BC133)</f>
        <v>0</v>
      </c>
      <c r="CB133" s="483">
        <f>SUM($AS133:BD133)</f>
        <v>0</v>
      </c>
    </row>
    <row r="134" spans="1:80" s="471" customFormat="1" ht="12.75" hidden="1" customHeight="1">
      <c r="A134" s="471">
        <f t="shared" si="9"/>
        <v>125</v>
      </c>
      <c r="B134" s="628"/>
      <c r="C134" s="533"/>
      <c r="D134" s="533"/>
      <c r="E134" s="427"/>
      <c r="F134" s="586"/>
      <c r="G134" s="629"/>
      <c r="H134" s="582">
        <f t="shared" si="10"/>
        <v>127</v>
      </c>
      <c r="I134" s="524"/>
      <c r="J134" s="473"/>
      <c r="K134" s="473"/>
      <c r="L134" s="473"/>
      <c r="M134" s="473"/>
      <c r="N134" s="473"/>
      <c r="O134" s="473"/>
      <c r="P134" s="473"/>
      <c r="Q134" s="473"/>
      <c r="R134" s="473"/>
      <c r="S134" s="473"/>
      <c r="T134" s="474"/>
      <c r="U134" s="475"/>
      <c r="V134" s="473"/>
      <c r="W134" s="473"/>
      <c r="X134" s="473"/>
      <c r="Y134" s="473"/>
      <c r="Z134" s="473"/>
      <c r="AA134" s="473"/>
      <c r="AB134" s="473"/>
      <c r="AC134" s="473"/>
      <c r="AD134" s="473"/>
      <c r="AE134" s="473"/>
      <c r="AF134" s="473"/>
      <c r="AG134" s="476"/>
      <c r="AH134" s="477"/>
      <c r="AI134" s="477"/>
      <c r="AJ134" s="477"/>
      <c r="AK134" s="477"/>
      <c r="AL134" s="477"/>
      <c r="AM134" s="477"/>
      <c r="AN134" s="477"/>
      <c r="AO134" s="477"/>
      <c r="AP134" s="477"/>
      <c r="AQ134" s="477"/>
      <c r="AR134" s="478"/>
      <c r="AS134" s="479"/>
      <c r="AT134" s="480"/>
      <c r="AU134" s="480"/>
      <c r="AV134" s="480"/>
      <c r="AW134" s="480"/>
      <c r="AX134" s="480"/>
      <c r="AY134" s="480"/>
      <c r="AZ134" s="480"/>
      <c r="BA134" s="480"/>
      <c r="BB134" s="480"/>
      <c r="BC134" s="480"/>
      <c r="BD134" s="481"/>
      <c r="BE134" s="482"/>
      <c r="BF134" s="482"/>
      <c r="BG134" s="482"/>
      <c r="BH134" s="482"/>
      <c r="BI134" s="482"/>
      <c r="BJ134" s="482"/>
      <c r="BK134" s="482"/>
      <c r="BL134" s="482"/>
      <c r="BM134" s="482"/>
      <c r="BN134" s="482"/>
      <c r="BO134" s="482"/>
      <c r="BP134" s="483"/>
      <c r="BQ134" s="484"/>
      <c r="BR134" s="482"/>
      <c r="BS134" s="482"/>
      <c r="BT134" s="482"/>
      <c r="BU134" s="482"/>
      <c r="BV134" s="482"/>
      <c r="BW134" s="482"/>
      <c r="BX134" s="482"/>
      <c r="BY134" s="482"/>
      <c r="BZ134" s="482"/>
      <c r="CA134" s="482"/>
      <c r="CB134" s="483"/>
    </row>
    <row r="135" spans="1:80" s="471" customFormat="1" ht="12.75" hidden="1" customHeight="1">
      <c r="A135" s="471">
        <f t="shared" si="9"/>
        <v>126</v>
      </c>
      <c r="B135" s="628"/>
      <c r="C135" s="533"/>
      <c r="D135" s="533"/>
      <c r="E135" s="427"/>
      <c r="F135" s="586"/>
      <c r="G135" s="629"/>
      <c r="H135" s="582">
        <f t="shared" si="10"/>
        <v>128</v>
      </c>
      <c r="I135" s="524"/>
      <c r="J135" s="473"/>
      <c r="K135" s="473"/>
      <c r="L135" s="473"/>
      <c r="M135" s="473"/>
      <c r="N135" s="473"/>
      <c r="O135" s="473"/>
      <c r="P135" s="473"/>
      <c r="Q135" s="473"/>
      <c r="R135" s="473"/>
      <c r="S135" s="473"/>
      <c r="T135" s="474"/>
      <c r="U135" s="475"/>
      <c r="V135" s="473"/>
      <c r="W135" s="473"/>
      <c r="X135" s="473"/>
      <c r="Y135" s="473"/>
      <c r="Z135" s="473"/>
      <c r="AA135" s="473"/>
      <c r="AB135" s="473"/>
      <c r="AC135" s="473"/>
      <c r="AD135" s="473"/>
      <c r="AE135" s="473"/>
      <c r="AF135" s="473"/>
      <c r="AG135" s="476"/>
      <c r="AH135" s="477"/>
      <c r="AI135" s="477"/>
      <c r="AJ135" s="477"/>
      <c r="AK135" s="477"/>
      <c r="AL135" s="477"/>
      <c r="AM135" s="477"/>
      <c r="AN135" s="477"/>
      <c r="AO135" s="477"/>
      <c r="AP135" s="477"/>
      <c r="AQ135" s="477"/>
      <c r="AR135" s="478"/>
      <c r="AS135" s="479"/>
      <c r="AT135" s="480"/>
      <c r="AU135" s="480"/>
      <c r="AV135" s="480"/>
      <c r="AW135" s="480"/>
      <c r="AX135" s="480"/>
      <c r="AY135" s="480"/>
      <c r="AZ135" s="480"/>
      <c r="BA135" s="480"/>
      <c r="BB135" s="480"/>
      <c r="BC135" s="480"/>
      <c r="BD135" s="481"/>
      <c r="BE135" s="482"/>
      <c r="BF135" s="482"/>
      <c r="BG135" s="482"/>
      <c r="BH135" s="482"/>
      <c r="BI135" s="482"/>
      <c r="BJ135" s="482"/>
      <c r="BK135" s="482"/>
      <c r="BL135" s="482"/>
      <c r="BM135" s="482"/>
      <c r="BN135" s="482"/>
      <c r="BO135" s="482"/>
      <c r="BP135" s="483"/>
      <c r="BQ135" s="484"/>
      <c r="BR135" s="482"/>
      <c r="BS135" s="482"/>
      <c r="BT135" s="482"/>
      <c r="BU135" s="482"/>
      <c r="BV135" s="482"/>
      <c r="BW135" s="482"/>
      <c r="BX135" s="482"/>
      <c r="BY135" s="482"/>
      <c r="BZ135" s="482"/>
      <c r="CA135" s="482"/>
      <c r="CB135" s="483"/>
    </row>
    <row r="136" spans="1:80" s="471" customFormat="1" ht="12.75" hidden="1" customHeight="1">
      <c r="A136" s="471">
        <f t="shared" si="9"/>
        <v>127</v>
      </c>
      <c r="B136" s="628"/>
      <c r="C136" s="533"/>
      <c r="D136" s="533"/>
      <c r="E136" s="427"/>
      <c r="F136" s="586"/>
      <c r="G136" s="629"/>
      <c r="H136" s="582">
        <f t="shared" si="10"/>
        <v>129</v>
      </c>
      <c r="I136" s="524"/>
      <c r="J136" s="473"/>
      <c r="K136" s="473"/>
      <c r="L136" s="473"/>
      <c r="M136" s="473"/>
      <c r="N136" s="473"/>
      <c r="O136" s="473"/>
      <c r="P136" s="473"/>
      <c r="Q136" s="473"/>
      <c r="R136" s="473"/>
      <c r="S136" s="473"/>
      <c r="T136" s="474"/>
      <c r="U136" s="475"/>
      <c r="V136" s="473"/>
      <c r="W136" s="473"/>
      <c r="X136" s="473"/>
      <c r="Y136" s="473"/>
      <c r="Z136" s="473"/>
      <c r="AA136" s="473"/>
      <c r="AB136" s="473"/>
      <c r="AC136" s="473"/>
      <c r="AD136" s="473"/>
      <c r="AE136" s="473"/>
      <c r="AF136" s="473"/>
      <c r="AG136" s="476"/>
      <c r="AH136" s="477"/>
      <c r="AI136" s="477"/>
      <c r="AJ136" s="477"/>
      <c r="AK136" s="477"/>
      <c r="AL136" s="477"/>
      <c r="AM136" s="477"/>
      <c r="AN136" s="477"/>
      <c r="AO136" s="477"/>
      <c r="AP136" s="477"/>
      <c r="AQ136" s="477"/>
      <c r="AR136" s="478"/>
      <c r="AS136" s="479"/>
      <c r="AT136" s="480"/>
      <c r="AU136" s="480"/>
      <c r="AV136" s="480"/>
      <c r="AW136" s="480"/>
      <c r="AX136" s="480"/>
      <c r="AY136" s="480"/>
      <c r="AZ136" s="480"/>
      <c r="BA136" s="480"/>
      <c r="BB136" s="480"/>
      <c r="BC136" s="480"/>
      <c r="BD136" s="481"/>
      <c r="BE136" s="482"/>
      <c r="BF136" s="482"/>
      <c r="BG136" s="482"/>
      <c r="BH136" s="482"/>
      <c r="BI136" s="482"/>
      <c r="BJ136" s="482"/>
      <c r="BK136" s="482"/>
      <c r="BL136" s="482"/>
      <c r="BM136" s="482"/>
      <c r="BN136" s="482"/>
      <c r="BO136" s="482"/>
      <c r="BP136" s="483"/>
      <c r="BQ136" s="484"/>
      <c r="BR136" s="482"/>
      <c r="BS136" s="482"/>
      <c r="BT136" s="482"/>
      <c r="BU136" s="482"/>
      <c r="BV136" s="482"/>
      <c r="BW136" s="482"/>
      <c r="BX136" s="482"/>
      <c r="BY136" s="482"/>
      <c r="BZ136" s="482"/>
      <c r="CA136" s="482"/>
      <c r="CB136" s="483"/>
    </row>
    <row r="137" spans="1:80" s="471" customFormat="1" ht="12.75" hidden="1" customHeight="1">
      <c r="A137" s="471">
        <f t="shared" si="9"/>
        <v>128</v>
      </c>
      <c r="B137" s="628"/>
      <c r="C137" s="533"/>
      <c r="D137" s="533"/>
      <c r="E137" s="427"/>
      <c r="F137" s="586"/>
      <c r="G137" s="629"/>
      <c r="H137" s="582">
        <f t="shared" si="10"/>
        <v>130</v>
      </c>
      <c r="I137" s="524"/>
      <c r="J137" s="473"/>
      <c r="K137" s="473"/>
      <c r="L137" s="473"/>
      <c r="M137" s="473"/>
      <c r="N137" s="473"/>
      <c r="O137" s="473"/>
      <c r="P137" s="473"/>
      <c r="Q137" s="473"/>
      <c r="R137" s="473"/>
      <c r="S137" s="473"/>
      <c r="T137" s="474"/>
      <c r="U137" s="475"/>
      <c r="V137" s="473"/>
      <c r="W137" s="473"/>
      <c r="X137" s="473"/>
      <c r="Y137" s="473"/>
      <c r="Z137" s="473"/>
      <c r="AA137" s="473"/>
      <c r="AB137" s="473"/>
      <c r="AC137" s="473"/>
      <c r="AD137" s="473"/>
      <c r="AE137" s="473"/>
      <c r="AF137" s="473"/>
      <c r="AG137" s="476"/>
      <c r="AH137" s="477"/>
      <c r="AI137" s="477"/>
      <c r="AJ137" s="477"/>
      <c r="AK137" s="477"/>
      <c r="AL137" s="477"/>
      <c r="AM137" s="477"/>
      <c r="AN137" s="477"/>
      <c r="AO137" s="477"/>
      <c r="AP137" s="477"/>
      <c r="AQ137" s="477"/>
      <c r="AR137" s="478"/>
      <c r="AS137" s="479"/>
      <c r="AT137" s="480"/>
      <c r="AU137" s="480"/>
      <c r="AV137" s="480"/>
      <c r="AW137" s="480"/>
      <c r="AX137" s="480"/>
      <c r="AY137" s="480"/>
      <c r="AZ137" s="480"/>
      <c r="BA137" s="480"/>
      <c r="BB137" s="480"/>
      <c r="BC137" s="480"/>
      <c r="BD137" s="481"/>
      <c r="BE137" s="482"/>
      <c r="BF137" s="482"/>
      <c r="BG137" s="482"/>
      <c r="BH137" s="482"/>
      <c r="BI137" s="482"/>
      <c r="BJ137" s="482"/>
      <c r="BK137" s="482"/>
      <c r="BL137" s="482"/>
      <c r="BM137" s="482"/>
      <c r="BN137" s="482"/>
      <c r="BO137" s="482"/>
      <c r="BP137" s="483"/>
      <c r="BQ137" s="484"/>
      <c r="BR137" s="482"/>
      <c r="BS137" s="482"/>
      <c r="BT137" s="482"/>
      <c r="BU137" s="482"/>
      <c r="BV137" s="482"/>
      <c r="BW137" s="482"/>
      <c r="BX137" s="482"/>
      <c r="BY137" s="482"/>
      <c r="BZ137" s="482"/>
      <c r="CA137" s="482"/>
      <c r="CB137" s="483"/>
    </row>
    <row r="138" spans="1:80" s="471" customFormat="1" ht="12.75" hidden="1" customHeight="1">
      <c r="A138" s="471">
        <f t="shared" si="9"/>
        <v>129</v>
      </c>
      <c r="B138" s="628"/>
      <c r="C138" s="533"/>
      <c r="D138" s="533"/>
      <c r="E138" s="427"/>
      <c r="F138" s="586"/>
      <c r="G138" s="629"/>
      <c r="H138" s="582">
        <f t="shared" si="10"/>
        <v>131</v>
      </c>
      <c r="I138" s="524"/>
      <c r="J138" s="473"/>
      <c r="K138" s="473"/>
      <c r="L138" s="473"/>
      <c r="M138" s="473"/>
      <c r="N138" s="473"/>
      <c r="O138" s="473"/>
      <c r="P138" s="473"/>
      <c r="Q138" s="473"/>
      <c r="R138" s="473"/>
      <c r="S138" s="473"/>
      <c r="T138" s="474"/>
      <c r="U138" s="475"/>
      <c r="V138" s="473"/>
      <c r="W138" s="473"/>
      <c r="X138" s="473"/>
      <c r="Y138" s="473"/>
      <c r="Z138" s="473"/>
      <c r="AA138" s="473"/>
      <c r="AB138" s="473"/>
      <c r="AC138" s="473"/>
      <c r="AD138" s="473"/>
      <c r="AE138" s="473"/>
      <c r="AF138" s="473"/>
      <c r="AG138" s="476"/>
      <c r="AH138" s="477"/>
      <c r="AI138" s="477"/>
      <c r="AJ138" s="477"/>
      <c r="AK138" s="477"/>
      <c r="AL138" s="477"/>
      <c r="AM138" s="477"/>
      <c r="AN138" s="477"/>
      <c r="AO138" s="477"/>
      <c r="AP138" s="477"/>
      <c r="AQ138" s="477"/>
      <c r="AR138" s="478"/>
      <c r="AS138" s="479"/>
      <c r="AT138" s="480"/>
      <c r="AU138" s="480"/>
      <c r="AV138" s="480"/>
      <c r="AW138" s="480"/>
      <c r="AX138" s="480"/>
      <c r="AY138" s="480"/>
      <c r="AZ138" s="480"/>
      <c r="BA138" s="480"/>
      <c r="BB138" s="480"/>
      <c r="BC138" s="480"/>
      <c r="BD138" s="481"/>
      <c r="BE138" s="482">
        <f>(U138)</f>
        <v>0</v>
      </c>
      <c r="BF138" s="482">
        <f>SUM($U138:V138)</f>
        <v>0</v>
      </c>
      <c r="BG138" s="482">
        <f>SUM($U138:W138)</f>
        <v>0</v>
      </c>
      <c r="BH138" s="482">
        <f>SUM($U138:X138)</f>
        <v>0</v>
      </c>
      <c r="BI138" s="482">
        <f>SUM($U138:Y138)</f>
        <v>0</v>
      </c>
      <c r="BJ138" s="482">
        <f>SUM($U138:Z138)</f>
        <v>0</v>
      </c>
      <c r="BK138" s="482">
        <f>SUM($U138:AA138)</f>
        <v>0</v>
      </c>
      <c r="BL138" s="482">
        <f>SUM($U138:AB138)</f>
        <v>0</v>
      </c>
      <c r="BM138" s="482">
        <f>SUM($U138:AC138)</f>
        <v>0</v>
      </c>
      <c r="BN138" s="482">
        <f>SUM($U138:AD138)</f>
        <v>0</v>
      </c>
      <c r="BO138" s="482">
        <f>SUM($U138:AE138)</f>
        <v>0</v>
      </c>
      <c r="BP138" s="483">
        <f>SUM($U138:AF138)</f>
        <v>0</v>
      </c>
      <c r="BQ138" s="484">
        <f>(AS138)</f>
        <v>0</v>
      </c>
      <c r="BR138" s="482">
        <f>SUM($AS138:AT138)</f>
        <v>0</v>
      </c>
      <c r="BS138" s="482">
        <f>SUM($AS138:AU138)</f>
        <v>0</v>
      </c>
      <c r="BT138" s="482">
        <f>SUM($AS138:AV138)</f>
        <v>0</v>
      </c>
      <c r="BU138" s="482">
        <f>SUM($AS138:AW138)</f>
        <v>0</v>
      </c>
      <c r="BV138" s="482">
        <f>SUM($AS138:AX138)</f>
        <v>0</v>
      </c>
      <c r="BW138" s="482">
        <f>SUM($AS138:AY138)</f>
        <v>0</v>
      </c>
      <c r="BX138" s="482">
        <f>SUM($AS138:AZ138)</f>
        <v>0</v>
      </c>
      <c r="BY138" s="482">
        <f>SUM($AS138:BA138)</f>
        <v>0</v>
      </c>
      <c r="BZ138" s="482">
        <f>SUM($AS138:BB138)</f>
        <v>0</v>
      </c>
      <c r="CA138" s="482">
        <f>SUM($AS138:BC138)</f>
        <v>0</v>
      </c>
      <c r="CB138" s="483">
        <f>SUM($AS138:BD138)</f>
        <v>0</v>
      </c>
    </row>
    <row r="139" spans="1:80" s="471" customFormat="1" ht="12.75" hidden="1" customHeight="1">
      <c r="A139" s="471">
        <f t="shared" ref="A139:A202" si="13">+A138+1</f>
        <v>130</v>
      </c>
      <c r="B139" s="628"/>
      <c r="C139" s="533"/>
      <c r="D139" s="533"/>
      <c r="E139" s="427"/>
      <c r="F139" s="586"/>
      <c r="G139" s="629"/>
      <c r="H139" s="582">
        <f t="shared" si="10"/>
        <v>132</v>
      </c>
      <c r="I139" s="524"/>
      <c r="J139" s="473"/>
      <c r="K139" s="473"/>
      <c r="L139" s="473"/>
      <c r="M139" s="473"/>
      <c r="N139" s="473"/>
      <c r="O139" s="473"/>
      <c r="P139" s="473"/>
      <c r="Q139" s="473"/>
      <c r="R139" s="473"/>
      <c r="S139" s="473"/>
      <c r="T139" s="474"/>
      <c r="U139" s="475"/>
      <c r="V139" s="473"/>
      <c r="W139" s="473"/>
      <c r="X139" s="473"/>
      <c r="Y139" s="473"/>
      <c r="Z139" s="473"/>
      <c r="AA139" s="473"/>
      <c r="AB139" s="473"/>
      <c r="AC139" s="473"/>
      <c r="AD139" s="473"/>
      <c r="AE139" s="473"/>
      <c r="AF139" s="473"/>
      <c r="AG139" s="476"/>
      <c r="AH139" s="477"/>
      <c r="AI139" s="477"/>
      <c r="AJ139" s="477"/>
      <c r="AK139" s="477"/>
      <c r="AL139" s="477"/>
      <c r="AM139" s="477"/>
      <c r="AN139" s="477"/>
      <c r="AO139" s="477"/>
      <c r="AP139" s="477"/>
      <c r="AQ139" s="477"/>
      <c r="AR139" s="478"/>
      <c r="AS139" s="479"/>
      <c r="AT139" s="480"/>
      <c r="AU139" s="480"/>
      <c r="AV139" s="480"/>
      <c r="AW139" s="480"/>
      <c r="AX139" s="480"/>
      <c r="AY139" s="480"/>
      <c r="AZ139" s="480"/>
      <c r="BA139" s="480"/>
      <c r="BB139" s="480"/>
      <c r="BC139" s="480"/>
      <c r="BD139" s="481"/>
      <c r="BE139" s="482">
        <f>(U139)</f>
        <v>0</v>
      </c>
      <c r="BF139" s="482">
        <f>SUM($U139:V139)</f>
        <v>0</v>
      </c>
      <c r="BG139" s="482">
        <f>SUM($U139:W139)</f>
        <v>0</v>
      </c>
      <c r="BH139" s="482">
        <f>SUM($U139:X139)</f>
        <v>0</v>
      </c>
      <c r="BI139" s="482">
        <f>SUM($U139:Y139)</f>
        <v>0</v>
      </c>
      <c r="BJ139" s="482">
        <f>SUM($U139:Z139)</f>
        <v>0</v>
      </c>
      <c r="BK139" s="482">
        <f>SUM($U139:AA139)</f>
        <v>0</v>
      </c>
      <c r="BL139" s="482">
        <f>SUM($U139:AB139)</f>
        <v>0</v>
      </c>
      <c r="BM139" s="482">
        <f>SUM($U139:AC139)</f>
        <v>0</v>
      </c>
      <c r="BN139" s="482">
        <f>SUM($U139:AD139)</f>
        <v>0</v>
      </c>
      <c r="BO139" s="482">
        <f>SUM($U139:AE139)</f>
        <v>0</v>
      </c>
      <c r="BP139" s="483">
        <f>SUM($U139:AF139)</f>
        <v>0</v>
      </c>
      <c r="BQ139" s="484">
        <f>(AS139)</f>
        <v>0</v>
      </c>
      <c r="BR139" s="482">
        <f>SUM($AS139:AT139)</f>
        <v>0</v>
      </c>
      <c r="BS139" s="482">
        <f>SUM($AS139:AU139)</f>
        <v>0</v>
      </c>
      <c r="BT139" s="482">
        <f>SUM($AS139:AV139)</f>
        <v>0</v>
      </c>
      <c r="BU139" s="482">
        <f>SUM($AS139:AW139)</f>
        <v>0</v>
      </c>
      <c r="BV139" s="482">
        <f>SUM($AS139:AX139)</f>
        <v>0</v>
      </c>
      <c r="BW139" s="482">
        <f>SUM($AS139:AY139)</f>
        <v>0</v>
      </c>
      <c r="BX139" s="482">
        <f>SUM($AS139:AZ139)</f>
        <v>0</v>
      </c>
      <c r="BY139" s="482">
        <f>SUM($AS139:BA139)</f>
        <v>0</v>
      </c>
      <c r="BZ139" s="482">
        <f>SUM($AS139:BB139)</f>
        <v>0</v>
      </c>
      <c r="CA139" s="482">
        <f>SUM($AS139:BC139)</f>
        <v>0</v>
      </c>
      <c r="CB139" s="483">
        <f>SUM($AS139:BD139)</f>
        <v>0</v>
      </c>
    </row>
    <row r="140" spans="1:80" s="471" customFormat="1" ht="14" hidden="1">
      <c r="A140" s="471">
        <f t="shared" si="13"/>
        <v>131</v>
      </c>
      <c r="B140" s="628"/>
      <c r="C140" s="533"/>
      <c r="D140" s="533"/>
      <c r="E140" s="427"/>
      <c r="F140" s="586"/>
      <c r="G140" s="630"/>
      <c r="H140" s="582">
        <f t="shared" si="10"/>
        <v>133</v>
      </c>
      <c r="I140" s="524">
        <v>0</v>
      </c>
      <c r="J140" s="473">
        <v>0</v>
      </c>
      <c r="K140" s="473">
        <v>0</v>
      </c>
      <c r="L140" s="473"/>
      <c r="M140" s="473"/>
      <c r="N140" s="473"/>
      <c r="O140" s="473"/>
      <c r="P140" s="473"/>
      <c r="Q140" s="473"/>
      <c r="R140" s="473"/>
      <c r="S140" s="473"/>
      <c r="T140" s="474"/>
      <c r="U140" s="475">
        <v>0</v>
      </c>
      <c r="V140" s="473">
        <v>0</v>
      </c>
      <c r="W140" s="473">
        <v>0</v>
      </c>
      <c r="X140" s="473"/>
      <c r="Y140" s="473"/>
      <c r="Z140" s="473"/>
      <c r="AA140" s="473"/>
      <c r="AB140" s="473"/>
      <c r="AC140" s="473"/>
      <c r="AD140" s="473"/>
      <c r="AE140" s="473"/>
      <c r="AF140" s="473"/>
      <c r="AG140" s="488"/>
      <c r="AH140" s="1022"/>
      <c r="AI140" s="1022"/>
      <c r="AJ140" s="1022"/>
      <c r="AK140" s="1022"/>
      <c r="AL140" s="1022"/>
      <c r="AM140" s="1022"/>
      <c r="AN140" s="1022"/>
      <c r="AO140" s="1022"/>
      <c r="AP140" s="1022"/>
      <c r="AQ140" s="1022"/>
      <c r="AR140" s="489"/>
      <c r="AS140" s="1023"/>
      <c r="AT140" s="1023"/>
      <c r="AU140" s="1023"/>
      <c r="AV140" s="1023"/>
      <c r="AW140" s="1023"/>
      <c r="AX140" s="1023"/>
      <c r="AY140" s="1023"/>
      <c r="AZ140" s="1023"/>
      <c r="BA140" s="1023"/>
      <c r="BB140" s="1023"/>
      <c r="BC140" s="1023"/>
      <c r="BD140" s="1024"/>
      <c r="BE140" s="482">
        <f>(U140)</f>
        <v>0</v>
      </c>
      <c r="BF140" s="482">
        <f>SUM($U140:V140)</f>
        <v>0</v>
      </c>
      <c r="BG140" s="482">
        <f>SUM($U140:W140)</f>
        <v>0</v>
      </c>
      <c r="BH140" s="482">
        <f>SUM($U140:X140)</f>
        <v>0</v>
      </c>
      <c r="BI140" s="482">
        <f>SUM($U140:Y140)</f>
        <v>0</v>
      </c>
      <c r="BJ140" s="482">
        <f>SUM($U140:Z140)</f>
        <v>0</v>
      </c>
      <c r="BK140" s="482">
        <f>SUM($U140:AA140)</f>
        <v>0</v>
      </c>
      <c r="BL140" s="482">
        <f>SUM($U140:AB140)</f>
        <v>0</v>
      </c>
      <c r="BM140" s="482">
        <f>SUM($U140:AC140)</f>
        <v>0</v>
      </c>
      <c r="BN140" s="482">
        <f>SUM($U140:AD140)</f>
        <v>0</v>
      </c>
      <c r="BO140" s="482">
        <f>SUM($U140:AE140)</f>
        <v>0</v>
      </c>
      <c r="BP140" s="483">
        <f>SUM($U140:AF140)</f>
        <v>0</v>
      </c>
      <c r="BQ140" s="484">
        <f>(AS140)</f>
        <v>0</v>
      </c>
      <c r="BR140" s="482">
        <f>SUM($AS140:AT140)</f>
        <v>0</v>
      </c>
      <c r="BS140" s="482">
        <f>SUM($AS140:AU140)</f>
        <v>0</v>
      </c>
      <c r="BT140" s="482">
        <f>SUM($AS140:AV140)</f>
        <v>0</v>
      </c>
      <c r="BU140" s="482">
        <f>SUM($AS140:AW140)</f>
        <v>0</v>
      </c>
      <c r="BV140" s="482">
        <f>SUM($AS140:AX140)</f>
        <v>0</v>
      </c>
      <c r="BW140" s="482">
        <f>SUM($AS140:AY140)</f>
        <v>0</v>
      </c>
      <c r="BX140" s="482">
        <f>SUM($AS140:AZ140)</f>
        <v>0</v>
      </c>
      <c r="BY140" s="482">
        <f>SUM($AS140:BA140)</f>
        <v>0</v>
      </c>
      <c r="BZ140" s="482">
        <f>SUM($AS140:BB140)</f>
        <v>0</v>
      </c>
      <c r="CA140" s="482">
        <f>SUM($AS140:BC140)</f>
        <v>0</v>
      </c>
      <c r="CB140" s="483">
        <f>SUM($AS140:BD140)</f>
        <v>0</v>
      </c>
    </row>
    <row r="141" spans="1:80" s="471" customFormat="1">
      <c r="A141" s="471">
        <f t="shared" si="13"/>
        <v>132</v>
      </c>
      <c r="B141" s="628" t="s">
        <v>240</v>
      </c>
      <c r="C141" s="533"/>
      <c r="D141" s="533"/>
      <c r="E141" s="586"/>
      <c r="F141" s="586"/>
      <c r="G141" s="631"/>
      <c r="H141" s="582">
        <f t="shared" si="10"/>
        <v>134</v>
      </c>
      <c r="I141" s="632"/>
      <c r="J141" s="490"/>
      <c r="K141" s="491"/>
      <c r="L141" s="491"/>
      <c r="M141" s="490"/>
      <c r="N141" s="490"/>
      <c r="O141" s="491"/>
      <c r="P141" s="491"/>
      <c r="Q141" s="490"/>
      <c r="R141" s="490"/>
      <c r="S141" s="492"/>
      <c r="T141" s="493"/>
      <c r="U141" s="1025">
        <v>0</v>
      </c>
      <c r="V141" s="1026">
        <v>0</v>
      </c>
      <c r="W141" s="1026">
        <v>0</v>
      </c>
      <c r="X141" s="1026">
        <v>0</v>
      </c>
      <c r="Y141" s="1026">
        <v>0</v>
      </c>
      <c r="Z141" s="1026">
        <v>0</v>
      </c>
      <c r="AA141" s="1026">
        <v>0</v>
      </c>
      <c r="AB141" s="1026">
        <v>2430</v>
      </c>
      <c r="AC141" s="473">
        <f>-(3549-3549*3+1774.5*2)</f>
        <v>3549</v>
      </c>
      <c r="AD141" s="1026">
        <v>0</v>
      </c>
      <c r="AE141" s="1026">
        <v>0</v>
      </c>
      <c r="AF141" s="1026">
        <v>2475</v>
      </c>
      <c r="AG141" s="494"/>
      <c r="AH141" s="495"/>
      <c r="AI141" s="496"/>
      <c r="AJ141" s="496"/>
      <c r="AK141" s="495"/>
      <c r="AL141" s="495"/>
      <c r="AM141" s="496"/>
      <c r="AN141" s="496"/>
      <c r="AO141" s="495"/>
      <c r="AP141" s="495"/>
      <c r="AQ141" s="480"/>
      <c r="AR141" s="497"/>
      <c r="AS141" s="498"/>
      <c r="AT141" s="495"/>
      <c r="AU141" s="499"/>
      <c r="AV141" s="499"/>
      <c r="AW141" s="495"/>
      <c r="AX141" s="495"/>
      <c r="AY141" s="496"/>
      <c r="AZ141" s="496"/>
      <c r="BA141" s="495"/>
      <c r="BB141" s="495"/>
      <c r="BC141" s="495"/>
      <c r="BD141" s="500"/>
      <c r="BE141" s="482">
        <f>(AG141)-(AS141)</f>
        <v>0</v>
      </c>
      <c r="BF141" s="482">
        <f>SUM($AG141:AH141)-SUM($AS141:AT141)</f>
        <v>0</v>
      </c>
      <c r="BG141" s="482">
        <f>SUM($AG141:AI141)-SUM($AS141:AU141)</f>
        <v>0</v>
      </c>
      <c r="BH141" s="482">
        <f>SUM($AG141:AJ141)-SUM($AS141:AV141)</f>
        <v>0</v>
      </c>
      <c r="BI141" s="482">
        <f>SUM($AG141:AK141)-SUM($AS141:AW141)</f>
        <v>0</v>
      </c>
      <c r="BJ141" s="482">
        <f>SUM($AG141:AL141)-SUM($AS141:AX141)</f>
        <v>0</v>
      </c>
      <c r="BK141" s="482">
        <f>SUM($AG141:AM141)-SUM($AS141:AY141)</f>
        <v>0</v>
      </c>
      <c r="BL141" s="482">
        <f>SUM($AG141:AN141)-SUM($AS141:AZ141)</f>
        <v>0</v>
      </c>
      <c r="BM141" s="482">
        <f>SUM($AG141:AO141)-SUM($AS141:BA141)</f>
        <v>0</v>
      </c>
      <c r="BN141" s="482">
        <f>SUM($AG141:AP141)-SUM($AS141:BB141)</f>
        <v>0</v>
      </c>
      <c r="BO141" s="482">
        <f>SUM($AG141:AQ141)-SUM($AS141:BC141)</f>
        <v>0</v>
      </c>
      <c r="BP141" s="483">
        <f>SUM($AG141:AR141)-SUM($AS141:BD141)</f>
        <v>0</v>
      </c>
      <c r="BQ141" s="484">
        <f>(AS141)</f>
        <v>0</v>
      </c>
      <c r="BR141" s="482">
        <f>SUM($AS141:AT141)</f>
        <v>0</v>
      </c>
      <c r="BS141" s="482">
        <f>SUM($AS141:AU141)</f>
        <v>0</v>
      </c>
      <c r="BT141" s="482">
        <f>SUM($AS141:AV141)</f>
        <v>0</v>
      </c>
      <c r="BU141" s="482">
        <f>SUM($AS141:AW141)</f>
        <v>0</v>
      </c>
      <c r="BV141" s="482">
        <f>SUM($AS141:AX141)</f>
        <v>0</v>
      </c>
      <c r="BW141" s="482">
        <f>SUM($AS141:AY141)</f>
        <v>0</v>
      </c>
      <c r="BX141" s="482">
        <f>SUM($AS141:AZ141)</f>
        <v>0</v>
      </c>
      <c r="BY141" s="482">
        <f>SUM($AS141:BA141)</f>
        <v>0</v>
      </c>
      <c r="BZ141" s="482">
        <f>SUM($AS141:BB141)</f>
        <v>0</v>
      </c>
      <c r="CA141" s="482">
        <f>SUM($AS141:BC141)</f>
        <v>0</v>
      </c>
      <c r="CB141" s="483">
        <f>SUM($AS141:BD141)</f>
        <v>0</v>
      </c>
    </row>
    <row r="142" spans="1:80" s="471" customFormat="1" ht="13">
      <c r="A142" s="471">
        <f t="shared" si="13"/>
        <v>133</v>
      </c>
      <c r="B142" s="633"/>
      <c r="C142" s="592"/>
      <c r="D142" s="592"/>
      <c r="E142" s="586"/>
      <c r="F142" s="634" t="s">
        <v>103</v>
      </c>
      <c r="G142" s="635">
        <f>SUM(G10:G141)</f>
        <v>13256</v>
      </c>
      <c r="H142" s="582">
        <f t="shared" si="10"/>
        <v>135</v>
      </c>
      <c r="I142" s="501">
        <f t="shared" ref="I142:AN142" si="14">SUM(I10:I141)</f>
        <v>13256</v>
      </c>
      <c r="J142" s="502">
        <f t="shared" si="14"/>
        <v>13256</v>
      </c>
      <c r="K142" s="502">
        <f t="shared" si="14"/>
        <v>13256</v>
      </c>
      <c r="L142" s="502">
        <f t="shared" si="14"/>
        <v>13256</v>
      </c>
      <c r="M142" s="502">
        <f t="shared" si="14"/>
        <v>13256</v>
      </c>
      <c r="N142" s="502">
        <f t="shared" si="14"/>
        <v>13256</v>
      </c>
      <c r="O142" s="502">
        <f t="shared" si="14"/>
        <v>12056</v>
      </c>
      <c r="P142" s="502">
        <f t="shared" si="14"/>
        <v>12056</v>
      </c>
      <c r="Q142" s="502">
        <f t="shared" si="14"/>
        <v>12056</v>
      </c>
      <c r="R142" s="502">
        <f t="shared" si="14"/>
        <v>12056</v>
      </c>
      <c r="S142" s="502">
        <f t="shared" si="14"/>
        <v>12056</v>
      </c>
      <c r="T142" s="503">
        <f t="shared" si="14"/>
        <v>12056</v>
      </c>
      <c r="U142" s="504">
        <f t="shared" si="14"/>
        <v>58991.060099999995</v>
      </c>
      <c r="V142" s="502">
        <f t="shared" si="14"/>
        <v>58991.060099999995</v>
      </c>
      <c r="W142" s="502">
        <f t="shared" si="14"/>
        <v>59754.200099999995</v>
      </c>
      <c r="X142" s="502">
        <f t="shared" si="14"/>
        <v>59754.200099999995</v>
      </c>
      <c r="Y142" s="502">
        <f t="shared" si="14"/>
        <v>59754.200099999995</v>
      </c>
      <c r="Z142" s="502">
        <f t="shared" si="14"/>
        <v>59890.700099999995</v>
      </c>
      <c r="AA142" s="502">
        <f t="shared" si="14"/>
        <v>54675.570099999997</v>
      </c>
      <c r="AB142" s="502">
        <f t="shared" si="14"/>
        <v>52245.570099999997</v>
      </c>
      <c r="AC142" s="502">
        <f>SUM(AC10:AC141)</f>
        <v>51596.830100000006</v>
      </c>
      <c r="AD142" s="502">
        <f t="shared" si="14"/>
        <v>53081.970099999999</v>
      </c>
      <c r="AE142" s="502">
        <f t="shared" si="14"/>
        <v>52245.570099999997</v>
      </c>
      <c r="AF142" s="502">
        <f t="shared" si="14"/>
        <v>50357.470100000006</v>
      </c>
      <c r="AG142" s="501">
        <f t="shared" si="14"/>
        <v>13256</v>
      </c>
      <c r="AH142" s="502">
        <f t="shared" si="14"/>
        <v>13256</v>
      </c>
      <c r="AI142" s="502">
        <f t="shared" si="14"/>
        <v>13256</v>
      </c>
      <c r="AJ142" s="502">
        <f t="shared" si="14"/>
        <v>13256</v>
      </c>
      <c r="AK142" s="502">
        <f t="shared" si="14"/>
        <v>13256</v>
      </c>
      <c r="AL142" s="502">
        <f t="shared" si="14"/>
        <v>13256</v>
      </c>
      <c r="AM142" s="502">
        <f t="shared" si="14"/>
        <v>13256</v>
      </c>
      <c r="AN142" s="502">
        <f t="shared" si="14"/>
        <v>13256</v>
      </c>
      <c r="AO142" s="502">
        <f t="shared" ref="AO142:BT142" si="15">SUM(AO10:AO141)</f>
        <v>13256</v>
      </c>
      <c r="AP142" s="502">
        <f t="shared" si="15"/>
        <v>13256</v>
      </c>
      <c r="AQ142" s="502">
        <f t="shared" si="15"/>
        <v>13256</v>
      </c>
      <c r="AR142" s="503">
        <f t="shared" si="15"/>
        <v>13256</v>
      </c>
      <c r="AS142" s="504">
        <f t="shared" si="15"/>
        <v>58991</v>
      </c>
      <c r="AT142" s="502">
        <f t="shared" si="15"/>
        <v>58991</v>
      </c>
      <c r="AU142" s="502">
        <f t="shared" si="15"/>
        <v>59754</v>
      </c>
      <c r="AV142" s="502">
        <f t="shared" si="15"/>
        <v>59754</v>
      </c>
      <c r="AW142" s="502">
        <f t="shared" si="15"/>
        <v>59754</v>
      </c>
      <c r="AX142" s="502">
        <f t="shared" si="15"/>
        <v>59890</v>
      </c>
      <c r="AY142" s="502">
        <f t="shared" si="15"/>
        <v>60575</v>
      </c>
      <c r="AZ142" s="502">
        <f t="shared" si="15"/>
        <v>60575</v>
      </c>
      <c r="BA142" s="502">
        <f t="shared" si="15"/>
        <v>60575</v>
      </c>
      <c r="BB142" s="502">
        <f t="shared" si="15"/>
        <v>60575</v>
      </c>
      <c r="BC142" s="502">
        <f t="shared" si="15"/>
        <v>60575</v>
      </c>
      <c r="BD142" s="505">
        <f t="shared" si="15"/>
        <v>61163</v>
      </c>
      <c r="BE142" s="506">
        <f t="shared" si="15"/>
        <v>58991.060099999995</v>
      </c>
      <c r="BF142" s="506">
        <f t="shared" si="15"/>
        <v>117982.12019999999</v>
      </c>
      <c r="BG142" s="506">
        <f t="shared" si="15"/>
        <v>177736.32030000002</v>
      </c>
      <c r="BH142" s="506">
        <f t="shared" si="15"/>
        <v>237490.52039999998</v>
      </c>
      <c r="BI142" s="506">
        <f t="shared" si="15"/>
        <v>297244.7205</v>
      </c>
      <c r="BJ142" s="506">
        <f t="shared" si="15"/>
        <v>357135.42060000007</v>
      </c>
      <c r="BK142" s="506">
        <f t="shared" si="15"/>
        <v>411810.99069999997</v>
      </c>
      <c r="BL142" s="506">
        <f t="shared" si="15"/>
        <v>461626.56079999992</v>
      </c>
      <c r="BM142" s="506">
        <f t="shared" si="15"/>
        <v>509674.3909</v>
      </c>
      <c r="BN142" s="506">
        <f t="shared" si="15"/>
        <v>562756.36100000003</v>
      </c>
      <c r="BO142" s="506">
        <f t="shared" si="15"/>
        <v>615001.93109999993</v>
      </c>
      <c r="BP142" s="507">
        <f t="shared" si="15"/>
        <v>662884.40120000008</v>
      </c>
      <c r="BQ142" s="508">
        <f t="shared" si="15"/>
        <v>58991</v>
      </c>
      <c r="BR142" s="506">
        <f t="shared" si="15"/>
        <v>117982</v>
      </c>
      <c r="BS142" s="506">
        <f t="shared" si="15"/>
        <v>177736</v>
      </c>
      <c r="BT142" s="506">
        <f t="shared" si="15"/>
        <v>237490</v>
      </c>
      <c r="BU142" s="506">
        <f t="shared" ref="BU142:CB142" si="16">SUM(BU10:BU141)</f>
        <v>297244</v>
      </c>
      <c r="BV142" s="506">
        <f t="shared" si="16"/>
        <v>357134</v>
      </c>
      <c r="BW142" s="506">
        <f t="shared" si="16"/>
        <v>417709</v>
      </c>
      <c r="BX142" s="506">
        <f t="shared" si="16"/>
        <v>478284</v>
      </c>
      <c r="BY142" s="506">
        <f t="shared" si="16"/>
        <v>538859</v>
      </c>
      <c r="BZ142" s="506">
        <f t="shared" si="16"/>
        <v>599434</v>
      </c>
      <c r="CA142" s="506">
        <f t="shared" si="16"/>
        <v>660009</v>
      </c>
      <c r="CB142" s="507">
        <f t="shared" si="16"/>
        <v>721172</v>
      </c>
    </row>
    <row r="143" spans="1:80" s="471" customFormat="1">
      <c r="A143" s="471">
        <f t="shared" si="13"/>
        <v>134</v>
      </c>
      <c r="B143" s="628"/>
      <c r="C143" s="533"/>
      <c r="D143" s="533"/>
      <c r="E143" s="586"/>
      <c r="F143" s="586"/>
      <c r="G143" s="631"/>
      <c r="H143" s="582">
        <f t="shared" si="10"/>
        <v>136</v>
      </c>
      <c r="I143" s="494"/>
      <c r="J143" s="495"/>
      <c r="K143" s="496"/>
      <c r="L143" s="496"/>
      <c r="M143" s="495"/>
      <c r="N143" s="495"/>
      <c r="O143" s="496"/>
      <c r="P143" s="496"/>
      <c r="Q143" s="495"/>
      <c r="R143" s="495"/>
      <c r="S143" s="480"/>
      <c r="T143" s="497"/>
      <c r="U143" s="509"/>
      <c r="V143" s="496"/>
      <c r="W143" s="496"/>
      <c r="X143" s="496"/>
      <c r="Y143" s="496"/>
      <c r="Z143" s="496"/>
      <c r="AA143" s="496"/>
      <c r="AB143" s="496"/>
      <c r="AC143" s="496"/>
      <c r="AD143" s="496"/>
      <c r="AE143" s="496"/>
      <c r="AF143" s="496"/>
      <c r="AG143" s="494"/>
      <c r="AH143" s="495"/>
      <c r="AI143" s="496"/>
      <c r="AJ143" s="496"/>
      <c r="AK143" s="495"/>
      <c r="AL143" s="495"/>
      <c r="AM143" s="496"/>
      <c r="AN143" s="496"/>
      <c r="AO143" s="495"/>
      <c r="AP143" s="495"/>
      <c r="AQ143" s="480"/>
      <c r="AR143" s="497"/>
      <c r="AS143" s="498"/>
      <c r="AT143" s="495"/>
      <c r="AU143" s="499"/>
      <c r="AV143" s="499"/>
      <c r="AW143" s="495"/>
      <c r="AX143" s="495"/>
      <c r="AY143" s="496"/>
      <c r="AZ143" s="496"/>
      <c r="BA143" s="495"/>
      <c r="BB143" s="495"/>
      <c r="BC143" s="495"/>
      <c r="BD143" s="500"/>
      <c r="BE143" s="482"/>
      <c r="BF143" s="482"/>
      <c r="BG143" s="482"/>
      <c r="BH143" s="482"/>
      <c r="BI143" s="482"/>
      <c r="BJ143" s="482"/>
      <c r="BK143" s="482"/>
      <c r="BL143" s="482"/>
      <c r="BM143" s="482"/>
      <c r="BN143" s="482"/>
      <c r="BO143" s="482"/>
      <c r="BP143" s="483"/>
      <c r="BQ143" s="484"/>
      <c r="BR143" s="482"/>
      <c r="BS143" s="482"/>
      <c r="BT143" s="482"/>
      <c r="BU143" s="482"/>
      <c r="BV143" s="482"/>
      <c r="BW143" s="482"/>
      <c r="BX143" s="482"/>
      <c r="BY143" s="482"/>
      <c r="BZ143" s="482"/>
      <c r="CA143" s="482"/>
      <c r="CB143" s="483"/>
    </row>
    <row r="144" spans="1:80" s="471" customFormat="1" ht="13">
      <c r="A144" s="471">
        <f t="shared" si="13"/>
        <v>135</v>
      </c>
      <c r="B144" s="597" t="s">
        <v>104</v>
      </c>
      <c r="C144" s="533"/>
      <c r="D144" s="533"/>
      <c r="E144" s="586"/>
      <c r="F144" s="586"/>
      <c r="G144" s="631"/>
      <c r="H144" s="582">
        <f t="shared" si="10"/>
        <v>137</v>
      </c>
      <c r="I144" s="494"/>
      <c r="J144" s="495"/>
      <c r="K144" s="496"/>
      <c r="L144" s="496"/>
      <c r="M144" s="495"/>
      <c r="N144" s="495"/>
      <c r="O144" s="496"/>
      <c r="P144" s="496"/>
      <c r="Q144" s="495"/>
      <c r="R144" s="495"/>
      <c r="S144" s="480"/>
      <c r="T144" s="497"/>
      <c r="U144" s="509"/>
      <c r="V144" s="496"/>
      <c r="W144" s="496"/>
      <c r="X144" s="496"/>
      <c r="Y144" s="496"/>
      <c r="Z144" s="496"/>
      <c r="AA144" s="496"/>
      <c r="AB144" s="496"/>
      <c r="AC144" s="496"/>
      <c r="AD144" s="496"/>
      <c r="AE144" s="496"/>
      <c r="AF144" s="496"/>
      <c r="AG144" s="494"/>
      <c r="AH144" s="495"/>
      <c r="AI144" s="496"/>
      <c r="AJ144" s="496"/>
      <c r="AK144" s="495"/>
      <c r="AL144" s="495"/>
      <c r="AM144" s="496"/>
      <c r="AN144" s="496"/>
      <c r="AO144" s="495"/>
      <c r="AP144" s="495"/>
      <c r="AQ144" s="480"/>
      <c r="AR144" s="497"/>
      <c r="AS144" s="498"/>
      <c r="AT144" s="495"/>
      <c r="AU144" s="499"/>
      <c r="AV144" s="499"/>
      <c r="AW144" s="495"/>
      <c r="AX144" s="495"/>
      <c r="AY144" s="496"/>
      <c r="AZ144" s="496"/>
      <c r="BA144" s="495"/>
      <c r="BB144" s="495"/>
      <c r="BC144" s="495"/>
      <c r="BD144" s="500"/>
      <c r="BE144" s="482"/>
      <c r="BF144" s="482"/>
      <c r="BG144" s="482"/>
      <c r="BH144" s="482"/>
      <c r="BI144" s="482"/>
      <c r="BJ144" s="482"/>
      <c r="BK144" s="482"/>
      <c r="BL144" s="482"/>
      <c r="BM144" s="482"/>
      <c r="BN144" s="482"/>
      <c r="BO144" s="482"/>
      <c r="BP144" s="483"/>
      <c r="BQ144" s="484"/>
      <c r="BR144" s="482"/>
      <c r="BS144" s="482"/>
      <c r="BT144" s="482"/>
      <c r="BU144" s="482"/>
      <c r="BV144" s="482"/>
      <c r="BW144" s="482"/>
      <c r="BX144" s="482"/>
      <c r="BY144" s="482"/>
      <c r="BZ144" s="482"/>
      <c r="CA144" s="482"/>
      <c r="CB144" s="483"/>
    </row>
    <row r="145" spans="1:80" s="471" customFormat="1">
      <c r="A145" s="471">
        <f t="shared" si="13"/>
        <v>136</v>
      </c>
      <c r="B145" s="628" t="s">
        <v>106</v>
      </c>
      <c r="C145" s="533">
        <v>36161</v>
      </c>
      <c r="D145" s="533">
        <v>41882</v>
      </c>
      <c r="E145" s="427"/>
      <c r="F145" s="585" t="s">
        <v>107</v>
      </c>
      <c r="G145" s="581">
        <v>8000</v>
      </c>
      <c r="H145" s="582">
        <f t="shared" si="10"/>
        <v>138</v>
      </c>
      <c r="I145" s="524">
        <v>8000</v>
      </c>
      <c r="J145" s="473">
        <v>8000</v>
      </c>
      <c r="K145" s="473">
        <v>8000</v>
      </c>
      <c r="L145" s="473">
        <v>8000</v>
      </c>
      <c r="M145" s="473">
        <v>8000</v>
      </c>
      <c r="N145" s="473">
        <v>8000</v>
      </c>
      <c r="O145" s="473">
        <v>8000</v>
      </c>
      <c r="P145" s="473">
        <v>8000</v>
      </c>
      <c r="Q145" s="473">
        <v>8000</v>
      </c>
      <c r="R145" s="473">
        <v>8000</v>
      </c>
      <c r="S145" s="473">
        <v>8000</v>
      </c>
      <c r="T145" s="473">
        <v>8000</v>
      </c>
      <c r="U145" s="475">
        <v>8333.33</v>
      </c>
      <c r="V145" s="473">
        <v>8333.33</v>
      </c>
      <c r="W145" s="473">
        <v>8333.33</v>
      </c>
      <c r="X145" s="473">
        <v>8333.33</v>
      </c>
      <c r="Y145" s="473">
        <v>8333.33</v>
      </c>
      <c r="Z145" s="473">
        <v>8333.33</v>
      </c>
      <c r="AA145" s="473">
        <v>10000</v>
      </c>
      <c r="AB145" s="473">
        <v>10000</v>
      </c>
      <c r="AC145" s="473">
        <v>10000</v>
      </c>
      <c r="AD145" s="473">
        <v>10000</v>
      </c>
      <c r="AE145" s="473">
        <v>10000</v>
      </c>
      <c r="AF145" s="473">
        <v>10000</v>
      </c>
      <c r="AG145" s="510">
        <v>8000</v>
      </c>
      <c r="AH145" s="480">
        <v>8000</v>
      </c>
      <c r="AI145" s="480">
        <v>8000</v>
      </c>
      <c r="AJ145" s="480">
        <v>8000</v>
      </c>
      <c r="AK145" s="480">
        <v>8000</v>
      </c>
      <c r="AL145" s="480">
        <v>8000</v>
      </c>
      <c r="AM145" s="480">
        <v>8000</v>
      </c>
      <c r="AN145" s="480">
        <v>8000</v>
      </c>
      <c r="AO145" s="480">
        <v>8000</v>
      </c>
      <c r="AP145" s="480">
        <v>8000</v>
      </c>
      <c r="AQ145" s="480">
        <v>8000</v>
      </c>
      <c r="AR145" s="497">
        <v>8000</v>
      </c>
      <c r="AS145" s="498">
        <v>8334</v>
      </c>
      <c r="AT145" s="495">
        <v>8334</v>
      </c>
      <c r="AU145" s="495">
        <v>8334</v>
      </c>
      <c r="AV145" s="495">
        <v>8334</v>
      </c>
      <c r="AW145" s="495">
        <v>8334</v>
      </c>
      <c r="AX145" s="495">
        <v>8334</v>
      </c>
      <c r="AY145" s="495">
        <v>10000</v>
      </c>
      <c r="AZ145" s="495">
        <v>10000</v>
      </c>
      <c r="BA145" s="495">
        <v>10000</v>
      </c>
      <c r="BB145" s="495">
        <v>10000</v>
      </c>
      <c r="BC145" s="495">
        <v>10000</v>
      </c>
      <c r="BD145" s="500">
        <v>10000</v>
      </c>
      <c r="BE145" s="482">
        <f t="shared" ref="BE145:BE176" si="17">(U145)</f>
        <v>8333.33</v>
      </c>
      <c r="BF145" s="482">
        <f>SUM($U145:V145)</f>
        <v>16666.66</v>
      </c>
      <c r="BG145" s="482">
        <f>SUM($U145:W145)</f>
        <v>24999.989999999998</v>
      </c>
      <c r="BH145" s="482">
        <f>SUM($U145:X145)</f>
        <v>33333.32</v>
      </c>
      <c r="BI145" s="482">
        <f>SUM($U145:Y145)</f>
        <v>41666.65</v>
      </c>
      <c r="BJ145" s="482">
        <f>SUM($U145:Z145)</f>
        <v>49999.98</v>
      </c>
      <c r="BK145" s="482">
        <f>SUM($U145:AA145)</f>
        <v>59999.98</v>
      </c>
      <c r="BL145" s="482">
        <f>SUM($U145:AB145)</f>
        <v>69999.98000000001</v>
      </c>
      <c r="BM145" s="482">
        <f>SUM($U145:AC145)</f>
        <v>79999.98000000001</v>
      </c>
      <c r="BN145" s="482">
        <f>SUM($U145:AD145)</f>
        <v>89999.98000000001</v>
      </c>
      <c r="BO145" s="482">
        <f>SUM($U145:AE145)</f>
        <v>99999.98000000001</v>
      </c>
      <c r="BP145" s="483">
        <f>SUM($U145:AF145)</f>
        <v>109999.98000000001</v>
      </c>
      <c r="BQ145" s="484">
        <f t="shared" ref="BQ145:BQ176" si="18">(AS145)</f>
        <v>8334</v>
      </c>
      <c r="BR145" s="482">
        <f>SUM($AS145:AT145)</f>
        <v>16668</v>
      </c>
      <c r="BS145" s="482">
        <f>SUM($AS145:AU145)</f>
        <v>25002</v>
      </c>
      <c r="BT145" s="482">
        <f>SUM($AS145:AV145)</f>
        <v>33336</v>
      </c>
      <c r="BU145" s="482">
        <f>SUM($AS145:AW145)</f>
        <v>41670</v>
      </c>
      <c r="BV145" s="482">
        <f>SUM($AS145:AX145)</f>
        <v>50004</v>
      </c>
      <c r="BW145" s="482">
        <f>SUM($AS145:AY145)</f>
        <v>60004</v>
      </c>
      <c r="BX145" s="482">
        <f>SUM($AS145:AZ145)</f>
        <v>70004</v>
      </c>
      <c r="BY145" s="482">
        <f>SUM($AS145:BA145)</f>
        <v>80004</v>
      </c>
      <c r="BZ145" s="482">
        <f>SUM($AS145:BB145)</f>
        <v>90004</v>
      </c>
      <c r="CA145" s="482">
        <f>SUM($AS145:BC145)</f>
        <v>100004</v>
      </c>
      <c r="CB145" s="483">
        <f>SUM($AS145:BD145)</f>
        <v>110004</v>
      </c>
    </row>
    <row r="146" spans="1:80" s="471" customFormat="1">
      <c r="A146" s="471">
        <f t="shared" si="13"/>
        <v>137</v>
      </c>
      <c r="B146" s="628" t="s">
        <v>109</v>
      </c>
      <c r="C146" s="533">
        <v>31564</v>
      </c>
      <c r="D146" s="533">
        <v>42521</v>
      </c>
      <c r="E146" s="427"/>
      <c r="F146" s="585" t="s">
        <v>110</v>
      </c>
      <c r="G146" s="581">
        <v>28734</v>
      </c>
      <c r="H146" s="582">
        <f t="shared" si="10"/>
        <v>139</v>
      </c>
      <c r="I146" s="524">
        <v>28734</v>
      </c>
      <c r="J146" s="473">
        <v>28734</v>
      </c>
      <c r="K146" s="473">
        <v>28734</v>
      </c>
      <c r="L146" s="473">
        <v>28734</v>
      </c>
      <c r="M146" s="473">
        <v>28734</v>
      </c>
      <c r="N146" s="473">
        <v>28734</v>
      </c>
      <c r="O146" s="473">
        <v>28734</v>
      </c>
      <c r="P146" s="473">
        <v>28734</v>
      </c>
      <c r="Q146" s="473">
        <v>28734</v>
      </c>
      <c r="R146" s="473">
        <v>28734</v>
      </c>
      <c r="S146" s="473">
        <v>28734</v>
      </c>
      <c r="T146" s="473">
        <v>28734</v>
      </c>
      <c r="U146" s="475">
        <v>57468</v>
      </c>
      <c r="V146" s="473">
        <v>57468</v>
      </c>
      <c r="W146" s="473">
        <v>57468</v>
      </c>
      <c r="X146" s="473">
        <v>57468</v>
      </c>
      <c r="Y146" s="473">
        <v>57468</v>
      </c>
      <c r="Z146" s="473">
        <v>57468</v>
      </c>
      <c r="AA146" s="473">
        <v>57468</v>
      </c>
      <c r="AB146" s="473">
        <v>57468</v>
      </c>
      <c r="AC146" s="473">
        <v>57468</v>
      </c>
      <c r="AD146" s="473">
        <v>57468</v>
      </c>
      <c r="AE146" s="473">
        <v>57468</v>
      </c>
      <c r="AF146" s="473">
        <v>57468</v>
      </c>
      <c r="AG146" s="510">
        <v>28734</v>
      </c>
      <c r="AH146" s="480">
        <v>28734</v>
      </c>
      <c r="AI146" s="480">
        <v>28734</v>
      </c>
      <c r="AJ146" s="480">
        <v>28734</v>
      </c>
      <c r="AK146" s="480">
        <v>28734</v>
      </c>
      <c r="AL146" s="480">
        <v>28734</v>
      </c>
      <c r="AM146" s="480">
        <v>28734</v>
      </c>
      <c r="AN146" s="480">
        <v>28734</v>
      </c>
      <c r="AO146" s="480">
        <v>28734</v>
      </c>
      <c r="AP146" s="480">
        <v>28734</v>
      </c>
      <c r="AQ146" s="480">
        <v>28734</v>
      </c>
      <c r="AR146" s="497">
        <v>28734</v>
      </c>
      <c r="AS146" s="498">
        <v>57468</v>
      </c>
      <c r="AT146" s="495">
        <v>57468</v>
      </c>
      <c r="AU146" s="495">
        <v>57468</v>
      </c>
      <c r="AV146" s="495">
        <v>57468</v>
      </c>
      <c r="AW146" s="495">
        <v>57468</v>
      </c>
      <c r="AX146" s="495">
        <v>57468</v>
      </c>
      <c r="AY146" s="495">
        <v>57468</v>
      </c>
      <c r="AZ146" s="495">
        <v>57468</v>
      </c>
      <c r="BA146" s="495">
        <v>57468</v>
      </c>
      <c r="BB146" s="495">
        <v>57468</v>
      </c>
      <c r="BC146" s="495">
        <v>57468</v>
      </c>
      <c r="BD146" s="500">
        <v>57468</v>
      </c>
      <c r="BE146" s="482">
        <f t="shared" si="17"/>
        <v>57468</v>
      </c>
      <c r="BF146" s="482">
        <f>SUM($U146:V146)</f>
        <v>114936</v>
      </c>
      <c r="BG146" s="482">
        <f>SUM($U146:W146)</f>
        <v>172404</v>
      </c>
      <c r="BH146" s="482">
        <f>SUM($U146:X146)</f>
        <v>229872</v>
      </c>
      <c r="BI146" s="482">
        <f>SUM($U146:Y146)</f>
        <v>287340</v>
      </c>
      <c r="BJ146" s="482">
        <f>SUM($U146:Z146)</f>
        <v>344808</v>
      </c>
      <c r="BK146" s="482">
        <f>SUM($U146:AA146)</f>
        <v>402276</v>
      </c>
      <c r="BL146" s="482">
        <f>SUM($U146:AB146)</f>
        <v>459744</v>
      </c>
      <c r="BM146" s="482">
        <f>SUM($U146:AC146)</f>
        <v>517212</v>
      </c>
      <c r="BN146" s="482">
        <f>SUM($U146:AD146)</f>
        <v>574680</v>
      </c>
      <c r="BO146" s="482">
        <f>SUM($U146:AE146)</f>
        <v>632148</v>
      </c>
      <c r="BP146" s="483">
        <f>SUM($U146:AF146)</f>
        <v>689616</v>
      </c>
      <c r="BQ146" s="484">
        <f t="shared" si="18"/>
        <v>57468</v>
      </c>
      <c r="BR146" s="482">
        <f>SUM($AS146:AT146)</f>
        <v>114936</v>
      </c>
      <c r="BS146" s="482">
        <f>SUM($AS146:AU146)</f>
        <v>172404</v>
      </c>
      <c r="BT146" s="482">
        <f>SUM($AS146:AV146)</f>
        <v>229872</v>
      </c>
      <c r="BU146" s="482">
        <f>SUM($AS146:AW146)</f>
        <v>287340</v>
      </c>
      <c r="BV146" s="482">
        <f>SUM($AS146:AX146)</f>
        <v>344808</v>
      </c>
      <c r="BW146" s="482">
        <f>SUM($AS146:AY146)</f>
        <v>402276</v>
      </c>
      <c r="BX146" s="482">
        <f>SUM($AS146:AZ146)</f>
        <v>459744</v>
      </c>
      <c r="BY146" s="482">
        <f>SUM($AS146:BA146)</f>
        <v>517212</v>
      </c>
      <c r="BZ146" s="482">
        <f>SUM($AS146:BB146)</f>
        <v>574680</v>
      </c>
      <c r="CA146" s="482">
        <f>SUM($AS146:BC146)</f>
        <v>632148</v>
      </c>
      <c r="CB146" s="483">
        <f>SUM($AS146:BD146)</f>
        <v>689616</v>
      </c>
    </row>
    <row r="147" spans="1:80" s="471" customFormat="1">
      <c r="A147" s="471">
        <f t="shared" si="13"/>
        <v>138</v>
      </c>
      <c r="B147" s="628" t="s">
        <v>112</v>
      </c>
      <c r="C147" s="533">
        <v>35324</v>
      </c>
      <c r="D147" s="533">
        <v>40575</v>
      </c>
      <c r="E147" s="427"/>
      <c r="F147" s="585" t="s">
        <v>113</v>
      </c>
      <c r="G147" s="581">
        <v>8986</v>
      </c>
      <c r="H147" s="582">
        <f t="shared" si="10"/>
        <v>140</v>
      </c>
      <c r="I147" s="524">
        <v>8986</v>
      </c>
      <c r="J147" s="473">
        <v>8986</v>
      </c>
      <c r="K147" s="473">
        <v>8986</v>
      </c>
      <c r="L147" s="473">
        <v>8986</v>
      </c>
      <c r="M147" s="473">
        <v>8986</v>
      </c>
      <c r="N147" s="473">
        <v>8986</v>
      </c>
      <c r="O147" s="473">
        <v>8986</v>
      </c>
      <c r="P147" s="473">
        <v>8986</v>
      </c>
      <c r="Q147" s="473">
        <v>8986</v>
      </c>
      <c r="R147" s="473">
        <v>8986</v>
      </c>
      <c r="S147" s="473">
        <v>8986</v>
      </c>
      <c r="T147" s="473">
        <v>8986</v>
      </c>
      <c r="U147" s="475">
        <v>14108.71</v>
      </c>
      <c r="V147" s="473">
        <v>14108.71</v>
      </c>
      <c r="W147" s="473">
        <v>14108.71</v>
      </c>
      <c r="X147" s="473">
        <v>14699.95</v>
      </c>
      <c r="Y147" s="473">
        <v>14699.95</v>
      </c>
      <c r="Z147" s="473">
        <v>14699.95</v>
      </c>
      <c r="AA147" s="473">
        <v>14699.95</v>
      </c>
      <c r="AB147" s="473">
        <v>14699.95</v>
      </c>
      <c r="AC147" s="473">
        <v>14699.95</v>
      </c>
      <c r="AD147" s="473">
        <v>14699.95</v>
      </c>
      <c r="AE147" s="473">
        <v>14699.95</v>
      </c>
      <c r="AF147" s="473">
        <v>14699.95</v>
      </c>
      <c r="AG147" s="510">
        <v>8986</v>
      </c>
      <c r="AH147" s="480">
        <v>8986</v>
      </c>
      <c r="AI147" s="480">
        <v>8986</v>
      </c>
      <c r="AJ147" s="480">
        <v>8986</v>
      </c>
      <c r="AK147" s="480">
        <v>8986</v>
      </c>
      <c r="AL147" s="480">
        <v>8986</v>
      </c>
      <c r="AM147" s="480">
        <v>8986</v>
      </c>
      <c r="AN147" s="480">
        <v>8986</v>
      </c>
      <c r="AO147" s="480">
        <v>8986</v>
      </c>
      <c r="AP147" s="480">
        <v>8986</v>
      </c>
      <c r="AQ147" s="480">
        <v>8986</v>
      </c>
      <c r="AR147" s="497">
        <v>8986</v>
      </c>
      <c r="AS147" s="498">
        <v>14109</v>
      </c>
      <c r="AT147" s="496">
        <v>14109</v>
      </c>
      <c r="AU147" s="496">
        <v>14109</v>
      </c>
      <c r="AV147" s="495">
        <v>14700</v>
      </c>
      <c r="AW147" s="495">
        <v>14700</v>
      </c>
      <c r="AX147" s="495">
        <v>14700</v>
      </c>
      <c r="AY147" s="495">
        <v>14700</v>
      </c>
      <c r="AZ147" s="495">
        <v>14700</v>
      </c>
      <c r="BA147" s="495">
        <v>14700</v>
      </c>
      <c r="BB147" s="495">
        <v>14700</v>
      </c>
      <c r="BC147" s="495">
        <v>14700</v>
      </c>
      <c r="BD147" s="500">
        <v>14700</v>
      </c>
      <c r="BE147" s="482">
        <f t="shared" si="17"/>
        <v>14108.71</v>
      </c>
      <c r="BF147" s="482">
        <f>SUM($U147:V147)</f>
        <v>28217.42</v>
      </c>
      <c r="BG147" s="482">
        <f>SUM($U147:W147)</f>
        <v>42326.13</v>
      </c>
      <c r="BH147" s="482">
        <f>SUM($U147:X147)</f>
        <v>57026.080000000002</v>
      </c>
      <c r="BI147" s="482">
        <f>SUM($U147:Y147)</f>
        <v>71726.03</v>
      </c>
      <c r="BJ147" s="482">
        <f>SUM($U147:Z147)</f>
        <v>86425.98</v>
      </c>
      <c r="BK147" s="482">
        <f>SUM($U147:AA147)</f>
        <v>101125.93</v>
      </c>
      <c r="BL147" s="482">
        <f>SUM($U147:AB147)</f>
        <v>115825.87999999999</v>
      </c>
      <c r="BM147" s="482">
        <f>SUM($U147:AC147)</f>
        <v>130525.82999999999</v>
      </c>
      <c r="BN147" s="482">
        <f>SUM($U147:AD147)</f>
        <v>145225.78</v>
      </c>
      <c r="BO147" s="482">
        <f>SUM($U147:AE147)</f>
        <v>159925.73000000001</v>
      </c>
      <c r="BP147" s="483">
        <f>SUM($U147:AF147)</f>
        <v>174625.68000000002</v>
      </c>
      <c r="BQ147" s="484">
        <f t="shared" si="18"/>
        <v>14109</v>
      </c>
      <c r="BR147" s="482">
        <f>SUM($AS147:AT147)</f>
        <v>28218</v>
      </c>
      <c r="BS147" s="482">
        <f>SUM($AS147:AU147)</f>
        <v>42327</v>
      </c>
      <c r="BT147" s="482">
        <f>SUM($AS147:AV147)</f>
        <v>57027</v>
      </c>
      <c r="BU147" s="482">
        <f>SUM($AS147:AW147)</f>
        <v>71727</v>
      </c>
      <c r="BV147" s="482">
        <f>SUM($AS147:AX147)</f>
        <v>86427</v>
      </c>
      <c r="BW147" s="482">
        <f>SUM($AS147:AY147)</f>
        <v>101127</v>
      </c>
      <c r="BX147" s="482">
        <f>SUM($AS147:AZ147)</f>
        <v>115827</v>
      </c>
      <c r="BY147" s="482">
        <f>SUM($AS147:BA147)</f>
        <v>130527</v>
      </c>
      <c r="BZ147" s="482">
        <f>SUM($AS147:BB147)</f>
        <v>145227</v>
      </c>
      <c r="CA147" s="482">
        <f>SUM($AS147:BC147)</f>
        <v>159927</v>
      </c>
      <c r="CB147" s="483">
        <f>SUM($AS147:BD147)</f>
        <v>174627</v>
      </c>
    </row>
    <row r="148" spans="1:80" s="471" customFormat="1">
      <c r="A148" s="471">
        <f t="shared" si="13"/>
        <v>139</v>
      </c>
      <c r="B148" s="628" t="s">
        <v>116</v>
      </c>
      <c r="C148" s="533">
        <v>33055</v>
      </c>
      <c r="D148" s="533">
        <v>40359</v>
      </c>
      <c r="E148" s="427"/>
      <c r="F148" s="585" t="s">
        <v>117</v>
      </c>
      <c r="G148" s="581">
        <v>5377</v>
      </c>
      <c r="H148" s="582">
        <f t="shared" si="10"/>
        <v>141</v>
      </c>
      <c r="I148" s="524">
        <v>5377</v>
      </c>
      <c r="J148" s="473">
        <v>5377</v>
      </c>
      <c r="K148" s="473">
        <v>5377</v>
      </c>
      <c r="L148" s="473">
        <v>5377</v>
      </c>
      <c r="M148" s="473">
        <v>5377</v>
      </c>
      <c r="N148" s="473">
        <v>5377</v>
      </c>
      <c r="O148" s="473">
        <v>5377</v>
      </c>
      <c r="P148" s="473">
        <v>5377</v>
      </c>
      <c r="Q148" s="473">
        <v>5377</v>
      </c>
      <c r="R148" s="473">
        <v>5377</v>
      </c>
      <c r="S148" s="473">
        <v>5377</v>
      </c>
      <c r="T148" s="473">
        <v>5377</v>
      </c>
      <c r="U148" s="475">
        <v>25200.21</v>
      </c>
      <c r="V148" s="473">
        <v>25200.21</v>
      </c>
      <c r="W148" s="473">
        <v>25200.21</v>
      </c>
      <c r="X148" s="473">
        <v>25200.21</v>
      </c>
      <c r="Y148" s="473">
        <v>25200.21</v>
      </c>
      <c r="Z148" s="473">
        <v>25200.21</v>
      </c>
      <c r="AA148" s="473">
        <v>25200.21</v>
      </c>
      <c r="AB148" s="473">
        <v>25200.21</v>
      </c>
      <c r="AC148" s="473">
        <v>25200.21</v>
      </c>
      <c r="AD148" s="473">
        <v>25200.21</v>
      </c>
      <c r="AE148" s="473">
        <v>25200.21</v>
      </c>
      <c r="AF148" s="473">
        <v>25200.21</v>
      </c>
      <c r="AG148" s="510">
        <v>5377</v>
      </c>
      <c r="AH148" s="480">
        <v>5377</v>
      </c>
      <c r="AI148" s="480">
        <v>5377</v>
      </c>
      <c r="AJ148" s="480">
        <v>5377</v>
      </c>
      <c r="AK148" s="480">
        <v>5377</v>
      </c>
      <c r="AL148" s="480">
        <v>5377</v>
      </c>
      <c r="AM148" s="480">
        <v>5377</v>
      </c>
      <c r="AN148" s="480">
        <v>5377</v>
      </c>
      <c r="AO148" s="480">
        <v>5377</v>
      </c>
      <c r="AP148" s="480">
        <v>5377</v>
      </c>
      <c r="AQ148" s="480">
        <v>5377</v>
      </c>
      <c r="AR148" s="497">
        <v>5377</v>
      </c>
      <c r="AS148" s="498">
        <v>25200</v>
      </c>
      <c r="AT148" s="495">
        <v>25200</v>
      </c>
      <c r="AU148" s="495">
        <v>25200</v>
      </c>
      <c r="AV148" s="495">
        <v>25200</v>
      </c>
      <c r="AW148" s="495">
        <v>25200</v>
      </c>
      <c r="AX148" s="495">
        <v>25200</v>
      </c>
      <c r="AY148" s="495">
        <v>25200</v>
      </c>
      <c r="AZ148" s="495">
        <v>25200</v>
      </c>
      <c r="BA148" s="495">
        <v>25200</v>
      </c>
      <c r="BB148" s="495">
        <v>25200</v>
      </c>
      <c r="BC148" s="495">
        <v>25200</v>
      </c>
      <c r="BD148" s="500">
        <v>25200</v>
      </c>
      <c r="BE148" s="482">
        <f t="shared" si="17"/>
        <v>25200.21</v>
      </c>
      <c r="BF148" s="482">
        <f>SUM($U148:V148)</f>
        <v>50400.42</v>
      </c>
      <c r="BG148" s="482">
        <f>SUM($U148:W148)</f>
        <v>75600.63</v>
      </c>
      <c r="BH148" s="482">
        <f>SUM($U148:X148)</f>
        <v>100800.84</v>
      </c>
      <c r="BI148" s="482">
        <f>SUM($U148:Y148)</f>
        <v>126001.04999999999</v>
      </c>
      <c r="BJ148" s="482">
        <f>SUM($U148:Z148)</f>
        <v>151201.25999999998</v>
      </c>
      <c r="BK148" s="482">
        <f>SUM($U148:AA148)</f>
        <v>176401.46999999997</v>
      </c>
      <c r="BL148" s="482">
        <f>SUM($U148:AB148)</f>
        <v>201601.67999999996</v>
      </c>
      <c r="BM148" s="482">
        <f>SUM($U148:AC148)</f>
        <v>226801.88999999996</v>
      </c>
      <c r="BN148" s="482">
        <f>SUM($U148:AD148)</f>
        <v>252002.09999999995</v>
      </c>
      <c r="BO148" s="482">
        <f>SUM($U148:AE148)</f>
        <v>277202.30999999994</v>
      </c>
      <c r="BP148" s="483">
        <f>SUM($U148:AF148)</f>
        <v>302402.51999999996</v>
      </c>
      <c r="BQ148" s="484">
        <f t="shared" si="18"/>
        <v>25200</v>
      </c>
      <c r="BR148" s="482">
        <f>SUM($AS148:AT148)</f>
        <v>50400</v>
      </c>
      <c r="BS148" s="482">
        <f>SUM($AS148:AU148)</f>
        <v>75600</v>
      </c>
      <c r="BT148" s="482">
        <f>SUM($AS148:AV148)</f>
        <v>100800</v>
      </c>
      <c r="BU148" s="482">
        <f>SUM($AS148:AW148)</f>
        <v>126000</v>
      </c>
      <c r="BV148" s="482">
        <f>SUM($AS148:AX148)</f>
        <v>151200</v>
      </c>
      <c r="BW148" s="482">
        <f>SUM($AS148:AY148)</f>
        <v>176400</v>
      </c>
      <c r="BX148" s="482">
        <f>SUM($AS148:AZ148)</f>
        <v>201600</v>
      </c>
      <c r="BY148" s="482">
        <f>SUM($AS148:BA148)</f>
        <v>226800</v>
      </c>
      <c r="BZ148" s="482">
        <f>SUM($AS148:BB148)</f>
        <v>252000</v>
      </c>
      <c r="CA148" s="482">
        <f>SUM($AS148:BC148)</f>
        <v>277200</v>
      </c>
      <c r="CB148" s="483">
        <f>SUM($AS148:BD148)</f>
        <v>302400</v>
      </c>
    </row>
    <row r="149" spans="1:80" s="471" customFormat="1" ht="12.75" hidden="1" customHeight="1">
      <c r="A149" s="471">
        <f t="shared" si="13"/>
        <v>140</v>
      </c>
      <c r="B149" s="628"/>
      <c r="C149" s="533"/>
      <c r="D149" s="533"/>
      <c r="E149" s="427"/>
      <c r="F149" s="586"/>
      <c r="G149" s="629"/>
      <c r="H149" s="582">
        <f t="shared" si="10"/>
        <v>142</v>
      </c>
      <c r="I149" s="524"/>
      <c r="J149" s="473"/>
      <c r="K149" s="473"/>
      <c r="L149" s="473"/>
      <c r="M149" s="473"/>
      <c r="N149" s="473"/>
      <c r="O149" s="473"/>
      <c r="P149" s="473"/>
      <c r="Q149" s="473"/>
      <c r="R149" s="473"/>
      <c r="S149" s="473"/>
      <c r="T149" s="474"/>
      <c r="U149" s="475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510"/>
      <c r="AH149" s="495"/>
      <c r="AI149" s="495"/>
      <c r="AJ149" s="495"/>
      <c r="AK149" s="495"/>
      <c r="AL149" s="495"/>
      <c r="AM149" s="495"/>
      <c r="AN149" s="495"/>
      <c r="AO149" s="495"/>
      <c r="AP149" s="495"/>
      <c r="AQ149" s="495"/>
      <c r="AR149" s="497"/>
      <c r="AS149" s="509"/>
      <c r="AT149" s="495"/>
      <c r="AU149" s="495"/>
      <c r="AV149" s="480"/>
      <c r="AW149" s="496"/>
      <c r="AX149" s="495"/>
      <c r="AY149" s="495"/>
      <c r="AZ149" s="496"/>
      <c r="BA149" s="496"/>
      <c r="BB149" s="496"/>
      <c r="BC149" s="496"/>
      <c r="BD149" s="511"/>
      <c r="BE149" s="482">
        <f t="shared" si="17"/>
        <v>0</v>
      </c>
      <c r="BF149" s="482">
        <f>SUM($U149:V149)</f>
        <v>0</v>
      </c>
      <c r="BG149" s="482">
        <f>SUM($U149:W149)</f>
        <v>0</v>
      </c>
      <c r="BH149" s="482">
        <f>SUM($U149:X149)</f>
        <v>0</v>
      </c>
      <c r="BI149" s="482">
        <f>SUM($U149:Y149)</f>
        <v>0</v>
      </c>
      <c r="BJ149" s="482">
        <f>SUM($U149:Z149)</f>
        <v>0</v>
      </c>
      <c r="BK149" s="482">
        <f>SUM($U149:AA149)</f>
        <v>0</v>
      </c>
      <c r="BL149" s="482">
        <f>SUM($U149:AB149)</f>
        <v>0</v>
      </c>
      <c r="BM149" s="482">
        <f>SUM($U149:AC149)</f>
        <v>0</v>
      </c>
      <c r="BN149" s="482">
        <f>SUM($U149:AD149)</f>
        <v>0</v>
      </c>
      <c r="BO149" s="482">
        <f>SUM($U149:AE149)</f>
        <v>0</v>
      </c>
      <c r="BP149" s="483">
        <f>SUM($U149:AF149)</f>
        <v>0</v>
      </c>
      <c r="BQ149" s="484">
        <f t="shared" si="18"/>
        <v>0</v>
      </c>
      <c r="BR149" s="482">
        <f>SUM($AS149:AT149)</f>
        <v>0</v>
      </c>
      <c r="BS149" s="482">
        <f>SUM($AS149:AU149)</f>
        <v>0</v>
      </c>
      <c r="BT149" s="482">
        <f>SUM($AS149:AV149)</f>
        <v>0</v>
      </c>
      <c r="BU149" s="482">
        <f>SUM($AS149:AW149)</f>
        <v>0</v>
      </c>
      <c r="BV149" s="482">
        <f>SUM($AS149:AX149)</f>
        <v>0</v>
      </c>
      <c r="BW149" s="482">
        <f>SUM($AS149:AY149)</f>
        <v>0</v>
      </c>
      <c r="BX149" s="482">
        <f>SUM($AS149:AZ149)</f>
        <v>0</v>
      </c>
      <c r="BY149" s="482">
        <f>SUM($AS149:BA149)</f>
        <v>0</v>
      </c>
      <c r="BZ149" s="482">
        <f>SUM($AS149:BB149)</f>
        <v>0</v>
      </c>
      <c r="CA149" s="482">
        <f>SUM($AS149:BC149)</f>
        <v>0</v>
      </c>
      <c r="CB149" s="483">
        <f>SUM($AS149:BD149)</f>
        <v>0</v>
      </c>
    </row>
    <row r="150" spans="1:80" s="471" customFormat="1" ht="12.75" hidden="1" customHeight="1">
      <c r="A150" s="471">
        <f t="shared" si="13"/>
        <v>141</v>
      </c>
      <c r="B150" s="628"/>
      <c r="C150" s="533"/>
      <c r="D150" s="533"/>
      <c r="E150" s="427"/>
      <c r="F150" s="586"/>
      <c r="G150" s="629"/>
      <c r="H150" s="582">
        <f t="shared" si="10"/>
        <v>143</v>
      </c>
      <c r="I150" s="524"/>
      <c r="J150" s="473"/>
      <c r="K150" s="473"/>
      <c r="L150" s="473"/>
      <c r="M150" s="473"/>
      <c r="N150" s="473"/>
      <c r="O150" s="473"/>
      <c r="P150" s="473"/>
      <c r="Q150" s="473"/>
      <c r="R150" s="473"/>
      <c r="S150" s="473"/>
      <c r="T150" s="474"/>
      <c r="U150" s="475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510"/>
      <c r="AH150" s="495"/>
      <c r="AI150" s="495"/>
      <c r="AJ150" s="495"/>
      <c r="AK150" s="495"/>
      <c r="AL150" s="495"/>
      <c r="AM150" s="495"/>
      <c r="AN150" s="495"/>
      <c r="AO150" s="495"/>
      <c r="AP150" s="495"/>
      <c r="AQ150" s="495"/>
      <c r="AR150" s="497"/>
      <c r="AS150" s="509"/>
      <c r="AT150" s="495"/>
      <c r="AU150" s="495"/>
      <c r="AV150" s="480"/>
      <c r="AW150" s="496"/>
      <c r="AX150" s="495"/>
      <c r="AY150" s="495"/>
      <c r="AZ150" s="496"/>
      <c r="BA150" s="496"/>
      <c r="BB150" s="496"/>
      <c r="BC150" s="496"/>
      <c r="BD150" s="511"/>
      <c r="BE150" s="482">
        <f t="shared" si="17"/>
        <v>0</v>
      </c>
      <c r="BF150" s="482">
        <f>SUM($U150:V150)</f>
        <v>0</v>
      </c>
      <c r="BG150" s="482">
        <f>SUM($U150:W150)</f>
        <v>0</v>
      </c>
      <c r="BH150" s="482">
        <f>SUM($U150:X150)</f>
        <v>0</v>
      </c>
      <c r="BI150" s="482">
        <f>SUM($U150:Y150)</f>
        <v>0</v>
      </c>
      <c r="BJ150" s="482">
        <f>SUM($U150:Z150)</f>
        <v>0</v>
      </c>
      <c r="BK150" s="482">
        <f>SUM($U150:AA150)</f>
        <v>0</v>
      </c>
      <c r="BL150" s="482">
        <f>SUM($U150:AB150)</f>
        <v>0</v>
      </c>
      <c r="BM150" s="482">
        <f>SUM($U150:AC150)</f>
        <v>0</v>
      </c>
      <c r="BN150" s="482">
        <f>SUM($U150:AD150)</f>
        <v>0</v>
      </c>
      <c r="BO150" s="482">
        <f>SUM($U150:AE150)</f>
        <v>0</v>
      </c>
      <c r="BP150" s="483">
        <f>SUM($U150:AF150)</f>
        <v>0</v>
      </c>
      <c r="BQ150" s="484">
        <f t="shared" si="18"/>
        <v>0</v>
      </c>
      <c r="BR150" s="482">
        <f>SUM($AS150:AT150)</f>
        <v>0</v>
      </c>
      <c r="BS150" s="482">
        <f>SUM($AS150:AU150)</f>
        <v>0</v>
      </c>
      <c r="BT150" s="482">
        <f>SUM($AS150:AV150)</f>
        <v>0</v>
      </c>
      <c r="BU150" s="482">
        <f>SUM($AS150:AW150)</f>
        <v>0</v>
      </c>
      <c r="BV150" s="482">
        <f>SUM($AS150:AX150)</f>
        <v>0</v>
      </c>
      <c r="BW150" s="482">
        <f>SUM($AS150:AY150)</f>
        <v>0</v>
      </c>
      <c r="BX150" s="482">
        <f>SUM($AS150:AZ150)</f>
        <v>0</v>
      </c>
      <c r="BY150" s="482">
        <f>SUM($AS150:BA150)</f>
        <v>0</v>
      </c>
      <c r="BZ150" s="482">
        <f>SUM($AS150:BB150)</f>
        <v>0</v>
      </c>
      <c r="CA150" s="482">
        <f>SUM($AS150:BC150)</f>
        <v>0</v>
      </c>
      <c r="CB150" s="483">
        <f>SUM($AS150:BD150)</f>
        <v>0</v>
      </c>
    </row>
    <row r="151" spans="1:80" s="471" customFormat="1" ht="12.75" hidden="1" customHeight="1">
      <c r="A151" s="471">
        <f t="shared" si="13"/>
        <v>142</v>
      </c>
      <c r="B151" s="628"/>
      <c r="C151" s="533"/>
      <c r="D151" s="533"/>
      <c r="E151" s="427"/>
      <c r="F151" s="586"/>
      <c r="G151" s="629"/>
      <c r="H151" s="582">
        <f t="shared" si="10"/>
        <v>144</v>
      </c>
      <c r="I151" s="524"/>
      <c r="J151" s="473"/>
      <c r="K151" s="473"/>
      <c r="L151" s="473"/>
      <c r="M151" s="473"/>
      <c r="N151" s="473"/>
      <c r="O151" s="473"/>
      <c r="P151" s="473"/>
      <c r="Q151" s="473"/>
      <c r="R151" s="473"/>
      <c r="S151" s="473"/>
      <c r="T151" s="474"/>
      <c r="U151" s="475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510"/>
      <c r="AH151" s="495"/>
      <c r="AI151" s="495"/>
      <c r="AJ151" s="495"/>
      <c r="AK151" s="495"/>
      <c r="AL151" s="495"/>
      <c r="AM151" s="495"/>
      <c r="AN151" s="495"/>
      <c r="AO151" s="495"/>
      <c r="AP151" s="495"/>
      <c r="AQ151" s="495"/>
      <c r="AR151" s="497"/>
      <c r="AS151" s="509"/>
      <c r="AT151" s="495"/>
      <c r="AU151" s="495"/>
      <c r="AV151" s="480"/>
      <c r="AW151" s="496"/>
      <c r="AX151" s="495"/>
      <c r="AY151" s="495"/>
      <c r="AZ151" s="496"/>
      <c r="BA151" s="496"/>
      <c r="BB151" s="496"/>
      <c r="BC151" s="496"/>
      <c r="BD151" s="511"/>
      <c r="BE151" s="482">
        <f t="shared" si="17"/>
        <v>0</v>
      </c>
      <c r="BF151" s="482">
        <f>SUM($U151:V151)</f>
        <v>0</v>
      </c>
      <c r="BG151" s="482">
        <f>SUM($U151:W151)</f>
        <v>0</v>
      </c>
      <c r="BH151" s="482">
        <f>SUM($U151:X151)</f>
        <v>0</v>
      </c>
      <c r="BI151" s="482">
        <f>SUM($U151:Y151)</f>
        <v>0</v>
      </c>
      <c r="BJ151" s="482">
        <f>SUM($U151:Z151)</f>
        <v>0</v>
      </c>
      <c r="BK151" s="482">
        <f>SUM($U151:AA151)</f>
        <v>0</v>
      </c>
      <c r="BL151" s="482">
        <f>SUM($U151:AB151)</f>
        <v>0</v>
      </c>
      <c r="BM151" s="482">
        <f>SUM($U151:AC151)</f>
        <v>0</v>
      </c>
      <c r="BN151" s="482">
        <f>SUM($U151:AD151)</f>
        <v>0</v>
      </c>
      <c r="BO151" s="482">
        <f>SUM($U151:AE151)</f>
        <v>0</v>
      </c>
      <c r="BP151" s="483">
        <f>SUM($U151:AF151)</f>
        <v>0</v>
      </c>
      <c r="BQ151" s="484">
        <f t="shared" si="18"/>
        <v>0</v>
      </c>
      <c r="BR151" s="482">
        <f>SUM($AS151:AT151)</f>
        <v>0</v>
      </c>
      <c r="BS151" s="482">
        <f>SUM($AS151:AU151)</f>
        <v>0</v>
      </c>
      <c r="BT151" s="482">
        <f>SUM($AS151:AV151)</f>
        <v>0</v>
      </c>
      <c r="BU151" s="482">
        <f>SUM($AS151:AW151)</f>
        <v>0</v>
      </c>
      <c r="BV151" s="482">
        <f>SUM($AS151:AX151)</f>
        <v>0</v>
      </c>
      <c r="BW151" s="482">
        <f>SUM($AS151:AY151)</f>
        <v>0</v>
      </c>
      <c r="BX151" s="482">
        <f>SUM($AS151:AZ151)</f>
        <v>0</v>
      </c>
      <c r="BY151" s="482">
        <f>SUM($AS151:BA151)</f>
        <v>0</v>
      </c>
      <c r="BZ151" s="482">
        <f>SUM($AS151:BB151)</f>
        <v>0</v>
      </c>
      <c r="CA151" s="482">
        <f>SUM($AS151:BC151)</f>
        <v>0</v>
      </c>
      <c r="CB151" s="483">
        <f>SUM($AS151:BD151)</f>
        <v>0</v>
      </c>
    </row>
    <row r="152" spans="1:80" s="471" customFormat="1" ht="12.75" hidden="1" customHeight="1">
      <c r="A152" s="471">
        <f t="shared" si="13"/>
        <v>143</v>
      </c>
      <c r="B152" s="628"/>
      <c r="C152" s="533"/>
      <c r="D152" s="533"/>
      <c r="E152" s="427"/>
      <c r="F152" s="586"/>
      <c r="G152" s="629"/>
      <c r="H152" s="582">
        <f t="shared" si="10"/>
        <v>145</v>
      </c>
      <c r="I152" s="524"/>
      <c r="J152" s="473"/>
      <c r="K152" s="473"/>
      <c r="L152" s="473"/>
      <c r="M152" s="473"/>
      <c r="N152" s="473"/>
      <c r="O152" s="473"/>
      <c r="P152" s="473"/>
      <c r="Q152" s="473"/>
      <c r="R152" s="473"/>
      <c r="S152" s="473"/>
      <c r="T152" s="474"/>
      <c r="U152" s="475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510"/>
      <c r="AH152" s="495"/>
      <c r="AI152" s="495"/>
      <c r="AJ152" s="495"/>
      <c r="AK152" s="495"/>
      <c r="AL152" s="495"/>
      <c r="AM152" s="495"/>
      <c r="AN152" s="495"/>
      <c r="AO152" s="495"/>
      <c r="AP152" s="495"/>
      <c r="AQ152" s="495"/>
      <c r="AR152" s="497"/>
      <c r="AS152" s="509"/>
      <c r="AT152" s="495"/>
      <c r="AU152" s="495"/>
      <c r="AV152" s="480"/>
      <c r="AW152" s="496"/>
      <c r="AX152" s="495"/>
      <c r="AY152" s="495"/>
      <c r="AZ152" s="496"/>
      <c r="BA152" s="496"/>
      <c r="BB152" s="496"/>
      <c r="BC152" s="496"/>
      <c r="BD152" s="511"/>
      <c r="BE152" s="482">
        <f t="shared" si="17"/>
        <v>0</v>
      </c>
      <c r="BF152" s="482">
        <f>SUM($U152:V152)</f>
        <v>0</v>
      </c>
      <c r="BG152" s="482">
        <f>SUM($U152:W152)</f>
        <v>0</v>
      </c>
      <c r="BH152" s="482">
        <f>SUM($U152:X152)</f>
        <v>0</v>
      </c>
      <c r="BI152" s="482">
        <f>SUM($U152:Y152)</f>
        <v>0</v>
      </c>
      <c r="BJ152" s="482">
        <f>SUM($U152:Z152)</f>
        <v>0</v>
      </c>
      <c r="BK152" s="482">
        <f>SUM($U152:AA152)</f>
        <v>0</v>
      </c>
      <c r="BL152" s="482">
        <f>SUM($U152:AB152)</f>
        <v>0</v>
      </c>
      <c r="BM152" s="482">
        <f>SUM($U152:AC152)</f>
        <v>0</v>
      </c>
      <c r="BN152" s="482">
        <f>SUM($U152:AD152)</f>
        <v>0</v>
      </c>
      <c r="BO152" s="482">
        <f>SUM($U152:AE152)</f>
        <v>0</v>
      </c>
      <c r="BP152" s="483">
        <f>SUM($U152:AF152)</f>
        <v>0</v>
      </c>
      <c r="BQ152" s="484">
        <f t="shared" si="18"/>
        <v>0</v>
      </c>
      <c r="BR152" s="482">
        <f>SUM($AS152:AT152)</f>
        <v>0</v>
      </c>
      <c r="BS152" s="482">
        <f>SUM($AS152:AU152)</f>
        <v>0</v>
      </c>
      <c r="BT152" s="482">
        <f>SUM($AS152:AV152)</f>
        <v>0</v>
      </c>
      <c r="BU152" s="482">
        <f>SUM($AS152:AW152)</f>
        <v>0</v>
      </c>
      <c r="BV152" s="482">
        <f>SUM($AS152:AX152)</f>
        <v>0</v>
      </c>
      <c r="BW152" s="482">
        <f>SUM($AS152:AY152)</f>
        <v>0</v>
      </c>
      <c r="BX152" s="482">
        <f>SUM($AS152:AZ152)</f>
        <v>0</v>
      </c>
      <c r="BY152" s="482">
        <f>SUM($AS152:BA152)</f>
        <v>0</v>
      </c>
      <c r="BZ152" s="482">
        <f>SUM($AS152:BB152)</f>
        <v>0</v>
      </c>
      <c r="CA152" s="482">
        <f>SUM($AS152:BC152)</f>
        <v>0</v>
      </c>
      <c r="CB152" s="483">
        <f>SUM($AS152:BD152)</f>
        <v>0</v>
      </c>
    </row>
    <row r="153" spans="1:80" s="471" customFormat="1" ht="12.75" hidden="1" customHeight="1">
      <c r="A153" s="471">
        <f t="shared" si="13"/>
        <v>144</v>
      </c>
      <c r="B153" s="628"/>
      <c r="C153" s="533"/>
      <c r="D153" s="533"/>
      <c r="E153" s="427"/>
      <c r="F153" s="586"/>
      <c r="G153" s="629"/>
      <c r="H153" s="582">
        <f t="shared" si="10"/>
        <v>146</v>
      </c>
      <c r="I153" s="524"/>
      <c r="J153" s="473"/>
      <c r="K153" s="473"/>
      <c r="L153" s="473"/>
      <c r="M153" s="473"/>
      <c r="N153" s="473"/>
      <c r="O153" s="473"/>
      <c r="P153" s="473"/>
      <c r="Q153" s="473"/>
      <c r="R153" s="473"/>
      <c r="S153" s="473"/>
      <c r="T153" s="474"/>
      <c r="U153" s="475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510"/>
      <c r="AH153" s="495"/>
      <c r="AI153" s="495"/>
      <c r="AJ153" s="495"/>
      <c r="AK153" s="495"/>
      <c r="AL153" s="495"/>
      <c r="AM153" s="495"/>
      <c r="AN153" s="495"/>
      <c r="AO153" s="495"/>
      <c r="AP153" s="495"/>
      <c r="AQ153" s="495"/>
      <c r="AR153" s="497"/>
      <c r="AS153" s="509"/>
      <c r="AT153" s="495"/>
      <c r="AU153" s="495"/>
      <c r="AV153" s="480"/>
      <c r="AW153" s="496"/>
      <c r="AX153" s="495"/>
      <c r="AY153" s="495"/>
      <c r="AZ153" s="496"/>
      <c r="BA153" s="496"/>
      <c r="BB153" s="496"/>
      <c r="BC153" s="496"/>
      <c r="BD153" s="511"/>
      <c r="BE153" s="482">
        <f t="shared" si="17"/>
        <v>0</v>
      </c>
      <c r="BF153" s="482">
        <f>SUM($U153:V153)</f>
        <v>0</v>
      </c>
      <c r="BG153" s="482">
        <f>SUM($U153:W153)</f>
        <v>0</v>
      </c>
      <c r="BH153" s="482">
        <f>SUM($U153:X153)</f>
        <v>0</v>
      </c>
      <c r="BI153" s="482">
        <f>SUM($U153:Y153)</f>
        <v>0</v>
      </c>
      <c r="BJ153" s="482">
        <f>SUM($U153:Z153)</f>
        <v>0</v>
      </c>
      <c r="BK153" s="482">
        <f>SUM($U153:AA153)</f>
        <v>0</v>
      </c>
      <c r="BL153" s="482">
        <f>SUM($U153:AB153)</f>
        <v>0</v>
      </c>
      <c r="BM153" s="482">
        <f>SUM($U153:AC153)</f>
        <v>0</v>
      </c>
      <c r="BN153" s="482">
        <f>SUM($U153:AD153)</f>
        <v>0</v>
      </c>
      <c r="BO153" s="482">
        <f>SUM($U153:AE153)</f>
        <v>0</v>
      </c>
      <c r="BP153" s="483">
        <f>SUM($U153:AF153)</f>
        <v>0</v>
      </c>
      <c r="BQ153" s="484">
        <f t="shared" si="18"/>
        <v>0</v>
      </c>
      <c r="BR153" s="482">
        <f>SUM($AS153:AT153)</f>
        <v>0</v>
      </c>
      <c r="BS153" s="482">
        <f>SUM($AS153:AU153)</f>
        <v>0</v>
      </c>
      <c r="BT153" s="482">
        <f>SUM($AS153:AV153)</f>
        <v>0</v>
      </c>
      <c r="BU153" s="482">
        <f>SUM($AS153:AW153)</f>
        <v>0</v>
      </c>
      <c r="BV153" s="482">
        <f>SUM($AS153:AX153)</f>
        <v>0</v>
      </c>
      <c r="BW153" s="482">
        <f>SUM($AS153:AY153)</f>
        <v>0</v>
      </c>
      <c r="BX153" s="482">
        <f>SUM($AS153:AZ153)</f>
        <v>0</v>
      </c>
      <c r="BY153" s="482">
        <f>SUM($AS153:BA153)</f>
        <v>0</v>
      </c>
      <c r="BZ153" s="482">
        <f>SUM($AS153:BB153)</f>
        <v>0</v>
      </c>
      <c r="CA153" s="482">
        <f>SUM($AS153:BC153)</f>
        <v>0</v>
      </c>
      <c r="CB153" s="483">
        <f>SUM($AS153:BD153)</f>
        <v>0</v>
      </c>
    </row>
    <row r="154" spans="1:80" s="471" customFormat="1" ht="12.75" hidden="1" customHeight="1">
      <c r="A154" s="471">
        <f t="shared" si="13"/>
        <v>145</v>
      </c>
      <c r="B154" s="628"/>
      <c r="C154" s="533"/>
      <c r="D154" s="533"/>
      <c r="E154" s="427"/>
      <c r="F154" s="586"/>
      <c r="G154" s="629"/>
      <c r="H154" s="582">
        <f t="shared" si="10"/>
        <v>147</v>
      </c>
      <c r="I154" s="524"/>
      <c r="J154" s="473"/>
      <c r="K154" s="473"/>
      <c r="L154" s="473"/>
      <c r="M154" s="473"/>
      <c r="N154" s="473"/>
      <c r="O154" s="473"/>
      <c r="P154" s="473"/>
      <c r="Q154" s="473"/>
      <c r="R154" s="473"/>
      <c r="S154" s="473"/>
      <c r="T154" s="474"/>
      <c r="U154" s="475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510"/>
      <c r="AH154" s="495"/>
      <c r="AI154" s="495"/>
      <c r="AJ154" s="495"/>
      <c r="AK154" s="495"/>
      <c r="AL154" s="495"/>
      <c r="AM154" s="495"/>
      <c r="AN154" s="495"/>
      <c r="AO154" s="495"/>
      <c r="AP154" s="495"/>
      <c r="AQ154" s="495"/>
      <c r="AR154" s="497"/>
      <c r="AS154" s="509"/>
      <c r="AT154" s="495"/>
      <c r="AU154" s="495"/>
      <c r="AV154" s="480"/>
      <c r="AW154" s="496"/>
      <c r="AX154" s="495"/>
      <c r="AY154" s="495"/>
      <c r="AZ154" s="496"/>
      <c r="BA154" s="496"/>
      <c r="BB154" s="496"/>
      <c r="BC154" s="496"/>
      <c r="BD154" s="511"/>
      <c r="BE154" s="482">
        <f t="shared" si="17"/>
        <v>0</v>
      </c>
      <c r="BF154" s="482">
        <f>SUM($U154:V154)</f>
        <v>0</v>
      </c>
      <c r="BG154" s="482">
        <f>SUM($U154:W154)</f>
        <v>0</v>
      </c>
      <c r="BH154" s="482">
        <f>SUM($U154:X154)</f>
        <v>0</v>
      </c>
      <c r="BI154" s="482">
        <f>SUM($U154:Y154)</f>
        <v>0</v>
      </c>
      <c r="BJ154" s="482">
        <f>SUM($U154:Z154)</f>
        <v>0</v>
      </c>
      <c r="BK154" s="482">
        <f>SUM($U154:AA154)</f>
        <v>0</v>
      </c>
      <c r="BL154" s="482">
        <f>SUM($U154:AB154)</f>
        <v>0</v>
      </c>
      <c r="BM154" s="482">
        <f>SUM($U154:AC154)</f>
        <v>0</v>
      </c>
      <c r="BN154" s="482">
        <f>SUM($U154:AD154)</f>
        <v>0</v>
      </c>
      <c r="BO154" s="482">
        <f>SUM($U154:AE154)</f>
        <v>0</v>
      </c>
      <c r="BP154" s="483">
        <f>SUM($U154:AF154)</f>
        <v>0</v>
      </c>
      <c r="BQ154" s="484">
        <f t="shared" si="18"/>
        <v>0</v>
      </c>
      <c r="BR154" s="482">
        <f>SUM($AS154:AT154)</f>
        <v>0</v>
      </c>
      <c r="BS154" s="482">
        <f>SUM($AS154:AU154)</f>
        <v>0</v>
      </c>
      <c r="BT154" s="482">
        <f>SUM($AS154:AV154)</f>
        <v>0</v>
      </c>
      <c r="BU154" s="482">
        <f>SUM($AS154:AW154)</f>
        <v>0</v>
      </c>
      <c r="BV154" s="482">
        <f>SUM($AS154:AX154)</f>
        <v>0</v>
      </c>
      <c r="BW154" s="482">
        <f>SUM($AS154:AY154)</f>
        <v>0</v>
      </c>
      <c r="BX154" s="482">
        <f>SUM($AS154:AZ154)</f>
        <v>0</v>
      </c>
      <c r="BY154" s="482">
        <f>SUM($AS154:BA154)</f>
        <v>0</v>
      </c>
      <c r="BZ154" s="482">
        <f>SUM($AS154:BB154)</f>
        <v>0</v>
      </c>
      <c r="CA154" s="482">
        <f>SUM($AS154:BC154)</f>
        <v>0</v>
      </c>
      <c r="CB154" s="483">
        <f>SUM($AS154:BD154)</f>
        <v>0</v>
      </c>
    </row>
    <row r="155" spans="1:80" s="471" customFormat="1" ht="12.75" hidden="1" customHeight="1">
      <c r="A155" s="471">
        <f t="shared" si="13"/>
        <v>146</v>
      </c>
      <c r="B155" s="628"/>
      <c r="C155" s="533"/>
      <c r="D155" s="533"/>
      <c r="E155" s="427"/>
      <c r="F155" s="586"/>
      <c r="G155" s="629"/>
      <c r="H155" s="582">
        <f t="shared" si="10"/>
        <v>148</v>
      </c>
      <c r="I155" s="524"/>
      <c r="J155" s="473"/>
      <c r="K155" s="473"/>
      <c r="L155" s="473"/>
      <c r="M155" s="473"/>
      <c r="N155" s="473"/>
      <c r="O155" s="473"/>
      <c r="P155" s="473"/>
      <c r="Q155" s="473"/>
      <c r="R155" s="473"/>
      <c r="S155" s="473"/>
      <c r="T155" s="474"/>
      <c r="U155" s="475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510"/>
      <c r="AH155" s="495"/>
      <c r="AI155" s="495"/>
      <c r="AJ155" s="495"/>
      <c r="AK155" s="495"/>
      <c r="AL155" s="495"/>
      <c r="AM155" s="495"/>
      <c r="AN155" s="495"/>
      <c r="AO155" s="495"/>
      <c r="AP155" s="495"/>
      <c r="AQ155" s="495"/>
      <c r="AR155" s="497"/>
      <c r="AS155" s="509"/>
      <c r="AT155" s="495"/>
      <c r="AU155" s="495"/>
      <c r="AV155" s="480"/>
      <c r="AW155" s="496"/>
      <c r="AX155" s="495"/>
      <c r="AY155" s="495"/>
      <c r="AZ155" s="496"/>
      <c r="BA155" s="496"/>
      <c r="BB155" s="496"/>
      <c r="BC155" s="496"/>
      <c r="BD155" s="511"/>
      <c r="BE155" s="482">
        <f t="shared" si="17"/>
        <v>0</v>
      </c>
      <c r="BF155" s="482">
        <f>SUM($U155:V155)</f>
        <v>0</v>
      </c>
      <c r="BG155" s="482">
        <f>SUM($U155:W155)</f>
        <v>0</v>
      </c>
      <c r="BH155" s="482">
        <f>SUM($U155:X155)</f>
        <v>0</v>
      </c>
      <c r="BI155" s="482">
        <f>SUM($U155:Y155)</f>
        <v>0</v>
      </c>
      <c r="BJ155" s="482">
        <f>SUM($U155:Z155)</f>
        <v>0</v>
      </c>
      <c r="BK155" s="482">
        <f>SUM($U155:AA155)</f>
        <v>0</v>
      </c>
      <c r="BL155" s="482">
        <f>SUM($U155:AB155)</f>
        <v>0</v>
      </c>
      <c r="BM155" s="482">
        <f>SUM($U155:AC155)</f>
        <v>0</v>
      </c>
      <c r="BN155" s="482">
        <f>SUM($U155:AD155)</f>
        <v>0</v>
      </c>
      <c r="BO155" s="482">
        <f>SUM($U155:AE155)</f>
        <v>0</v>
      </c>
      <c r="BP155" s="483">
        <f>SUM($U155:AF155)</f>
        <v>0</v>
      </c>
      <c r="BQ155" s="484">
        <f t="shared" si="18"/>
        <v>0</v>
      </c>
      <c r="BR155" s="482">
        <f>SUM($AS155:AT155)</f>
        <v>0</v>
      </c>
      <c r="BS155" s="482">
        <f>SUM($AS155:AU155)</f>
        <v>0</v>
      </c>
      <c r="BT155" s="482">
        <f>SUM($AS155:AV155)</f>
        <v>0</v>
      </c>
      <c r="BU155" s="482">
        <f>SUM($AS155:AW155)</f>
        <v>0</v>
      </c>
      <c r="BV155" s="482">
        <f>SUM($AS155:AX155)</f>
        <v>0</v>
      </c>
      <c r="BW155" s="482">
        <f>SUM($AS155:AY155)</f>
        <v>0</v>
      </c>
      <c r="BX155" s="482">
        <f>SUM($AS155:AZ155)</f>
        <v>0</v>
      </c>
      <c r="BY155" s="482">
        <f>SUM($AS155:BA155)</f>
        <v>0</v>
      </c>
      <c r="BZ155" s="482">
        <f>SUM($AS155:BB155)</f>
        <v>0</v>
      </c>
      <c r="CA155" s="482">
        <f>SUM($AS155:BC155)</f>
        <v>0</v>
      </c>
      <c r="CB155" s="483">
        <f>SUM($AS155:BD155)</f>
        <v>0</v>
      </c>
    </row>
    <row r="156" spans="1:80" s="471" customFormat="1" ht="12.75" hidden="1" customHeight="1">
      <c r="A156" s="471">
        <f t="shared" si="13"/>
        <v>147</v>
      </c>
      <c r="B156" s="628"/>
      <c r="C156" s="533"/>
      <c r="D156" s="533"/>
      <c r="E156" s="427"/>
      <c r="F156" s="586"/>
      <c r="G156" s="629"/>
      <c r="H156" s="582">
        <f t="shared" si="10"/>
        <v>149</v>
      </c>
      <c r="I156" s="524"/>
      <c r="J156" s="473"/>
      <c r="K156" s="473"/>
      <c r="L156" s="473"/>
      <c r="M156" s="473"/>
      <c r="N156" s="473"/>
      <c r="O156" s="473"/>
      <c r="P156" s="473"/>
      <c r="Q156" s="473"/>
      <c r="R156" s="473"/>
      <c r="S156" s="473"/>
      <c r="T156" s="474"/>
      <c r="U156" s="475"/>
      <c r="V156" s="473"/>
      <c r="W156" s="473"/>
      <c r="X156" s="473"/>
      <c r="Y156" s="473"/>
      <c r="Z156" s="473"/>
      <c r="AA156" s="473"/>
      <c r="AB156" s="473"/>
      <c r="AC156" s="473"/>
      <c r="AD156" s="473"/>
      <c r="AE156" s="473"/>
      <c r="AF156" s="473"/>
      <c r="AG156" s="510"/>
      <c r="AH156" s="495"/>
      <c r="AI156" s="495"/>
      <c r="AJ156" s="495"/>
      <c r="AK156" s="495"/>
      <c r="AL156" s="495"/>
      <c r="AM156" s="495"/>
      <c r="AN156" s="495"/>
      <c r="AO156" s="495"/>
      <c r="AP156" s="495"/>
      <c r="AQ156" s="495"/>
      <c r="AR156" s="497"/>
      <c r="AS156" s="509"/>
      <c r="AT156" s="495"/>
      <c r="AU156" s="495"/>
      <c r="AV156" s="480"/>
      <c r="AW156" s="496"/>
      <c r="AX156" s="495"/>
      <c r="AY156" s="495"/>
      <c r="AZ156" s="496"/>
      <c r="BA156" s="496"/>
      <c r="BB156" s="496"/>
      <c r="BC156" s="496"/>
      <c r="BD156" s="511"/>
      <c r="BE156" s="482">
        <f t="shared" si="17"/>
        <v>0</v>
      </c>
      <c r="BF156" s="482">
        <f>SUM($U156:V156)</f>
        <v>0</v>
      </c>
      <c r="BG156" s="482">
        <f>SUM($U156:W156)</f>
        <v>0</v>
      </c>
      <c r="BH156" s="482">
        <f>SUM($U156:X156)</f>
        <v>0</v>
      </c>
      <c r="BI156" s="482">
        <f>SUM($U156:Y156)</f>
        <v>0</v>
      </c>
      <c r="BJ156" s="482">
        <f>SUM($U156:Z156)</f>
        <v>0</v>
      </c>
      <c r="BK156" s="482">
        <f>SUM($U156:AA156)</f>
        <v>0</v>
      </c>
      <c r="BL156" s="482">
        <f>SUM($U156:AB156)</f>
        <v>0</v>
      </c>
      <c r="BM156" s="482">
        <f>SUM($U156:AC156)</f>
        <v>0</v>
      </c>
      <c r="BN156" s="482">
        <f>SUM($U156:AD156)</f>
        <v>0</v>
      </c>
      <c r="BO156" s="482">
        <f>SUM($U156:AE156)</f>
        <v>0</v>
      </c>
      <c r="BP156" s="483">
        <f>SUM($U156:AF156)</f>
        <v>0</v>
      </c>
      <c r="BQ156" s="484">
        <f t="shared" si="18"/>
        <v>0</v>
      </c>
      <c r="BR156" s="482">
        <f>SUM($AS156:AT156)</f>
        <v>0</v>
      </c>
      <c r="BS156" s="482">
        <f>SUM($AS156:AU156)</f>
        <v>0</v>
      </c>
      <c r="BT156" s="482">
        <f>SUM($AS156:AV156)</f>
        <v>0</v>
      </c>
      <c r="BU156" s="482">
        <f>SUM($AS156:AW156)</f>
        <v>0</v>
      </c>
      <c r="BV156" s="482">
        <f>SUM($AS156:AX156)</f>
        <v>0</v>
      </c>
      <c r="BW156" s="482">
        <f>SUM($AS156:AY156)</f>
        <v>0</v>
      </c>
      <c r="BX156" s="482">
        <f>SUM($AS156:AZ156)</f>
        <v>0</v>
      </c>
      <c r="BY156" s="482">
        <f>SUM($AS156:BA156)</f>
        <v>0</v>
      </c>
      <c r="BZ156" s="482">
        <f>SUM($AS156:BB156)</f>
        <v>0</v>
      </c>
      <c r="CA156" s="482">
        <f>SUM($AS156:BC156)</f>
        <v>0</v>
      </c>
      <c r="CB156" s="483">
        <f>SUM($AS156:BD156)</f>
        <v>0</v>
      </c>
    </row>
    <row r="157" spans="1:80" s="471" customFormat="1" ht="12.75" hidden="1" customHeight="1">
      <c r="A157" s="471">
        <f t="shared" si="13"/>
        <v>148</v>
      </c>
      <c r="B157" s="628"/>
      <c r="C157" s="533"/>
      <c r="D157" s="533"/>
      <c r="E157" s="427"/>
      <c r="F157" s="586"/>
      <c r="G157" s="629"/>
      <c r="H157" s="582">
        <f t="shared" si="10"/>
        <v>150</v>
      </c>
      <c r="I157" s="524"/>
      <c r="J157" s="473"/>
      <c r="K157" s="473"/>
      <c r="L157" s="473"/>
      <c r="M157" s="473"/>
      <c r="N157" s="473"/>
      <c r="O157" s="473"/>
      <c r="P157" s="473"/>
      <c r="Q157" s="473"/>
      <c r="R157" s="473"/>
      <c r="S157" s="473"/>
      <c r="T157" s="474"/>
      <c r="U157" s="475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510"/>
      <c r="AH157" s="495"/>
      <c r="AI157" s="495"/>
      <c r="AJ157" s="495"/>
      <c r="AK157" s="495"/>
      <c r="AL157" s="495"/>
      <c r="AM157" s="495"/>
      <c r="AN157" s="495"/>
      <c r="AO157" s="495"/>
      <c r="AP157" s="495"/>
      <c r="AQ157" s="495"/>
      <c r="AR157" s="497"/>
      <c r="AS157" s="509"/>
      <c r="AT157" s="495"/>
      <c r="AU157" s="495"/>
      <c r="AV157" s="480"/>
      <c r="AW157" s="496"/>
      <c r="AX157" s="495"/>
      <c r="AY157" s="495"/>
      <c r="AZ157" s="496"/>
      <c r="BA157" s="496"/>
      <c r="BB157" s="496"/>
      <c r="BC157" s="496"/>
      <c r="BD157" s="511"/>
      <c r="BE157" s="482">
        <f t="shared" si="17"/>
        <v>0</v>
      </c>
      <c r="BF157" s="482">
        <f>SUM($U157:V157)</f>
        <v>0</v>
      </c>
      <c r="BG157" s="482">
        <f>SUM($U157:W157)</f>
        <v>0</v>
      </c>
      <c r="BH157" s="482">
        <f>SUM($U157:X157)</f>
        <v>0</v>
      </c>
      <c r="BI157" s="482">
        <f>SUM($U157:Y157)</f>
        <v>0</v>
      </c>
      <c r="BJ157" s="482">
        <f>SUM($U157:Z157)</f>
        <v>0</v>
      </c>
      <c r="BK157" s="482">
        <f>SUM($U157:AA157)</f>
        <v>0</v>
      </c>
      <c r="BL157" s="482">
        <f>SUM($U157:AB157)</f>
        <v>0</v>
      </c>
      <c r="BM157" s="482">
        <f>SUM($U157:AC157)</f>
        <v>0</v>
      </c>
      <c r="BN157" s="482">
        <f>SUM($U157:AD157)</f>
        <v>0</v>
      </c>
      <c r="BO157" s="482">
        <f>SUM($U157:AE157)</f>
        <v>0</v>
      </c>
      <c r="BP157" s="483">
        <f>SUM($U157:AF157)</f>
        <v>0</v>
      </c>
      <c r="BQ157" s="484">
        <f t="shared" si="18"/>
        <v>0</v>
      </c>
      <c r="BR157" s="482">
        <f>SUM($AS157:AT157)</f>
        <v>0</v>
      </c>
      <c r="BS157" s="482">
        <f>SUM($AS157:AU157)</f>
        <v>0</v>
      </c>
      <c r="BT157" s="482">
        <f>SUM($AS157:AV157)</f>
        <v>0</v>
      </c>
      <c r="BU157" s="482">
        <f>SUM($AS157:AW157)</f>
        <v>0</v>
      </c>
      <c r="BV157" s="482">
        <f>SUM($AS157:AX157)</f>
        <v>0</v>
      </c>
      <c r="BW157" s="482">
        <f>SUM($AS157:AY157)</f>
        <v>0</v>
      </c>
      <c r="BX157" s="482">
        <f>SUM($AS157:AZ157)</f>
        <v>0</v>
      </c>
      <c r="BY157" s="482">
        <f>SUM($AS157:BA157)</f>
        <v>0</v>
      </c>
      <c r="BZ157" s="482">
        <f>SUM($AS157:BB157)</f>
        <v>0</v>
      </c>
      <c r="CA157" s="482">
        <f>SUM($AS157:BC157)</f>
        <v>0</v>
      </c>
      <c r="CB157" s="483">
        <f>SUM($AS157:BD157)</f>
        <v>0</v>
      </c>
    </row>
    <row r="158" spans="1:80" s="471" customFormat="1" ht="12.75" hidden="1" customHeight="1">
      <c r="A158" s="471">
        <f t="shared" si="13"/>
        <v>149</v>
      </c>
      <c r="B158" s="628"/>
      <c r="C158" s="533"/>
      <c r="D158" s="533"/>
      <c r="E158" s="427"/>
      <c r="F158" s="586"/>
      <c r="G158" s="629"/>
      <c r="H158" s="582">
        <f t="shared" si="10"/>
        <v>151</v>
      </c>
      <c r="I158" s="524"/>
      <c r="J158" s="473"/>
      <c r="K158" s="473"/>
      <c r="L158" s="473"/>
      <c r="M158" s="473"/>
      <c r="N158" s="473"/>
      <c r="O158" s="473"/>
      <c r="P158" s="473"/>
      <c r="Q158" s="473"/>
      <c r="R158" s="473"/>
      <c r="S158" s="473"/>
      <c r="T158" s="474"/>
      <c r="U158" s="475"/>
      <c r="V158" s="473"/>
      <c r="W158" s="473"/>
      <c r="X158" s="473"/>
      <c r="Y158" s="473"/>
      <c r="Z158" s="473"/>
      <c r="AA158" s="473"/>
      <c r="AB158" s="473"/>
      <c r="AC158" s="473"/>
      <c r="AD158" s="473"/>
      <c r="AE158" s="473"/>
      <c r="AF158" s="473"/>
      <c r="AG158" s="510"/>
      <c r="AH158" s="495"/>
      <c r="AI158" s="495"/>
      <c r="AJ158" s="495"/>
      <c r="AK158" s="495"/>
      <c r="AL158" s="495"/>
      <c r="AM158" s="495"/>
      <c r="AN158" s="495"/>
      <c r="AO158" s="495"/>
      <c r="AP158" s="495"/>
      <c r="AQ158" s="495"/>
      <c r="AR158" s="497"/>
      <c r="AS158" s="509"/>
      <c r="AT158" s="495"/>
      <c r="AU158" s="495"/>
      <c r="AV158" s="480"/>
      <c r="AW158" s="496"/>
      <c r="AX158" s="495"/>
      <c r="AY158" s="495"/>
      <c r="AZ158" s="496"/>
      <c r="BA158" s="496"/>
      <c r="BB158" s="496"/>
      <c r="BC158" s="496"/>
      <c r="BD158" s="511"/>
      <c r="BE158" s="482">
        <f t="shared" si="17"/>
        <v>0</v>
      </c>
      <c r="BF158" s="482">
        <f>SUM($U158:V158)</f>
        <v>0</v>
      </c>
      <c r="BG158" s="482">
        <f>SUM($U158:W158)</f>
        <v>0</v>
      </c>
      <c r="BH158" s="482">
        <f>SUM($U158:X158)</f>
        <v>0</v>
      </c>
      <c r="BI158" s="482">
        <f>SUM($U158:Y158)</f>
        <v>0</v>
      </c>
      <c r="BJ158" s="482">
        <f>SUM($U158:Z158)</f>
        <v>0</v>
      </c>
      <c r="BK158" s="482">
        <f>SUM($U158:AA158)</f>
        <v>0</v>
      </c>
      <c r="BL158" s="482">
        <f>SUM($U158:AB158)</f>
        <v>0</v>
      </c>
      <c r="BM158" s="482">
        <f>SUM($U158:AC158)</f>
        <v>0</v>
      </c>
      <c r="BN158" s="482">
        <f>SUM($U158:AD158)</f>
        <v>0</v>
      </c>
      <c r="BO158" s="482">
        <f>SUM($U158:AE158)</f>
        <v>0</v>
      </c>
      <c r="BP158" s="483">
        <f>SUM($U158:AF158)</f>
        <v>0</v>
      </c>
      <c r="BQ158" s="484">
        <f t="shared" si="18"/>
        <v>0</v>
      </c>
      <c r="BR158" s="482">
        <f>SUM($AS158:AT158)</f>
        <v>0</v>
      </c>
      <c r="BS158" s="482">
        <f>SUM($AS158:AU158)</f>
        <v>0</v>
      </c>
      <c r="BT158" s="482">
        <f>SUM($AS158:AV158)</f>
        <v>0</v>
      </c>
      <c r="BU158" s="482">
        <f>SUM($AS158:AW158)</f>
        <v>0</v>
      </c>
      <c r="BV158" s="482">
        <f>SUM($AS158:AX158)</f>
        <v>0</v>
      </c>
      <c r="BW158" s="482">
        <f>SUM($AS158:AY158)</f>
        <v>0</v>
      </c>
      <c r="BX158" s="482">
        <f>SUM($AS158:AZ158)</f>
        <v>0</v>
      </c>
      <c r="BY158" s="482">
        <f>SUM($AS158:BA158)</f>
        <v>0</v>
      </c>
      <c r="BZ158" s="482">
        <f>SUM($AS158:BB158)</f>
        <v>0</v>
      </c>
      <c r="CA158" s="482">
        <f>SUM($AS158:BC158)</f>
        <v>0</v>
      </c>
      <c r="CB158" s="483">
        <f>SUM($AS158:BD158)</f>
        <v>0</v>
      </c>
    </row>
    <row r="159" spans="1:80" s="471" customFormat="1" ht="12.75" hidden="1" customHeight="1">
      <c r="A159" s="471">
        <f t="shared" si="13"/>
        <v>150</v>
      </c>
      <c r="B159" s="628"/>
      <c r="C159" s="533"/>
      <c r="D159" s="533"/>
      <c r="E159" s="427"/>
      <c r="F159" s="586"/>
      <c r="G159" s="629"/>
      <c r="H159" s="582">
        <f t="shared" si="10"/>
        <v>152</v>
      </c>
      <c r="I159" s="524"/>
      <c r="J159" s="473"/>
      <c r="K159" s="473"/>
      <c r="L159" s="473"/>
      <c r="M159" s="473"/>
      <c r="N159" s="473"/>
      <c r="O159" s="473"/>
      <c r="P159" s="473"/>
      <c r="Q159" s="473"/>
      <c r="R159" s="473"/>
      <c r="S159" s="473"/>
      <c r="T159" s="474"/>
      <c r="U159" s="475"/>
      <c r="V159" s="473"/>
      <c r="W159" s="473"/>
      <c r="X159" s="473"/>
      <c r="Y159" s="473"/>
      <c r="Z159" s="473"/>
      <c r="AA159" s="473"/>
      <c r="AB159" s="473"/>
      <c r="AC159" s="473"/>
      <c r="AD159" s="473"/>
      <c r="AE159" s="473"/>
      <c r="AF159" s="473"/>
      <c r="AG159" s="510"/>
      <c r="AH159" s="495"/>
      <c r="AI159" s="495"/>
      <c r="AJ159" s="495"/>
      <c r="AK159" s="495"/>
      <c r="AL159" s="495"/>
      <c r="AM159" s="495"/>
      <c r="AN159" s="495"/>
      <c r="AO159" s="495"/>
      <c r="AP159" s="495"/>
      <c r="AQ159" s="495"/>
      <c r="AR159" s="497"/>
      <c r="AS159" s="509"/>
      <c r="AT159" s="495"/>
      <c r="AU159" s="495"/>
      <c r="AV159" s="480"/>
      <c r="AW159" s="496"/>
      <c r="AX159" s="495"/>
      <c r="AY159" s="495"/>
      <c r="AZ159" s="496"/>
      <c r="BA159" s="496"/>
      <c r="BB159" s="496"/>
      <c r="BC159" s="496"/>
      <c r="BD159" s="511"/>
      <c r="BE159" s="482">
        <f t="shared" si="17"/>
        <v>0</v>
      </c>
      <c r="BF159" s="482">
        <f>SUM($U159:V159)</f>
        <v>0</v>
      </c>
      <c r="BG159" s="482">
        <f>SUM($U159:W159)</f>
        <v>0</v>
      </c>
      <c r="BH159" s="482">
        <f>SUM($U159:X159)</f>
        <v>0</v>
      </c>
      <c r="BI159" s="482">
        <f>SUM($U159:Y159)</f>
        <v>0</v>
      </c>
      <c r="BJ159" s="482">
        <f>SUM($U159:Z159)</f>
        <v>0</v>
      </c>
      <c r="BK159" s="482">
        <f>SUM($U159:AA159)</f>
        <v>0</v>
      </c>
      <c r="BL159" s="482">
        <f>SUM($U159:AB159)</f>
        <v>0</v>
      </c>
      <c r="BM159" s="482">
        <f>SUM($U159:AC159)</f>
        <v>0</v>
      </c>
      <c r="BN159" s="482">
        <f>SUM($U159:AD159)</f>
        <v>0</v>
      </c>
      <c r="BO159" s="482">
        <f>SUM($U159:AE159)</f>
        <v>0</v>
      </c>
      <c r="BP159" s="483">
        <f>SUM($U159:AF159)</f>
        <v>0</v>
      </c>
      <c r="BQ159" s="484">
        <f t="shared" si="18"/>
        <v>0</v>
      </c>
      <c r="BR159" s="482">
        <f>SUM($AS159:AT159)</f>
        <v>0</v>
      </c>
      <c r="BS159" s="482">
        <f>SUM($AS159:AU159)</f>
        <v>0</v>
      </c>
      <c r="BT159" s="482">
        <f>SUM($AS159:AV159)</f>
        <v>0</v>
      </c>
      <c r="BU159" s="482">
        <f>SUM($AS159:AW159)</f>
        <v>0</v>
      </c>
      <c r="BV159" s="482">
        <f>SUM($AS159:AX159)</f>
        <v>0</v>
      </c>
      <c r="BW159" s="482">
        <f>SUM($AS159:AY159)</f>
        <v>0</v>
      </c>
      <c r="BX159" s="482">
        <f>SUM($AS159:AZ159)</f>
        <v>0</v>
      </c>
      <c r="BY159" s="482">
        <f>SUM($AS159:BA159)</f>
        <v>0</v>
      </c>
      <c r="BZ159" s="482">
        <f>SUM($AS159:BB159)</f>
        <v>0</v>
      </c>
      <c r="CA159" s="482">
        <f>SUM($AS159:BC159)</f>
        <v>0</v>
      </c>
      <c r="CB159" s="483">
        <f>SUM($AS159:BD159)</f>
        <v>0</v>
      </c>
    </row>
    <row r="160" spans="1:80" s="471" customFormat="1" ht="12.75" hidden="1" customHeight="1">
      <c r="A160" s="471">
        <f t="shared" si="13"/>
        <v>151</v>
      </c>
      <c r="B160" s="628"/>
      <c r="C160" s="533"/>
      <c r="D160" s="533"/>
      <c r="E160" s="427"/>
      <c r="F160" s="586"/>
      <c r="G160" s="629"/>
      <c r="H160" s="582">
        <f t="shared" si="10"/>
        <v>153</v>
      </c>
      <c r="I160" s="524"/>
      <c r="J160" s="473"/>
      <c r="K160" s="473"/>
      <c r="L160" s="473"/>
      <c r="M160" s="473"/>
      <c r="N160" s="473"/>
      <c r="O160" s="473"/>
      <c r="P160" s="473"/>
      <c r="Q160" s="473"/>
      <c r="R160" s="473"/>
      <c r="S160" s="473"/>
      <c r="T160" s="474"/>
      <c r="U160" s="475"/>
      <c r="V160" s="473"/>
      <c r="W160" s="473"/>
      <c r="X160" s="473"/>
      <c r="Y160" s="473"/>
      <c r="Z160" s="473"/>
      <c r="AA160" s="473"/>
      <c r="AB160" s="473"/>
      <c r="AC160" s="473"/>
      <c r="AD160" s="473"/>
      <c r="AE160" s="473"/>
      <c r="AF160" s="473"/>
      <c r="AG160" s="510"/>
      <c r="AH160" s="495"/>
      <c r="AI160" s="495"/>
      <c r="AJ160" s="495"/>
      <c r="AK160" s="495"/>
      <c r="AL160" s="495"/>
      <c r="AM160" s="495"/>
      <c r="AN160" s="495"/>
      <c r="AO160" s="495"/>
      <c r="AP160" s="495"/>
      <c r="AQ160" s="495"/>
      <c r="AR160" s="497"/>
      <c r="AS160" s="509"/>
      <c r="AT160" s="495"/>
      <c r="AU160" s="495"/>
      <c r="AV160" s="480"/>
      <c r="AW160" s="496"/>
      <c r="AX160" s="495"/>
      <c r="AY160" s="495"/>
      <c r="AZ160" s="496"/>
      <c r="BA160" s="496"/>
      <c r="BB160" s="496"/>
      <c r="BC160" s="496"/>
      <c r="BD160" s="511"/>
      <c r="BE160" s="482">
        <f t="shared" si="17"/>
        <v>0</v>
      </c>
      <c r="BF160" s="482">
        <f>SUM($U160:V160)</f>
        <v>0</v>
      </c>
      <c r="BG160" s="482">
        <f>SUM($U160:W160)</f>
        <v>0</v>
      </c>
      <c r="BH160" s="482">
        <f>SUM($U160:X160)</f>
        <v>0</v>
      </c>
      <c r="BI160" s="482">
        <f>SUM($U160:Y160)</f>
        <v>0</v>
      </c>
      <c r="BJ160" s="482">
        <f>SUM($U160:Z160)</f>
        <v>0</v>
      </c>
      <c r="BK160" s="482">
        <f>SUM($U160:AA160)</f>
        <v>0</v>
      </c>
      <c r="BL160" s="482">
        <f>SUM($U160:AB160)</f>
        <v>0</v>
      </c>
      <c r="BM160" s="482">
        <f>SUM($U160:AC160)</f>
        <v>0</v>
      </c>
      <c r="BN160" s="482">
        <f>SUM($U160:AD160)</f>
        <v>0</v>
      </c>
      <c r="BO160" s="482">
        <f>SUM($U160:AE160)</f>
        <v>0</v>
      </c>
      <c r="BP160" s="483">
        <f>SUM($U160:AF160)</f>
        <v>0</v>
      </c>
      <c r="BQ160" s="484">
        <f t="shared" si="18"/>
        <v>0</v>
      </c>
      <c r="BR160" s="482">
        <f>SUM($AS160:AT160)</f>
        <v>0</v>
      </c>
      <c r="BS160" s="482">
        <f>SUM($AS160:AU160)</f>
        <v>0</v>
      </c>
      <c r="BT160" s="482">
        <f>SUM($AS160:AV160)</f>
        <v>0</v>
      </c>
      <c r="BU160" s="482">
        <f>SUM($AS160:AW160)</f>
        <v>0</v>
      </c>
      <c r="BV160" s="482">
        <f>SUM($AS160:AX160)</f>
        <v>0</v>
      </c>
      <c r="BW160" s="482">
        <f>SUM($AS160:AY160)</f>
        <v>0</v>
      </c>
      <c r="BX160" s="482">
        <f>SUM($AS160:AZ160)</f>
        <v>0</v>
      </c>
      <c r="BY160" s="482">
        <f>SUM($AS160:BA160)</f>
        <v>0</v>
      </c>
      <c r="BZ160" s="482">
        <f>SUM($AS160:BB160)</f>
        <v>0</v>
      </c>
      <c r="CA160" s="482">
        <f>SUM($AS160:BC160)</f>
        <v>0</v>
      </c>
      <c r="CB160" s="483">
        <f>SUM($AS160:BD160)</f>
        <v>0</v>
      </c>
    </row>
    <row r="161" spans="1:80" s="471" customFormat="1" ht="12.75" hidden="1" customHeight="1">
      <c r="A161" s="471">
        <f t="shared" si="13"/>
        <v>152</v>
      </c>
      <c r="B161" s="628"/>
      <c r="C161" s="533"/>
      <c r="D161" s="533"/>
      <c r="E161" s="427"/>
      <c r="F161" s="586"/>
      <c r="G161" s="629"/>
      <c r="H161" s="582">
        <f t="shared" si="10"/>
        <v>154</v>
      </c>
      <c r="I161" s="524"/>
      <c r="J161" s="473"/>
      <c r="K161" s="473"/>
      <c r="L161" s="473"/>
      <c r="M161" s="473"/>
      <c r="N161" s="473"/>
      <c r="O161" s="473"/>
      <c r="P161" s="473"/>
      <c r="Q161" s="473"/>
      <c r="R161" s="473"/>
      <c r="S161" s="473"/>
      <c r="T161" s="474"/>
      <c r="U161" s="475"/>
      <c r="V161" s="473"/>
      <c r="W161" s="473"/>
      <c r="X161" s="473"/>
      <c r="Y161" s="473"/>
      <c r="Z161" s="473"/>
      <c r="AA161" s="473"/>
      <c r="AB161" s="473"/>
      <c r="AC161" s="473"/>
      <c r="AD161" s="473"/>
      <c r="AE161" s="473"/>
      <c r="AF161" s="473"/>
      <c r="AG161" s="510"/>
      <c r="AH161" s="495"/>
      <c r="AI161" s="495"/>
      <c r="AJ161" s="495"/>
      <c r="AK161" s="495"/>
      <c r="AL161" s="495"/>
      <c r="AM161" s="495"/>
      <c r="AN161" s="495"/>
      <c r="AO161" s="495"/>
      <c r="AP161" s="495"/>
      <c r="AQ161" s="495"/>
      <c r="AR161" s="497"/>
      <c r="AS161" s="509"/>
      <c r="AT161" s="495"/>
      <c r="AU161" s="495"/>
      <c r="AV161" s="480"/>
      <c r="AW161" s="496"/>
      <c r="AX161" s="495"/>
      <c r="AY161" s="495"/>
      <c r="AZ161" s="496"/>
      <c r="BA161" s="496"/>
      <c r="BB161" s="496"/>
      <c r="BC161" s="496"/>
      <c r="BD161" s="511"/>
      <c r="BE161" s="482">
        <f t="shared" si="17"/>
        <v>0</v>
      </c>
      <c r="BF161" s="482">
        <f>SUM($U161:V161)</f>
        <v>0</v>
      </c>
      <c r="BG161" s="482">
        <f>SUM($U161:W161)</f>
        <v>0</v>
      </c>
      <c r="BH161" s="482">
        <f>SUM($U161:X161)</f>
        <v>0</v>
      </c>
      <c r="BI161" s="482">
        <f>SUM($U161:Y161)</f>
        <v>0</v>
      </c>
      <c r="BJ161" s="482">
        <f>SUM($U161:Z161)</f>
        <v>0</v>
      </c>
      <c r="BK161" s="482">
        <f>SUM($U161:AA161)</f>
        <v>0</v>
      </c>
      <c r="BL161" s="482">
        <f>SUM($U161:AB161)</f>
        <v>0</v>
      </c>
      <c r="BM161" s="482">
        <f>SUM($U161:AC161)</f>
        <v>0</v>
      </c>
      <c r="BN161" s="482">
        <f>SUM($U161:AD161)</f>
        <v>0</v>
      </c>
      <c r="BO161" s="482">
        <f>SUM($U161:AE161)</f>
        <v>0</v>
      </c>
      <c r="BP161" s="483">
        <f>SUM($U161:AF161)</f>
        <v>0</v>
      </c>
      <c r="BQ161" s="484">
        <f t="shared" si="18"/>
        <v>0</v>
      </c>
      <c r="BR161" s="482">
        <f>SUM($AS161:AT161)</f>
        <v>0</v>
      </c>
      <c r="BS161" s="482">
        <f>SUM($AS161:AU161)</f>
        <v>0</v>
      </c>
      <c r="BT161" s="482">
        <f>SUM($AS161:AV161)</f>
        <v>0</v>
      </c>
      <c r="BU161" s="482">
        <f>SUM($AS161:AW161)</f>
        <v>0</v>
      </c>
      <c r="BV161" s="482">
        <f>SUM($AS161:AX161)</f>
        <v>0</v>
      </c>
      <c r="BW161" s="482">
        <f>SUM($AS161:AY161)</f>
        <v>0</v>
      </c>
      <c r="BX161" s="482">
        <f>SUM($AS161:AZ161)</f>
        <v>0</v>
      </c>
      <c r="BY161" s="482">
        <f>SUM($AS161:BA161)</f>
        <v>0</v>
      </c>
      <c r="BZ161" s="482">
        <f>SUM($AS161:BB161)</f>
        <v>0</v>
      </c>
      <c r="CA161" s="482">
        <f>SUM($AS161:BC161)</f>
        <v>0</v>
      </c>
      <c r="CB161" s="483">
        <f>SUM($AS161:BD161)</f>
        <v>0</v>
      </c>
    </row>
    <row r="162" spans="1:80" s="471" customFormat="1" ht="12.75" hidden="1" customHeight="1">
      <c r="A162" s="471">
        <f t="shared" si="13"/>
        <v>153</v>
      </c>
      <c r="B162" s="628"/>
      <c r="C162" s="533"/>
      <c r="D162" s="533"/>
      <c r="E162" s="427"/>
      <c r="F162" s="586"/>
      <c r="G162" s="629"/>
      <c r="H162" s="582">
        <f t="shared" si="10"/>
        <v>155</v>
      </c>
      <c r="I162" s="524"/>
      <c r="J162" s="473"/>
      <c r="K162" s="473"/>
      <c r="L162" s="473"/>
      <c r="M162" s="473"/>
      <c r="N162" s="473"/>
      <c r="O162" s="473"/>
      <c r="P162" s="473"/>
      <c r="Q162" s="473"/>
      <c r="R162" s="473"/>
      <c r="S162" s="473"/>
      <c r="T162" s="474"/>
      <c r="U162" s="475"/>
      <c r="V162" s="473"/>
      <c r="W162" s="473"/>
      <c r="X162" s="473"/>
      <c r="Y162" s="473"/>
      <c r="Z162" s="473"/>
      <c r="AA162" s="473"/>
      <c r="AB162" s="473"/>
      <c r="AC162" s="473"/>
      <c r="AD162" s="473"/>
      <c r="AE162" s="473"/>
      <c r="AF162" s="473"/>
      <c r="AG162" s="510"/>
      <c r="AH162" s="495"/>
      <c r="AI162" s="495"/>
      <c r="AJ162" s="495"/>
      <c r="AK162" s="495"/>
      <c r="AL162" s="495"/>
      <c r="AM162" s="495"/>
      <c r="AN162" s="495"/>
      <c r="AO162" s="495"/>
      <c r="AP162" s="495"/>
      <c r="AQ162" s="495"/>
      <c r="AR162" s="497"/>
      <c r="AS162" s="509"/>
      <c r="AT162" s="495"/>
      <c r="AU162" s="495"/>
      <c r="AV162" s="480"/>
      <c r="AW162" s="496"/>
      <c r="AX162" s="495"/>
      <c r="AY162" s="495"/>
      <c r="AZ162" s="496"/>
      <c r="BA162" s="496"/>
      <c r="BB162" s="496"/>
      <c r="BC162" s="496"/>
      <c r="BD162" s="511"/>
      <c r="BE162" s="482">
        <f t="shared" si="17"/>
        <v>0</v>
      </c>
      <c r="BF162" s="482">
        <f>SUM($U162:V162)</f>
        <v>0</v>
      </c>
      <c r="BG162" s="482">
        <f>SUM($U162:W162)</f>
        <v>0</v>
      </c>
      <c r="BH162" s="482">
        <f>SUM($U162:X162)</f>
        <v>0</v>
      </c>
      <c r="BI162" s="482">
        <f>SUM($U162:Y162)</f>
        <v>0</v>
      </c>
      <c r="BJ162" s="482">
        <f>SUM($U162:Z162)</f>
        <v>0</v>
      </c>
      <c r="BK162" s="482">
        <f>SUM($U162:AA162)</f>
        <v>0</v>
      </c>
      <c r="BL162" s="482">
        <f>SUM($U162:AB162)</f>
        <v>0</v>
      </c>
      <c r="BM162" s="482">
        <f>SUM($U162:AC162)</f>
        <v>0</v>
      </c>
      <c r="BN162" s="482">
        <f>SUM($U162:AD162)</f>
        <v>0</v>
      </c>
      <c r="BO162" s="482">
        <f>SUM($U162:AE162)</f>
        <v>0</v>
      </c>
      <c r="BP162" s="483">
        <f>SUM($U162:AF162)</f>
        <v>0</v>
      </c>
      <c r="BQ162" s="484">
        <f t="shared" si="18"/>
        <v>0</v>
      </c>
      <c r="BR162" s="482">
        <f>SUM($AS162:AT162)</f>
        <v>0</v>
      </c>
      <c r="BS162" s="482">
        <f>SUM($AS162:AU162)</f>
        <v>0</v>
      </c>
      <c r="BT162" s="482">
        <f>SUM($AS162:AV162)</f>
        <v>0</v>
      </c>
      <c r="BU162" s="482">
        <f>SUM($AS162:AW162)</f>
        <v>0</v>
      </c>
      <c r="BV162" s="482">
        <f>SUM($AS162:AX162)</f>
        <v>0</v>
      </c>
      <c r="BW162" s="482">
        <f>SUM($AS162:AY162)</f>
        <v>0</v>
      </c>
      <c r="BX162" s="482">
        <f>SUM($AS162:AZ162)</f>
        <v>0</v>
      </c>
      <c r="BY162" s="482">
        <f>SUM($AS162:BA162)</f>
        <v>0</v>
      </c>
      <c r="BZ162" s="482">
        <f>SUM($AS162:BB162)</f>
        <v>0</v>
      </c>
      <c r="CA162" s="482">
        <f>SUM($AS162:BC162)</f>
        <v>0</v>
      </c>
      <c r="CB162" s="483">
        <f>SUM($AS162:BD162)</f>
        <v>0</v>
      </c>
    </row>
    <row r="163" spans="1:80" s="471" customFormat="1" ht="12.75" hidden="1" customHeight="1">
      <c r="A163" s="471">
        <f t="shared" si="13"/>
        <v>154</v>
      </c>
      <c r="B163" s="628"/>
      <c r="C163" s="533"/>
      <c r="D163" s="533"/>
      <c r="E163" s="427"/>
      <c r="F163" s="586"/>
      <c r="G163" s="629"/>
      <c r="H163" s="582">
        <f t="shared" si="10"/>
        <v>156</v>
      </c>
      <c r="I163" s="524"/>
      <c r="J163" s="473"/>
      <c r="K163" s="473"/>
      <c r="L163" s="473"/>
      <c r="M163" s="473"/>
      <c r="N163" s="473"/>
      <c r="O163" s="473"/>
      <c r="P163" s="473"/>
      <c r="Q163" s="473"/>
      <c r="R163" s="473"/>
      <c r="S163" s="473"/>
      <c r="T163" s="474"/>
      <c r="U163" s="475"/>
      <c r="V163" s="473"/>
      <c r="W163" s="473"/>
      <c r="X163" s="473"/>
      <c r="Y163" s="473"/>
      <c r="Z163" s="473"/>
      <c r="AA163" s="473"/>
      <c r="AB163" s="473"/>
      <c r="AC163" s="473"/>
      <c r="AD163" s="473"/>
      <c r="AE163" s="473"/>
      <c r="AF163" s="473"/>
      <c r="AG163" s="510"/>
      <c r="AH163" s="495"/>
      <c r="AI163" s="495"/>
      <c r="AJ163" s="495"/>
      <c r="AK163" s="495"/>
      <c r="AL163" s="495"/>
      <c r="AM163" s="495"/>
      <c r="AN163" s="495"/>
      <c r="AO163" s="495"/>
      <c r="AP163" s="495"/>
      <c r="AQ163" s="495"/>
      <c r="AR163" s="497"/>
      <c r="AS163" s="509"/>
      <c r="AT163" s="495"/>
      <c r="AU163" s="495"/>
      <c r="AV163" s="480"/>
      <c r="AW163" s="496"/>
      <c r="AX163" s="495"/>
      <c r="AY163" s="495"/>
      <c r="AZ163" s="496"/>
      <c r="BA163" s="496"/>
      <c r="BB163" s="496"/>
      <c r="BC163" s="496"/>
      <c r="BD163" s="511"/>
      <c r="BE163" s="482">
        <f t="shared" si="17"/>
        <v>0</v>
      </c>
      <c r="BF163" s="482">
        <f>SUM($U163:V163)</f>
        <v>0</v>
      </c>
      <c r="BG163" s="482">
        <f>SUM($U163:W163)</f>
        <v>0</v>
      </c>
      <c r="BH163" s="482">
        <f>SUM($U163:X163)</f>
        <v>0</v>
      </c>
      <c r="BI163" s="482">
        <f>SUM($U163:Y163)</f>
        <v>0</v>
      </c>
      <c r="BJ163" s="482">
        <f>SUM($U163:Z163)</f>
        <v>0</v>
      </c>
      <c r="BK163" s="482">
        <f>SUM($U163:AA163)</f>
        <v>0</v>
      </c>
      <c r="BL163" s="482">
        <f>SUM($U163:AB163)</f>
        <v>0</v>
      </c>
      <c r="BM163" s="482">
        <f>SUM($U163:AC163)</f>
        <v>0</v>
      </c>
      <c r="BN163" s="482">
        <f>SUM($U163:AD163)</f>
        <v>0</v>
      </c>
      <c r="BO163" s="482">
        <f>SUM($U163:AE163)</f>
        <v>0</v>
      </c>
      <c r="BP163" s="483">
        <f>SUM($U163:AF163)</f>
        <v>0</v>
      </c>
      <c r="BQ163" s="484">
        <f t="shared" si="18"/>
        <v>0</v>
      </c>
      <c r="BR163" s="482">
        <f>SUM($AS163:AT163)</f>
        <v>0</v>
      </c>
      <c r="BS163" s="482">
        <f>SUM($AS163:AU163)</f>
        <v>0</v>
      </c>
      <c r="BT163" s="482">
        <f>SUM($AS163:AV163)</f>
        <v>0</v>
      </c>
      <c r="BU163" s="482">
        <f>SUM($AS163:AW163)</f>
        <v>0</v>
      </c>
      <c r="BV163" s="482">
        <f>SUM($AS163:AX163)</f>
        <v>0</v>
      </c>
      <c r="BW163" s="482">
        <f>SUM($AS163:AY163)</f>
        <v>0</v>
      </c>
      <c r="BX163" s="482">
        <f>SUM($AS163:AZ163)</f>
        <v>0</v>
      </c>
      <c r="BY163" s="482">
        <f>SUM($AS163:BA163)</f>
        <v>0</v>
      </c>
      <c r="BZ163" s="482">
        <f>SUM($AS163:BB163)</f>
        <v>0</v>
      </c>
      <c r="CA163" s="482">
        <f>SUM($AS163:BC163)</f>
        <v>0</v>
      </c>
      <c r="CB163" s="483">
        <f>SUM($AS163:BD163)</f>
        <v>0</v>
      </c>
    </row>
    <row r="164" spans="1:80" s="471" customFormat="1" ht="12.75" hidden="1" customHeight="1">
      <c r="A164" s="471">
        <f t="shared" si="13"/>
        <v>155</v>
      </c>
      <c r="B164" s="628"/>
      <c r="C164" s="533"/>
      <c r="D164" s="533"/>
      <c r="E164" s="427"/>
      <c r="F164" s="586"/>
      <c r="G164" s="629"/>
      <c r="H164" s="582">
        <f t="shared" si="10"/>
        <v>157</v>
      </c>
      <c r="I164" s="524"/>
      <c r="J164" s="473"/>
      <c r="K164" s="473"/>
      <c r="L164" s="473"/>
      <c r="M164" s="473"/>
      <c r="N164" s="473"/>
      <c r="O164" s="473"/>
      <c r="P164" s="473"/>
      <c r="Q164" s="473"/>
      <c r="R164" s="473"/>
      <c r="S164" s="473"/>
      <c r="T164" s="474"/>
      <c r="U164" s="475"/>
      <c r="V164" s="473"/>
      <c r="W164" s="473"/>
      <c r="X164" s="473"/>
      <c r="Y164" s="473"/>
      <c r="Z164" s="473"/>
      <c r="AA164" s="473"/>
      <c r="AB164" s="473"/>
      <c r="AC164" s="473"/>
      <c r="AD164" s="473"/>
      <c r="AE164" s="473"/>
      <c r="AF164" s="473"/>
      <c r="AG164" s="510"/>
      <c r="AH164" s="495"/>
      <c r="AI164" s="495"/>
      <c r="AJ164" s="495"/>
      <c r="AK164" s="495"/>
      <c r="AL164" s="495"/>
      <c r="AM164" s="495"/>
      <c r="AN164" s="495"/>
      <c r="AO164" s="495"/>
      <c r="AP164" s="495"/>
      <c r="AQ164" s="495"/>
      <c r="AR164" s="497"/>
      <c r="AS164" s="509"/>
      <c r="AT164" s="495"/>
      <c r="AU164" s="495"/>
      <c r="AV164" s="480"/>
      <c r="AW164" s="496"/>
      <c r="AX164" s="495"/>
      <c r="AY164" s="495"/>
      <c r="AZ164" s="496"/>
      <c r="BA164" s="496"/>
      <c r="BB164" s="496"/>
      <c r="BC164" s="496"/>
      <c r="BD164" s="511"/>
      <c r="BE164" s="482">
        <f t="shared" si="17"/>
        <v>0</v>
      </c>
      <c r="BF164" s="482">
        <f>SUM($U164:V164)</f>
        <v>0</v>
      </c>
      <c r="BG164" s="482">
        <f>SUM($U164:W164)</f>
        <v>0</v>
      </c>
      <c r="BH164" s="482">
        <f>SUM($U164:X164)</f>
        <v>0</v>
      </c>
      <c r="BI164" s="482">
        <f>SUM($U164:Y164)</f>
        <v>0</v>
      </c>
      <c r="BJ164" s="482">
        <f>SUM($U164:Z164)</f>
        <v>0</v>
      </c>
      <c r="BK164" s="482">
        <f>SUM($U164:AA164)</f>
        <v>0</v>
      </c>
      <c r="BL164" s="482">
        <f>SUM($U164:AB164)</f>
        <v>0</v>
      </c>
      <c r="BM164" s="482">
        <f>SUM($U164:AC164)</f>
        <v>0</v>
      </c>
      <c r="BN164" s="482">
        <f>SUM($U164:AD164)</f>
        <v>0</v>
      </c>
      <c r="BO164" s="482">
        <f>SUM($U164:AE164)</f>
        <v>0</v>
      </c>
      <c r="BP164" s="483">
        <f>SUM($U164:AF164)</f>
        <v>0</v>
      </c>
      <c r="BQ164" s="484">
        <f t="shared" si="18"/>
        <v>0</v>
      </c>
      <c r="BR164" s="482">
        <f>SUM($AS164:AT164)</f>
        <v>0</v>
      </c>
      <c r="BS164" s="482">
        <f>SUM($AS164:AU164)</f>
        <v>0</v>
      </c>
      <c r="BT164" s="482">
        <f>SUM($AS164:AV164)</f>
        <v>0</v>
      </c>
      <c r="BU164" s="482">
        <f>SUM($AS164:AW164)</f>
        <v>0</v>
      </c>
      <c r="BV164" s="482">
        <f>SUM($AS164:AX164)</f>
        <v>0</v>
      </c>
      <c r="BW164" s="482">
        <f>SUM($AS164:AY164)</f>
        <v>0</v>
      </c>
      <c r="BX164" s="482">
        <f>SUM($AS164:AZ164)</f>
        <v>0</v>
      </c>
      <c r="BY164" s="482">
        <f>SUM($AS164:BA164)</f>
        <v>0</v>
      </c>
      <c r="BZ164" s="482">
        <f>SUM($AS164:BB164)</f>
        <v>0</v>
      </c>
      <c r="CA164" s="482">
        <f>SUM($AS164:BC164)</f>
        <v>0</v>
      </c>
      <c r="CB164" s="483">
        <f>SUM($AS164:BD164)</f>
        <v>0</v>
      </c>
    </row>
    <row r="165" spans="1:80" s="471" customFormat="1" ht="12.75" hidden="1" customHeight="1">
      <c r="A165" s="471">
        <f t="shared" si="13"/>
        <v>156</v>
      </c>
      <c r="B165" s="628"/>
      <c r="C165" s="533"/>
      <c r="D165" s="533"/>
      <c r="E165" s="427"/>
      <c r="F165" s="586"/>
      <c r="G165" s="629"/>
      <c r="H165" s="582">
        <f t="shared" si="10"/>
        <v>158</v>
      </c>
      <c r="I165" s="524"/>
      <c r="J165" s="473"/>
      <c r="K165" s="473"/>
      <c r="L165" s="473"/>
      <c r="M165" s="473"/>
      <c r="N165" s="473"/>
      <c r="O165" s="473"/>
      <c r="P165" s="473"/>
      <c r="Q165" s="473"/>
      <c r="R165" s="473"/>
      <c r="S165" s="473"/>
      <c r="T165" s="474"/>
      <c r="U165" s="475"/>
      <c r="V165" s="473"/>
      <c r="W165" s="473"/>
      <c r="X165" s="473"/>
      <c r="Y165" s="473"/>
      <c r="Z165" s="473"/>
      <c r="AA165" s="473"/>
      <c r="AB165" s="473"/>
      <c r="AC165" s="473"/>
      <c r="AD165" s="473"/>
      <c r="AE165" s="473"/>
      <c r="AF165" s="473"/>
      <c r="AG165" s="510"/>
      <c r="AH165" s="495"/>
      <c r="AI165" s="495"/>
      <c r="AJ165" s="495"/>
      <c r="AK165" s="495"/>
      <c r="AL165" s="495"/>
      <c r="AM165" s="495"/>
      <c r="AN165" s="495"/>
      <c r="AO165" s="495"/>
      <c r="AP165" s="495"/>
      <c r="AQ165" s="495"/>
      <c r="AR165" s="497"/>
      <c r="AS165" s="509"/>
      <c r="AT165" s="495"/>
      <c r="AU165" s="495"/>
      <c r="AV165" s="480"/>
      <c r="AW165" s="496"/>
      <c r="AX165" s="495"/>
      <c r="AY165" s="495"/>
      <c r="AZ165" s="496"/>
      <c r="BA165" s="496"/>
      <c r="BB165" s="496"/>
      <c r="BC165" s="496"/>
      <c r="BD165" s="511"/>
      <c r="BE165" s="482">
        <f t="shared" si="17"/>
        <v>0</v>
      </c>
      <c r="BF165" s="482">
        <f>SUM($U165:V165)</f>
        <v>0</v>
      </c>
      <c r="BG165" s="482">
        <f>SUM($U165:W165)</f>
        <v>0</v>
      </c>
      <c r="BH165" s="482">
        <f>SUM($U165:X165)</f>
        <v>0</v>
      </c>
      <c r="BI165" s="482">
        <f>SUM($U165:Y165)</f>
        <v>0</v>
      </c>
      <c r="BJ165" s="482">
        <f>SUM($U165:Z165)</f>
        <v>0</v>
      </c>
      <c r="BK165" s="482">
        <f>SUM($U165:AA165)</f>
        <v>0</v>
      </c>
      <c r="BL165" s="482">
        <f>SUM($U165:AB165)</f>
        <v>0</v>
      </c>
      <c r="BM165" s="482">
        <f>SUM($U165:AC165)</f>
        <v>0</v>
      </c>
      <c r="BN165" s="482">
        <f>SUM($U165:AD165)</f>
        <v>0</v>
      </c>
      <c r="BO165" s="482">
        <f>SUM($U165:AE165)</f>
        <v>0</v>
      </c>
      <c r="BP165" s="483">
        <f>SUM($U165:AF165)</f>
        <v>0</v>
      </c>
      <c r="BQ165" s="484">
        <f t="shared" si="18"/>
        <v>0</v>
      </c>
      <c r="BR165" s="482">
        <f>SUM($AS165:AT165)</f>
        <v>0</v>
      </c>
      <c r="BS165" s="482">
        <f>SUM($AS165:AU165)</f>
        <v>0</v>
      </c>
      <c r="BT165" s="482">
        <f>SUM($AS165:AV165)</f>
        <v>0</v>
      </c>
      <c r="BU165" s="482">
        <f>SUM($AS165:AW165)</f>
        <v>0</v>
      </c>
      <c r="BV165" s="482">
        <f>SUM($AS165:AX165)</f>
        <v>0</v>
      </c>
      <c r="BW165" s="482">
        <f>SUM($AS165:AY165)</f>
        <v>0</v>
      </c>
      <c r="BX165" s="482">
        <f>SUM($AS165:AZ165)</f>
        <v>0</v>
      </c>
      <c r="BY165" s="482">
        <f>SUM($AS165:BA165)</f>
        <v>0</v>
      </c>
      <c r="BZ165" s="482">
        <f>SUM($AS165:BB165)</f>
        <v>0</v>
      </c>
      <c r="CA165" s="482">
        <f>SUM($AS165:BC165)</f>
        <v>0</v>
      </c>
      <c r="CB165" s="483">
        <f>SUM($AS165:BD165)</f>
        <v>0</v>
      </c>
    </row>
    <row r="166" spans="1:80" s="471" customFormat="1" ht="12.75" hidden="1" customHeight="1">
      <c r="A166" s="471">
        <f t="shared" si="13"/>
        <v>157</v>
      </c>
      <c r="B166" s="628"/>
      <c r="C166" s="533"/>
      <c r="D166" s="533"/>
      <c r="E166" s="427"/>
      <c r="F166" s="586"/>
      <c r="G166" s="629"/>
      <c r="H166" s="582">
        <f t="shared" ref="H166:H229" si="19">1+H165</f>
        <v>159</v>
      </c>
      <c r="I166" s="524"/>
      <c r="J166" s="473"/>
      <c r="K166" s="473"/>
      <c r="L166" s="473"/>
      <c r="M166" s="473"/>
      <c r="N166" s="473"/>
      <c r="O166" s="473"/>
      <c r="P166" s="473"/>
      <c r="Q166" s="473"/>
      <c r="R166" s="473"/>
      <c r="S166" s="473"/>
      <c r="T166" s="474"/>
      <c r="U166" s="475"/>
      <c r="V166" s="473"/>
      <c r="W166" s="473"/>
      <c r="X166" s="473"/>
      <c r="Y166" s="473"/>
      <c r="Z166" s="473"/>
      <c r="AA166" s="473"/>
      <c r="AB166" s="473"/>
      <c r="AC166" s="473"/>
      <c r="AD166" s="473"/>
      <c r="AE166" s="473"/>
      <c r="AF166" s="473"/>
      <c r="AG166" s="510"/>
      <c r="AH166" s="495"/>
      <c r="AI166" s="495"/>
      <c r="AJ166" s="495"/>
      <c r="AK166" s="495"/>
      <c r="AL166" s="495"/>
      <c r="AM166" s="495"/>
      <c r="AN166" s="495"/>
      <c r="AO166" s="495"/>
      <c r="AP166" s="495"/>
      <c r="AQ166" s="495"/>
      <c r="AR166" s="497"/>
      <c r="AS166" s="509"/>
      <c r="AT166" s="495"/>
      <c r="AU166" s="495"/>
      <c r="AV166" s="480"/>
      <c r="AW166" s="496"/>
      <c r="AX166" s="495"/>
      <c r="AY166" s="495"/>
      <c r="AZ166" s="496"/>
      <c r="BA166" s="496"/>
      <c r="BB166" s="496"/>
      <c r="BC166" s="496"/>
      <c r="BD166" s="511"/>
      <c r="BE166" s="482">
        <f t="shared" si="17"/>
        <v>0</v>
      </c>
      <c r="BF166" s="482">
        <f>SUM($U166:V166)</f>
        <v>0</v>
      </c>
      <c r="BG166" s="482">
        <f>SUM($U166:W166)</f>
        <v>0</v>
      </c>
      <c r="BH166" s="482">
        <f>SUM($U166:X166)</f>
        <v>0</v>
      </c>
      <c r="BI166" s="482">
        <f>SUM($U166:Y166)</f>
        <v>0</v>
      </c>
      <c r="BJ166" s="482">
        <f>SUM($U166:Z166)</f>
        <v>0</v>
      </c>
      <c r="BK166" s="482">
        <f>SUM($U166:AA166)</f>
        <v>0</v>
      </c>
      <c r="BL166" s="482">
        <f>SUM($U166:AB166)</f>
        <v>0</v>
      </c>
      <c r="BM166" s="482">
        <f>SUM($U166:AC166)</f>
        <v>0</v>
      </c>
      <c r="BN166" s="482">
        <f>SUM($U166:AD166)</f>
        <v>0</v>
      </c>
      <c r="BO166" s="482">
        <f>SUM($U166:AE166)</f>
        <v>0</v>
      </c>
      <c r="BP166" s="483">
        <f>SUM($U166:AF166)</f>
        <v>0</v>
      </c>
      <c r="BQ166" s="484">
        <f t="shared" si="18"/>
        <v>0</v>
      </c>
      <c r="BR166" s="482">
        <f>SUM($AS166:AT166)</f>
        <v>0</v>
      </c>
      <c r="BS166" s="482">
        <f>SUM($AS166:AU166)</f>
        <v>0</v>
      </c>
      <c r="BT166" s="482">
        <f>SUM($AS166:AV166)</f>
        <v>0</v>
      </c>
      <c r="BU166" s="482">
        <f>SUM($AS166:AW166)</f>
        <v>0</v>
      </c>
      <c r="BV166" s="482">
        <f>SUM($AS166:AX166)</f>
        <v>0</v>
      </c>
      <c r="BW166" s="482">
        <f>SUM($AS166:AY166)</f>
        <v>0</v>
      </c>
      <c r="BX166" s="482">
        <f>SUM($AS166:AZ166)</f>
        <v>0</v>
      </c>
      <c r="BY166" s="482">
        <f>SUM($AS166:BA166)</f>
        <v>0</v>
      </c>
      <c r="BZ166" s="482">
        <f>SUM($AS166:BB166)</f>
        <v>0</v>
      </c>
      <c r="CA166" s="482">
        <f>SUM($AS166:BC166)</f>
        <v>0</v>
      </c>
      <c r="CB166" s="483">
        <f>SUM($AS166:BD166)</f>
        <v>0</v>
      </c>
    </row>
    <row r="167" spans="1:80" s="471" customFormat="1" ht="12.75" hidden="1" customHeight="1">
      <c r="A167" s="471">
        <f t="shared" si="13"/>
        <v>158</v>
      </c>
      <c r="B167" s="628"/>
      <c r="C167" s="533"/>
      <c r="D167" s="533"/>
      <c r="E167" s="427"/>
      <c r="F167" s="586"/>
      <c r="G167" s="629"/>
      <c r="H167" s="582">
        <f t="shared" si="19"/>
        <v>160</v>
      </c>
      <c r="I167" s="524"/>
      <c r="J167" s="473"/>
      <c r="K167" s="473"/>
      <c r="L167" s="473"/>
      <c r="M167" s="473"/>
      <c r="N167" s="473"/>
      <c r="O167" s="473"/>
      <c r="P167" s="473"/>
      <c r="Q167" s="473"/>
      <c r="R167" s="473"/>
      <c r="S167" s="473"/>
      <c r="T167" s="474"/>
      <c r="U167" s="475"/>
      <c r="V167" s="473"/>
      <c r="W167" s="473"/>
      <c r="X167" s="473"/>
      <c r="Y167" s="473"/>
      <c r="Z167" s="473"/>
      <c r="AA167" s="473"/>
      <c r="AB167" s="473"/>
      <c r="AC167" s="473"/>
      <c r="AD167" s="473"/>
      <c r="AE167" s="473"/>
      <c r="AF167" s="473"/>
      <c r="AG167" s="510"/>
      <c r="AH167" s="495"/>
      <c r="AI167" s="495"/>
      <c r="AJ167" s="495"/>
      <c r="AK167" s="495"/>
      <c r="AL167" s="495"/>
      <c r="AM167" s="495"/>
      <c r="AN167" s="495"/>
      <c r="AO167" s="495"/>
      <c r="AP167" s="495"/>
      <c r="AQ167" s="495"/>
      <c r="AR167" s="497"/>
      <c r="AS167" s="509"/>
      <c r="AT167" s="495"/>
      <c r="AU167" s="495"/>
      <c r="AV167" s="480"/>
      <c r="AW167" s="496"/>
      <c r="AX167" s="495"/>
      <c r="AY167" s="495"/>
      <c r="AZ167" s="496"/>
      <c r="BA167" s="496"/>
      <c r="BB167" s="496"/>
      <c r="BC167" s="496"/>
      <c r="BD167" s="511"/>
      <c r="BE167" s="482">
        <f t="shared" si="17"/>
        <v>0</v>
      </c>
      <c r="BF167" s="482">
        <f>SUM($U167:V167)</f>
        <v>0</v>
      </c>
      <c r="BG167" s="482">
        <f>SUM($U167:W167)</f>
        <v>0</v>
      </c>
      <c r="BH167" s="482">
        <f>SUM($U167:X167)</f>
        <v>0</v>
      </c>
      <c r="BI167" s="482">
        <f>SUM($U167:Y167)</f>
        <v>0</v>
      </c>
      <c r="BJ167" s="482">
        <f>SUM($U167:Z167)</f>
        <v>0</v>
      </c>
      <c r="BK167" s="482">
        <f>SUM($U167:AA167)</f>
        <v>0</v>
      </c>
      <c r="BL167" s="482">
        <f>SUM($U167:AB167)</f>
        <v>0</v>
      </c>
      <c r="BM167" s="482">
        <f>SUM($U167:AC167)</f>
        <v>0</v>
      </c>
      <c r="BN167" s="482">
        <f>SUM($U167:AD167)</f>
        <v>0</v>
      </c>
      <c r="BO167" s="482">
        <f>SUM($U167:AE167)</f>
        <v>0</v>
      </c>
      <c r="BP167" s="483">
        <f>SUM($U167:AF167)</f>
        <v>0</v>
      </c>
      <c r="BQ167" s="484">
        <f t="shared" si="18"/>
        <v>0</v>
      </c>
      <c r="BR167" s="482">
        <f>SUM($AS167:AT167)</f>
        <v>0</v>
      </c>
      <c r="BS167" s="482">
        <f>SUM($AS167:AU167)</f>
        <v>0</v>
      </c>
      <c r="BT167" s="482">
        <f>SUM($AS167:AV167)</f>
        <v>0</v>
      </c>
      <c r="BU167" s="482">
        <f>SUM($AS167:AW167)</f>
        <v>0</v>
      </c>
      <c r="BV167" s="482">
        <f>SUM($AS167:AX167)</f>
        <v>0</v>
      </c>
      <c r="BW167" s="482">
        <f>SUM($AS167:AY167)</f>
        <v>0</v>
      </c>
      <c r="BX167" s="482">
        <f>SUM($AS167:AZ167)</f>
        <v>0</v>
      </c>
      <c r="BY167" s="482">
        <f>SUM($AS167:BA167)</f>
        <v>0</v>
      </c>
      <c r="BZ167" s="482">
        <f>SUM($AS167:BB167)</f>
        <v>0</v>
      </c>
      <c r="CA167" s="482">
        <f>SUM($AS167:BC167)</f>
        <v>0</v>
      </c>
      <c r="CB167" s="483">
        <f>SUM($AS167:BD167)</f>
        <v>0</v>
      </c>
    </row>
    <row r="168" spans="1:80" s="471" customFormat="1" ht="12.75" hidden="1" customHeight="1">
      <c r="A168" s="471">
        <f t="shared" si="13"/>
        <v>159</v>
      </c>
      <c r="B168" s="628"/>
      <c r="C168" s="533"/>
      <c r="D168" s="533"/>
      <c r="E168" s="427"/>
      <c r="F168" s="586"/>
      <c r="G168" s="629"/>
      <c r="H168" s="582">
        <f t="shared" si="19"/>
        <v>161</v>
      </c>
      <c r="I168" s="524"/>
      <c r="J168" s="473"/>
      <c r="K168" s="473"/>
      <c r="L168" s="473"/>
      <c r="M168" s="473"/>
      <c r="N168" s="473"/>
      <c r="O168" s="473"/>
      <c r="P168" s="473"/>
      <c r="Q168" s="473"/>
      <c r="R168" s="473"/>
      <c r="S168" s="473"/>
      <c r="T168" s="474"/>
      <c r="U168" s="475"/>
      <c r="V168" s="473"/>
      <c r="W168" s="473"/>
      <c r="X168" s="473"/>
      <c r="Y168" s="473"/>
      <c r="Z168" s="473"/>
      <c r="AA168" s="473"/>
      <c r="AB168" s="473"/>
      <c r="AC168" s="473"/>
      <c r="AD168" s="473"/>
      <c r="AE168" s="473"/>
      <c r="AF168" s="473"/>
      <c r="AG168" s="510"/>
      <c r="AH168" s="495"/>
      <c r="AI168" s="495"/>
      <c r="AJ168" s="495"/>
      <c r="AK168" s="495"/>
      <c r="AL168" s="495"/>
      <c r="AM168" s="495"/>
      <c r="AN168" s="495"/>
      <c r="AO168" s="495"/>
      <c r="AP168" s="495"/>
      <c r="AQ168" s="495"/>
      <c r="AR168" s="497"/>
      <c r="AS168" s="509"/>
      <c r="AT168" s="495"/>
      <c r="AU168" s="495"/>
      <c r="AV168" s="480"/>
      <c r="AW168" s="496"/>
      <c r="AX168" s="495"/>
      <c r="AY168" s="495"/>
      <c r="AZ168" s="496"/>
      <c r="BA168" s="496"/>
      <c r="BB168" s="496"/>
      <c r="BC168" s="496"/>
      <c r="BD168" s="511"/>
      <c r="BE168" s="482">
        <f t="shared" si="17"/>
        <v>0</v>
      </c>
      <c r="BF168" s="482">
        <f>SUM($U168:V168)</f>
        <v>0</v>
      </c>
      <c r="BG168" s="482">
        <f>SUM($U168:W168)</f>
        <v>0</v>
      </c>
      <c r="BH168" s="482">
        <f>SUM($U168:X168)</f>
        <v>0</v>
      </c>
      <c r="BI168" s="482">
        <f>SUM($U168:Y168)</f>
        <v>0</v>
      </c>
      <c r="BJ168" s="482">
        <f>SUM($U168:Z168)</f>
        <v>0</v>
      </c>
      <c r="BK168" s="482">
        <f>SUM($U168:AA168)</f>
        <v>0</v>
      </c>
      <c r="BL168" s="482">
        <f>SUM($U168:AB168)</f>
        <v>0</v>
      </c>
      <c r="BM168" s="482">
        <f>SUM($U168:AC168)</f>
        <v>0</v>
      </c>
      <c r="BN168" s="482">
        <f>SUM($U168:AD168)</f>
        <v>0</v>
      </c>
      <c r="BO168" s="482">
        <f>SUM($U168:AE168)</f>
        <v>0</v>
      </c>
      <c r="BP168" s="483">
        <f>SUM($U168:AF168)</f>
        <v>0</v>
      </c>
      <c r="BQ168" s="484">
        <f t="shared" si="18"/>
        <v>0</v>
      </c>
      <c r="BR168" s="482">
        <f>SUM($AS168:AT168)</f>
        <v>0</v>
      </c>
      <c r="BS168" s="482">
        <f>SUM($AS168:AU168)</f>
        <v>0</v>
      </c>
      <c r="BT168" s="482">
        <f>SUM($AS168:AV168)</f>
        <v>0</v>
      </c>
      <c r="BU168" s="482">
        <f>SUM($AS168:AW168)</f>
        <v>0</v>
      </c>
      <c r="BV168" s="482">
        <f>SUM($AS168:AX168)</f>
        <v>0</v>
      </c>
      <c r="BW168" s="482">
        <f>SUM($AS168:AY168)</f>
        <v>0</v>
      </c>
      <c r="BX168" s="482">
        <f>SUM($AS168:AZ168)</f>
        <v>0</v>
      </c>
      <c r="BY168" s="482">
        <f>SUM($AS168:BA168)</f>
        <v>0</v>
      </c>
      <c r="BZ168" s="482">
        <f>SUM($AS168:BB168)</f>
        <v>0</v>
      </c>
      <c r="CA168" s="482">
        <f>SUM($AS168:BC168)</f>
        <v>0</v>
      </c>
      <c r="CB168" s="483">
        <f>SUM($AS168:BD168)</f>
        <v>0</v>
      </c>
    </row>
    <row r="169" spans="1:80" s="471" customFormat="1" ht="12.75" hidden="1" customHeight="1">
      <c r="A169" s="471">
        <f t="shared" si="13"/>
        <v>160</v>
      </c>
      <c r="B169" s="628"/>
      <c r="C169" s="533"/>
      <c r="D169" s="533"/>
      <c r="E169" s="427"/>
      <c r="F169" s="586"/>
      <c r="G169" s="629"/>
      <c r="H169" s="582">
        <f t="shared" si="19"/>
        <v>162</v>
      </c>
      <c r="I169" s="524"/>
      <c r="J169" s="473"/>
      <c r="K169" s="473"/>
      <c r="L169" s="473"/>
      <c r="M169" s="473"/>
      <c r="N169" s="473"/>
      <c r="O169" s="473"/>
      <c r="P169" s="473"/>
      <c r="Q169" s="473"/>
      <c r="R169" s="473"/>
      <c r="S169" s="473"/>
      <c r="T169" s="474"/>
      <c r="U169" s="475"/>
      <c r="V169" s="473"/>
      <c r="W169" s="473"/>
      <c r="X169" s="473"/>
      <c r="Y169" s="473"/>
      <c r="Z169" s="473"/>
      <c r="AA169" s="473"/>
      <c r="AB169" s="473"/>
      <c r="AC169" s="473"/>
      <c r="AD169" s="473"/>
      <c r="AE169" s="473"/>
      <c r="AF169" s="473"/>
      <c r="AG169" s="510"/>
      <c r="AH169" s="495"/>
      <c r="AI169" s="495"/>
      <c r="AJ169" s="495"/>
      <c r="AK169" s="495"/>
      <c r="AL169" s="495"/>
      <c r="AM169" s="495"/>
      <c r="AN169" s="495"/>
      <c r="AO169" s="495"/>
      <c r="AP169" s="495"/>
      <c r="AQ169" s="495"/>
      <c r="AR169" s="497"/>
      <c r="AS169" s="509"/>
      <c r="AT169" s="495"/>
      <c r="AU169" s="495"/>
      <c r="AV169" s="480"/>
      <c r="AW169" s="496"/>
      <c r="AX169" s="495"/>
      <c r="AY169" s="495"/>
      <c r="AZ169" s="496"/>
      <c r="BA169" s="496"/>
      <c r="BB169" s="496"/>
      <c r="BC169" s="496"/>
      <c r="BD169" s="511"/>
      <c r="BE169" s="482">
        <f t="shared" si="17"/>
        <v>0</v>
      </c>
      <c r="BF169" s="482">
        <f>SUM($U169:V169)</f>
        <v>0</v>
      </c>
      <c r="BG169" s="482">
        <f>SUM($U169:W169)</f>
        <v>0</v>
      </c>
      <c r="BH169" s="482">
        <f>SUM($U169:X169)</f>
        <v>0</v>
      </c>
      <c r="BI169" s="482">
        <f>SUM($U169:Y169)</f>
        <v>0</v>
      </c>
      <c r="BJ169" s="482">
        <f>SUM($U169:Z169)</f>
        <v>0</v>
      </c>
      <c r="BK169" s="482">
        <f>SUM($U169:AA169)</f>
        <v>0</v>
      </c>
      <c r="BL169" s="482">
        <f>SUM($U169:AB169)</f>
        <v>0</v>
      </c>
      <c r="BM169" s="482">
        <f>SUM($U169:AC169)</f>
        <v>0</v>
      </c>
      <c r="BN169" s="482">
        <f>SUM($U169:AD169)</f>
        <v>0</v>
      </c>
      <c r="BO169" s="482">
        <f>SUM($U169:AE169)</f>
        <v>0</v>
      </c>
      <c r="BP169" s="483">
        <f>SUM($U169:AF169)</f>
        <v>0</v>
      </c>
      <c r="BQ169" s="484">
        <f t="shared" si="18"/>
        <v>0</v>
      </c>
      <c r="BR169" s="482">
        <f>SUM($AS169:AT169)</f>
        <v>0</v>
      </c>
      <c r="BS169" s="482">
        <f>SUM($AS169:AU169)</f>
        <v>0</v>
      </c>
      <c r="BT169" s="482">
        <f>SUM($AS169:AV169)</f>
        <v>0</v>
      </c>
      <c r="BU169" s="482">
        <f>SUM($AS169:AW169)</f>
        <v>0</v>
      </c>
      <c r="BV169" s="482">
        <f>SUM($AS169:AX169)</f>
        <v>0</v>
      </c>
      <c r="BW169" s="482">
        <f>SUM($AS169:AY169)</f>
        <v>0</v>
      </c>
      <c r="BX169" s="482">
        <f>SUM($AS169:AZ169)</f>
        <v>0</v>
      </c>
      <c r="BY169" s="482">
        <f>SUM($AS169:BA169)</f>
        <v>0</v>
      </c>
      <c r="BZ169" s="482">
        <f>SUM($AS169:BB169)</f>
        <v>0</v>
      </c>
      <c r="CA169" s="482">
        <f>SUM($AS169:BC169)</f>
        <v>0</v>
      </c>
      <c r="CB169" s="483">
        <f>SUM($AS169:BD169)</f>
        <v>0</v>
      </c>
    </row>
    <row r="170" spans="1:80" s="471" customFormat="1" ht="12.75" hidden="1" customHeight="1">
      <c r="A170" s="471">
        <f t="shared" si="13"/>
        <v>161</v>
      </c>
      <c r="B170" s="628"/>
      <c r="C170" s="533"/>
      <c r="D170" s="533"/>
      <c r="E170" s="427"/>
      <c r="F170" s="586"/>
      <c r="G170" s="629"/>
      <c r="H170" s="582">
        <f t="shared" si="19"/>
        <v>163</v>
      </c>
      <c r="I170" s="524"/>
      <c r="J170" s="473"/>
      <c r="K170" s="473"/>
      <c r="L170" s="473"/>
      <c r="M170" s="473"/>
      <c r="N170" s="473"/>
      <c r="O170" s="473"/>
      <c r="P170" s="473"/>
      <c r="Q170" s="473"/>
      <c r="R170" s="473"/>
      <c r="S170" s="473"/>
      <c r="T170" s="474"/>
      <c r="U170" s="475"/>
      <c r="V170" s="473"/>
      <c r="W170" s="473"/>
      <c r="X170" s="473"/>
      <c r="Y170" s="473"/>
      <c r="Z170" s="473"/>
      <c r="AA170" s="473"/>
      <c r="AB170" s="473"/>
      <c r="AC170" s="473"/>
      <c r="AD170" s="473"/>
      <c r="AE170" s="473"/>
      <c r="AF170" s="473"/>
      <c r="AG170" s="510"/>
      <c r="AH170" s="495"/>
      <c r="AI170" s="495"/>
      <c r="AJ170" s="495"/>
      <c r="AK170" s="495"/>
      <c r="AL170" s="495"/>
      <c r="AM170" s="495"/>
      <c r="AN170" s="495"/>
      <c r="AO170" s="495"/>
      <c r="AP170" s="495"/>
      <c r="AQ170" s="495"/>
      <c r="AR170" s="497"/>
      <c r="AS170" s="509"/>
      <c r="AT170" s="495"/>
      <c r="AU170" s="495"/>
      <c r="AV170" s="480"/>
      <c r="AW170" s="496"/>
      <c r="AX170" s="495"/>
      <c r="AY170" s="495"/>
      <c r="AZ170" s="496"/>
      <c r="BA170" s="496"/>
      <c r="BB170" s="496"/>
      <c r="BC170" s="496"/>
      <c r="BD170" s="511"/>
      <c r="BE170" s="482">
        <f t="shared" si="17"/>
        <v>0</v>
      </c>
      <c r="BF170" s="482">
        <f>SUM($U170:V170)</f>
        <v>0</v>
      </c>
      <c r="BG170" s="482">
        <f>SUM($U170:W170)</f>
        <v>0</v>
      </c>
      <c r="BH170" s="482">
        <f>SUM($U170:X170)</f>
        <v>0</v>
      </c>
      <c r="BI170" s="482">
        <f>SUM($U170:Y170)</f>
        <v>0</v>
      </c>
      <c r="BJ170" s="482">
        <f>SUM($U170:Z170)</f>
        <v>0</v>
      </c>
      <c r="BK170" s="482">
        <f>SUM($U170:AA170)</f>
        <v>0</v>
      </c>
      <c r="BL170" s="482">
        <f>SUM($U170:AB170)</f>
        <v>0</v>
      </c>
      <c r="BM170" s="482">
        <f>SUM($U170:AC170)</f>
        <v>0</v>
      </c>
      <c r="BN170" s="482">
        <f>SUM($U170:AD170)</f>
        <v>0</v>
      </c>
      <c r="BO170" s="482">
        <f>SUM($U170:AE170)</f>
        <v>0</v>
      </c>
      <c r="BP170" s="483">
        <f>SUM($U170:AF170)</f>
        <v>0</v>
      </c>
      <c r="BQ170" s="484">
        <f t="shared" si="18"/>
        <v>0</v>
      </c>
      <c r="BR170" s="482">
        <f>SUM($AS170:AT170)</f>
        <v>0</v>
      </c>
      <c r="BS170" s="482">
        <f>SUM($AS170:AU170)</f>
        <v>0</v>
      </c>
      <c r="BT170" s="482">
        <f>SUM($AS170:AV170)</f>
        <v>0</v>
      </c>
      <c r="BU170" s="482">
        <f>SUM($AS170:AW170)</f>
        <v>0</v>
      </c>
      <c r="BV170" s="482">
        <f>SUM($AS170:AX170)</f>
        <v>0</v>
      </c>
      <c r="BW170" s="482">
        <f>SUM($AS170:AY170)</f>
        <v>0</v>
      </c>
      <c r="BX170" s="482">
        <f>SUM($AS170:AZ170)</f>
        <v>0</v>
      </c>
      <c r="BY170" s="482">
        <f>SUM($AS170:BA170)</f>
        <v>0</v>
      </c>
      <c r="BZ170" s="482">
        <f>SUM($AS170:BB170)</f>
        <v>0</v>
      </c>
      <c r="CA170" s="482">
        <f>SUM($AS170:BC170)</f>
        <v>0</v>
      </c>
      <c r="CB170" s="483">
        <f>SUM($AS170:BD170)</f>
        <v>0</v>
      </c>
    </row>
    <row r="171" spans="1:80" s="471" customFormat="1" ht="12.75" hidden="1" customHeight="1">
      <c r="A171" s="471">
        <f t="shared" si="13"/>
        <v>162</v>
      </c>
      <c r="B171" s="628"/>
      <c r="C171" s="533"/>
      <c r="D171" s="533"/>
      <c r="E171" s="427"/>
      <c r="F171" s="586"/>
      <c r="G171" s="629"/>
      <c r="H171" s="582">
        <f t="shared" si="19"/>
        <v>164</v>
      </c>
      <c r="I171" s="524"/>
      <c r="J171" s="473"/>
      <c r="K171" s="473"/>
      <c r="L171" s="473"/>
      <c r="M171" s="473"/>
      <c r="N171" s="473"/>
      <c r="O171" s="473"/>
      <c r="P171" s="473"/>
      <c r="Q171" s="473"/>
      <c r="R171" s="473"/>
      <c r="S171" s="473"/>
      <c r="T171" s="474"/>
      <c r="U171" s="475"/>
      <c r="V171" s="473"/>
      <c r="W171" s="473"/>
      <c r="X171" s="473"/>
      <c r="Y171" s="473"/>
      <c r="Z171" s="473"/>
      <c r="AA171" s="473"/>
      <c r="AB171" s="473"/>
      <c r="AC171" s="473"/>
      <c r="AD171" s="473"/>
      <c r="AE171" s="473"/>
      <c r="AF171" s="473"/>
      <c r="AG171" s="510"/>
      <c r="AH171" s="495"/>
      <c r="AI171" s="495"/>
      <c r="AJ171" s="495"/>
      <c r="AK171" s="495"/>
      <c r="AL171" s="495"/>
      <c r="AM171" s="495"/>
      <c r="AN171" s="495"/>
      <c r="AO171" s="495"/>
      <c r="AP171" s="495"/>
      <c r="AQ171" s="495"/>
      <c r="AR171" s="497"/>
      <c r="AS171" s="509"/>
      <c r="AT171" s="495"/>
      <c r="AU171" s="495"/>
      <c r="AV171" s="480"/>
      <c r="AW171" s="496"/>
      <c r="AX171" s="495"/>
      <c r="AY171" s="495"/>
      <c r="AZ171" s="496"/>
      <c r="BA171" s="496"/>
      <c r="BB171" s="496"/>
      <c r="BC171" s="496"/>
      <c r="BD171" s="511"/>
      <c r="BE171" s="482">
        <f t="shared" si="17"/>
        <v>0</v>
      </c>
      <c r="BF171" s="482">
        <f>SUM($U171:V171)</f>
        <v>0</v>
      </c>
      <c r="BG171" s="482">
        <f>SUM($U171:W171)</f>
        <v>0</v>
      </c>
      <c r="BH171" s="482">
        <f>SUM($U171:X171)</f>
        <v>0</v>
      </c>
      <c r="BI171" s="482">
        <f>SUM($U171:Y171)</f>
        <v>0</v>
      </c>
      <c r="BJ171" s="482">
        <f>SUM($U171:Z171)</f>
        <v>0</v>
      </c>
      <c r="BK171" s="482">
        <f>SUM($U171:AA171)</f>
        <v>0</v>
      </c>
      <c r="BL171" s="482">
        <f>SUM($U171:AB171)</f>
        <v>0</v>
      </c>
      <c r="BM171" s="482">
        <f>SUM($U171:AC171)</f>
        <v>0</v>
      </c>
      <c r="BN171" s="482">
        <f>SUM($U171:AD171)</f>
        <v>0</v>
      </c>
      <c r="BO171" s="482">
        <f>SUM($U171:AE171)</f>
        <v>0</v>
      </c>
      <c r="BP171" s="483">
        <f>SUM($U171:AF171)</f>
        <v>0</v>
      </c>
      <c r="BQ171" s="484">
        <f t="shared" si="18"/>
        <v>0</v>
      </c>
      <c r="BR171" s="482">
        <f>SUM($AS171:AT171)</f>
        <v>0</v>
      </c>
      <c r="BS171" s="482">
        <f>SUM($AS171:AU171)</f>
        <v>0</v>
      </c>
      <c r="BT171" s="482">
        <f>SUM($AS171:AV171)</f>
        <v>0</v>
      </c>
      <c r="BU171" s="482">
        <f>SUM($AS171:AW171)</f>
        <v>0</v>
      </c>
      <c r="BV171" s="482">
        <f>SUM($AS171:AX171)</f>
        <v>0</v>
      </c>
      <c r="BW171" s="482">
        <f>SUM($AS171:AY171)</f>
        <v>0</v>
      </c>
      <c r="BX171" s="482">
        <f>SUM($AS171:AZ171)</f>
        <v>0</v>
      </c>
      <c r="BY171" s="482">
        <f>SUM($AS171:BA171)</f>
        <v>0</v>
      </c>
      <c r="BZ171" s="482">
        <f>SUM($AS171:BB171)</f>
        <v>0</v>
      </c>
      <c r="CA171" s="482">
        <f>SUM($AS171:BC171)</f>
        <v>0</v>
      </c>
      <c r="CB171" s="483">
        <f>SUM($AS171:BD171)</f>
        <v>0</v>
      </c>
    </row>
    <row r="172" spans="1:80" s="471" customFormat="1" ht="12.75" hidden="1" customHeight="1">
      <c r="A172" s="471">
        <f t="shared" si="13"/>
        <v>163</v>
      </c>
      <c r="B172" s="628"/>
      <c r="C172" s="533"/>
      <c r="D172" s="533"/>
      <c r="E172" s="427"/>
      <c r="F172" s="586"/>
      <c r="G172" s="629"/>
      <c r="H172" s="582">
        <f t="shared" si="19"/>
        <v>165</v>
      </c>
      <c r="I172" s="524"/>
      <c r="J172" s="473"/>
      <c r="K172" s="473"/>
      <c r="L172" s="473"/>
      <c r="M172" s="473"/>
      <c r="N172" s="473"/>
      <c r="O172" s="473"/>
      <c r="P172" s="473"/>
      <c r="Q172" s="473"/>
      <c r="R172" s="473"/>
      <c r="S172" s="473"/>
      <c r="T172" s="474"/>
      <c r="U172" s="475"/>
      <c r="V172" s="473"/>
      <c r="W172" s="473"/>
      <c r="X172" s="473"/>
      <c r="Y172" s="473"/>
      <c r="Z172" s="473"/>
      <c r="AA172" s="473"/>
      <c r="AB172" s="473"/>
      <c r="AC172" s="473"/>
      <c r="AD172" s="473"/>
      <c r="AE172" s="473"/>
      <c r="AF172" s="473"/>
      <c r="AG172" s="510"/>
      <c r="AH172" s="495"/>
      <c r="AI172" s="495"/>
      <c r="AJ172" s="495"/>
      <c r="AK172" s="495"/>
      <c r="AL172" s="495"/>
      <c r="AM172" s="495"/>
      <c r="AN172" s="495"/>
      <c r="AO172" s="495"/>
      <c r="AP172" s="495"/>
      <c r="AQ172" s="495"/>
      <c r="AR172" s="497"/>
      <c r="AS172" s="509"/>
      <c r="AT172" s="495"/>
      <c r="AU172" s="495"/>
      <c r="AV172" s="480"/>
      <c r="AW172" s="496"/>
      <c r="AX172" s="495"/>
      <c r="AY172" s="495"/>
      <c r="AZ172" s="496"/>
      <c r="BA172" s="496"/>
      <c r="BB172" s="496"/>
      <c r="BC172" s="496"/>
      <c r="BD172" s="511"/>
      <c r="BE172" s="482">
        <f t="shared" si="17"/>
        <v>0</v>
      </c>
      <c r="BF172" s="482">
        <f>SUM($U172:V172)</f>
        <v>0</v>
      </c>
      <c r="BG172" s="482">
        <f>SUM($U172:W172)</f>
        <v>0</v>
      </c>
      <c r="BH172" s="482">
        <f>SUM($U172:X172)</f>
        <v>0</v>
      </c>
      <c r="BI172" s="482">
        <f>SUM($U172:Y172)</f>
        <v>0</v>
      </c>
      <c r="BJ172" s="482">
        <f>SUM($U172:Z172)</f>
        <v>0</v>
      </c>
      <c r="BK172" s="482">
        <f>SUM($U172:AA172)</f>
        <v>0</v>
      </c>
      <c r="BL172" s="482">
        <f>SUM($U172:AB172)</f>
        <v>0</v>
      </c>
      <c r="BM172" s="482">
        <f>SUM($U172:AC172)</f>
        <v>0</v>
      </c>
      <c r="BN172" s="482">
        <f>SUM($U172:AD172)</f>
        <v>0</v>
      </c>
      <c r="BO172" s="482">
        <f>SUM($U172:AE172)</f>
        <v>0</v>
      </c>
      <c r="BP172" s="483">
        <f>SUM($U172:AF172)</f>
        <v>0</v>
      </c>
      <c r="BQ172" s="484">
        <f t="shared" si="18"/>
        <v>0</v>
      </c>
      <c r="BR172" s="482">
        <f>SUM($AS172:AT172)</f>
        <v>0</v>
      </c>
      <c r="BS172" s="482">
        <f>SUM($AS172:AU172)</f>
        <v>0</v>
      </c>
      <c r="BT172" s="482">
        <f>SUM($AS172:AV172)</f>
        <v>0</v>
      </c>
      <c r="BU172" s="482">
        <f>SUM($AS172:AW172)</f>
        <v>0</v>
      </c>
      <c r="BV172" s="482">
        <f>SUM($AS172:AX172)</f>
        <v>0</v>
      </c>
      <c r="BW172" s="482">
        <f>SUM($AS172:AY172)</f>
        <v>0</v>
      </c>
      <c r="BX172" s="482">
        <f>SUM($AS172:AZ172)</f>
        <v>0</v>
      </c>
      <c r="BY172" s="482">
        <f>SUM($AS172:BA172)</f>
        <v>0</v>
      </c>
      <c r="BZ172" s="482">
        <f>SUM($AS172:BB172)</f>
        <v>0</v>
      </c>
      <c r="CA172" s="482">
        <f>SUM($AS172:BC172)</f>
        <v>0</v>
      </c>
      <c r="CB172" s="483">
        <f>SUM($AS172:BD172)</f>
        <v>0</v>
      </c>
    </row>
    <row r="173" spans="1:80" s="471" customFormat="1" ht="12.75" hidden="1" customHeight="1">
      <c r="A173" s="471">
        <f t="shared" si="13"/>
        <v>164</v>
      </c>
      <c r="B173" s="628"/>
      <c r="C173" s="533"/>
      <c r="D173" s="533"/>
      <c r="E173" s="427"/>
      <c r="F173" s="586"/>
      <c r="G173" s="629"/>
      <c r="H173" s="582">
        <f t="shared" si="19"/>
        <v>166</v>
      </c>
      <c r="I173" s="524"/>
      <c r="J173" s="473"/>
      <c r="K173" s="473"/>
      <c r="L173" s="473"/>
      <c r="M173" s="473"/>
      <c r="N173" s="473"/>
      <c r="O173" s="473"/>
      <c r="P173" s="473"/>
      <c r="Q173" s="473"/>
      <c r="R173" s="473"/>
      <c r="S173" s="473"/>
      <c r="T173" s="474"/>
      <c r="U173" s="475"/>
      <c r="V173" s="473"/>
      <c r="W173" s="473"/>
      <c r="X173" s="473"/>
      <c r="Y173" s="473"/>
      <c r="Z173" s="473"/>
      <c r="AA173" s="473"/>
      <c r="AB173" s="473"/>
      <c r="AC173" s="473"/>
      <c r="AD173" s="473"/>
      <c r="AE173" s="473"/>
      <c r="AF173" s="473"/>
      <c r="AG173" s="510"/>
      <c r="AH173" s="495"/>
      <c r="AI173" s="495"/>
      <c r="AJ173" s="495"/>
      <c r="AK173" s="495"/>
      <c r="AL173" s="495"/>
      <c r="AM173" s="495"/>
      <c r="AN173" s="495"/>
      <c r="AO173" s="495"/>
      <c r="AP173" s="495"/>
      <c r="AQ173" s="495"/>
      <c r="AR173" s="497"/>
      <c r="AS173" s="509"/>
      <c r="AT173" s="495"/>
      <c r="AU173" s="495"/>
      <c r="AV173" s="480"/>
      <c r="AW173" s="496"/>
      <c r="AX173" s="495"/>
      <c r="AY173" s="495"/>
      <c r="AZ173" s="496"/>
      <c r="BA173" s="496"/>
      <c r="BB173" s="496"/>
      <c r="BC173" s="496"/>
      <c r="BD173" s="511"/>
      <c r="BE173" s="482">
        <f t="shared" si="17"/>
        <v>0</v>
      </c>
      <c r="BF173" s="482">
        <f>SUM($U173:V173)</f>
        <v>0</v>
      </c>
      <c r="BG173" s="482">
        <f>SUM($U173:W173)</f>
        <v>0</v>
      </c>
      <c r="BH173" s="482">
        <f>SUM($U173:X173)</f>
        <v>0</v>
      </c>
      <c r="BI173" s="482">
        <f>SUM($U173:Y173)</f>
        <v>0</v>
      </c>
      <c r="BJ173" s="482">
        <f>SUM($U173:Z173)</f>
        <v>0</v>
      </c>
      <c r="BK173" s="482">
        <f>SUM($U173:AA173)</f>
        <v>0</v>
      </c>
      <c r="BL173" s="482">
        <f>SUM($U173:AB173)</f>
        <v>0</v>
      </c>
      <c r="BM173" s="482">
        <f>SUM($U173:AC173)</f>
        <v>0</v>
      </c>
      <c r="BN173" s="482">
        <f>SUM($U173:AD173)</f>
        <v>0</v>
      </c>
      <c r="BO173" s="482">
        <f>SUM($U173:AE173)</f>
        <v>0</v>
      </c>
      <c r="BP173" s="483">
        <f>SUM($U173:AF173)</f>
        <v>0</v>
      </c>
      <c r="BQ173" s="484">
        <f t="shared" si="18"/>
        <v>0</v>
      </c>
      <c r="BR173" s="482">
        <f>SUM($AS173:AT173)</f>
        <v>0</v>
      </c>
      <c r="BS173" s="482">
        <f>SUM($AS173:AU173)</f>
        <v>0</v>
      </c>
      <c r="BT173" s="482">
        <f>SUM($AS173:AV173)</f>
        <v>0</v>
      </c>
      <c r="BU173" s="482">
        <f>SUM($AS173:AW173)</f>
        <v>0</v>
      </c>
      <c r="BV173" s="482">
        <f>SUM($AS173:AX173)</f>
        <v>0</v>
      </c>
      <c r="BW173" s="482">
        <f>SUM($AS173:AY173)</f>
        <v>0</v>
      </c>
      <c r="BX173" s="482">
        <f>SUM($AS173:AZ173)</f>
        <v>0</v>
      </c>
      <c r="BY173" s="482">
        <f>SUM($AS173:BA173)</f>
        <v>0</v>
      </c>
      <c r="BZ173" s="482">
        <f>SUM($AS173:BB173)</f>
        <v>0</v>
      </c>
      <c r="CA173" s="482">
        <f>SUM($AS173:BC173)</f>
        <v>0</v>
      </c>
      <c r="CB173" s="483">
        <f>SUM($AS173:BD173)</f>
        <v>0</v>
      </c>
    </row>
    <row r="174" spans="1:80" s="471" customFormat="1" ht="12.75" hidden="1" customHeight="1">
      <c r="A174" s="471">
        <f t="shared" si="13"/>
        <v>165</v>
      </c>
      <c r="B174" s="628"/>
      <c r="C174" s="533"/>
      <c r="D174" s="533"/>
      <c r="E174" s="427"/>
      <c r="F174" s="586"/>
      <c r="G174" s="629"/>
      <c r="H174" s="582">
        <f t="shared" si="19"/>
        <v>167</v>
      </c>
      <c r="I174" s="524"/>
      <c r="J174" s="473"/>
      <c r="K174" s="473"/>
      <c r="L174" s="473"/>
      <c r="M174" s="473"/>
      <c r="N174" s="473"/>
      <c r="O174" s="473"/>
      <c r="P174" s="473"/>
      <c r="Q174" s="473"/>
      <c r="R174" s="473"/>
      <c r="S174" s="473"/>
      <c r="T174" s="474"/>
      <c r="U174" s="475"/>
      <c r="V174" s="473"/>
      <c r="W174" s="473"/>
      <c r="X174" s="473"/>
      <c r="Y174" s="473"/>
      <c r="Z174" s="473"/>
      <c r="AA174" s="473"/>
      <c r="AB174" s="473"/>
      <c r="AC174" s="473"/>
      <c r="AD174" s="473"/>
      <c r="AE174" s="473"/>
      <c r="AF174" s="473"/>
      <c r="AG174" s="510"/>
      <c r="AH174" s="495"/>
      <c r="AI174" s="495"/>
      <c r="AJ174" s="495"/>
      <c r="AK174" s="495"/>
      <c r="AL174" s="495"/>
      <c r="AM174" s="495"/>
      <c r="AN174" s="495"/>
      <c r="AO174" s="495"/>
      <c r="AP174" s="495"/>
      <c r="AQ174" s="495"/>
      <c r="AR174" s="497"/>
      <c r="AS174" s="509"/>
      <c r="AT174" s="495"/>
      <c r="AU174" s="495"/>
      <c r="AV174" s="480"/>
      <c r="AW174" s="496"/>
      <c r="AX174" s="495"/>
      <c r="AY174" s="495"/>
      <c r="AZ174" s="496"/>
      <c r="BA174" s="496"/>
      <c r="BB174" s="496"/>
      <c r="BC174" s="496"/>
      <c r="BD174" s="511"/>
      <c r="BE174" s="482">
        <f t="shared" si="17"/>
        <v>0</v>
      </c>
      <c r="BF174" s="482">
        <f>SUM($U174:V174)</f>
        <v>0</v>
      </c>
      <c r="BG174" s="482">
        <f>SUM($U174:W174)</f>
        <v>0</v>
      </c>
      <c r="BH174" s="482">
        <f>SUM($U174:X174)</f>
        <v>0</v>
      </c>
      <c r="BI174" s="482">
        <f>SUM($U174:Y174)</f>
        <v>0</v>
      </c>
      <c r="BJ174" s="482">
        <f>SUM($U174:Z174)</f>
        <v>0</v>
      </c>
      <c r="BK174" s="482">
        <f>SUM($U174:AA174)</f>
        <v>0</v>
      </c>
      <c r="BL174" s="482">
        <f>SUM($U174:AB174)</f>
        <v>0</v>
      </c>
      <c r="BM174" s="482">
        <f>SUM($U174:AC174)</f>
        <v>0</v>
      </c>
      <c r="BN174" s="482">
        <f>SUM($U174:AD174)</f>
        <v>0</v>
      </c>
      <c r="BO174" s="482">
        <f>SUM($U174:AE174)</f>
        <v>0</v>
      </c>
      <c r="BP174" s="483">
        <f>SUM($U174:AF174)</f>
        <v>0</v>
      </c>
      <c r="BQ174" s="484">
        <f t="shared" si="18"/>
        <v>0</v>
      </c>
      <c r="BR174" s="482">
        <f>SUM($AS174:AT174)</f>
        <v>0</v>
      </c>
      <c r="BS174" s="482">
        <f>SUM($AS174:AU174)</f>
        <v>0</v>
      </c>
      <c r="BT174" s="482">
        <f>SUM($AS174:AV174)</f>
        <v>0</v>
      </c>
      <c r="BU174" s="482">
        <f>SUM($AS174:AW174)</f>
        <v>0</v>
      </c>
      <c r="BV174" s="482">
        <f>SUM($AS174:AX174)</f>
        <v>0</v>
      </c>
      <c r="BW174" s="482">
        <f>SUM($AS174:AY174)</f>
        <v>0</v>
      </c>
      <c r="BX174" s="482">
        <f>SUM($AS174:AZ174)</f>
        <v>0</v>
      </c>
      <c r="BY174" s="482">
        <f>SUM($AS174:BA174)</f>
        <v>0</v>
      </c>
      <c r="BZ174" s="482">
        <f>SUM($AS174:BB174)</f>
        <v>0</v>
      </c>
      <c r="CA174" s="482">
        <f>SUM($AS174:BC174)</f>
        <v>0</v>
      </c>
      <c r="CB174" s="483">
        <f>SUM($AS174:BD174)</f>
        <v>0</v>
      </c>
    </row>
    <row r="175" spans="1:80" s="471" customFormat="1" ht="12.75" hidden="1" customHeight="1">
      <c r="A175" s="471">
        <f t="shared" si="13"/>
        <v>166</v>
      </c>
      <c r="B175" s="628"/>
      <c r="C175" s="533"/>
      <c r="D175" s="533"/>
      <c r="E175" s="427"/>
      <c r="F175" s="586"/>
      <c r="G175" s="629"/>
      <c r="H175" s="582">
        <f t="shared" si="19"/>
        <v>168</v>
      </c>
      <c r="I175" s="524"/>
      <c r="J175" s="473"/>
      <c r="K175" s="473"/>
      <c r="L175" s="473"/>
      <c r="M175" s="473"/>
      <c r="N175" s="473"/>
      <c r="O175" s="473"/>
      <c r="P175" s="473"/>
      <c r="Q175" s="473"/>
      <c r="R175" s="473"/>
      <c r="S175" s="473"/>
      <c r="T175" s="474"/>
      <c r="U175" s="475"/>
      <c r="V175" s="473"/>
      <c r="W175" s="473"/>
      <c r="X175" s="473"/>
      <c r="Y175" s="473"/>
      <c r="Z175" s="473"/>
      <c r="AA175" s="473"/>
      <c r="AB175" s="473"/>
      <c r="AC175" s="473"/>
      <c r="AD175" s="473"/>
      <c r="AE175" s="473"/>
      <c r="AF175" s="473"/>
      <c r="AG175" s="510"/>
      <c r="AH175" s="495"/>
      <c r="AI175" s="495"/>
      <c r="AJ175" s="495"/>
      <c r="AK175" s="495"/>
      <c r="AL175" s="495"/>
      <c r="AM175" s="495"/>
      <c r="AN175" s="495"/>
      <c r="AO175" s="495"/>
      <c r="AP175" s="495"/>
      <c r="AQ175" s="495"/>
      <c r="AR175" s="497"/>
      <c r="AS175" s="509"/>
      <c r="AT175" s="495"/>
      <c r="AU175" s="495"/>
      <c r="AV175" s="480"/>
      <c r="AW175" s="496"/>
      <c r="AX175" s="495"/>
      <c r="AY175" s="495"/>
      <c r="AZ175" s="496"/>
      <c r="BA175" s="496"/>
      <c r="BB175" s="496"/>
      <c r="BC175" s="496"/>
      <c r="BD175" s="511"/>
      <c r="BE175" s="482">
        <f t="shared" si="17"/>
        <v>0</v>
      </c>
      <c r="BF175" s="482">
        <f>SUM($U175:V175)</f>
        <v>0</v>
      </c>
      <c r="BG175" s="482">
        <f>SUM($U175:W175)</f>
        <v>0</v>
      </c>
      <c r="BH175" s="482">
        <f>SUM($U175:X175)</f>
        <v>0</v>
      </c>
      <c r="BI175" s="482">
        <f>SUM($U175:Y175)</f>
        <v>0</v>
      </c>
      <c r="BJ175" s="482">
        <f>SUM($U175:Z175)</f>
        <v>0</v>
      </c>
      <c r="BK175" s="482">
        <f>SUM($U175:AA175)</f>
        <v>0</v>
      </c>
      <c r="BL175" s="482">
        <f>SUM($U175:AB175)</f>
        <v>0</v>
      </c>
      <c r="BM175" s="482">
        <f>SUM($U175:AC175)</f>
        <v>0</v>
      </c>
      <c r="BN175" s="482">
        <f>SUM($U175:AD175)</f>
        <v>0</v>
      </c>
      <c r="BO175" s="482">
        <f>SUM($U175:AE175)</f>
        <v>0</v>
      </c>
      <c r="BP175" s="483">
        <f>SUM($U175:AF175)</f>
        <v>0</v>
      </c>
      <c r="BQ175" s="484">
        <f t="shared" si="18"/>
        <v>0</v>
      </c>
      <c r="BR175" s="482">
        <f>SUM($AS175:AT175)</f>
        <v>0</v>
      </c>
      <c r="BS175" s="482">
        <f>SUM($AS175:AU175)</f>
        <v>0</v>
      </c>
      <c r="BT175" s="482">
        <f>SUM($AS175:AV175)</f>
        <v>0</v>
      </c>
      <c r="BU175" s="482">
        <f>SUM($AS175:AW175)</f>
        <v>0</v>
      </c>
      <c r="BV175" s="482">
        <f>SUM($AS175:AX175)</f>
        <v>0</v>
      </c>
      <c r="BW175" s="482">
        <f>SUM($AS175:AY175)</f>
        <v>0</v>
      </c>
      <c r="BX175" s="482">
        <f>SUM($AS175:AZ175)</f>
        <v>0</v>
      </c>
      <c r="BY175" s="482">
        <f>SUM($AS175:BA175)</f>
        <v>0</v>
      </c>
      <c r="BZ175" s="482">
        <f>SUM($AS175:BB175)</f>
        <v>0</v>
      </c>
      <c r="CA175" s="482">
        <f>SUM($AS175:BC175)</f>
        <v>0</v>
      </c>
      <c r="CB175" s="483">
        <f>SUM($AS175:BD175)</f>
        <v>0</v>
      </c>
    </row>
    <row r="176" spans="1:80" s="471" customFormat="1" ht="12.75" hidden="1" customHeight="1">
      <c r="A176" s="471">
        <f t="shared" si="13"/>
        <v>167</v>
      </c>
      <c r="B176" s="628"/>
      <c r="C176" s="533"/>
      <c r="D176" s="533"/>
      <c r="E176" s="427"/>
      <c r="F176" s="586"/>
      <c r="G176" s="629"/>
      <c r="H176" s="582">
        <f t="shared" si="19"/>
        <v>169</v>
      </c>
      <c r="I176" s="524"/>
      <c r="J176" s="473"/>
      <c r="K176" s="473"/>
      <c r="L176" s="473"/>
      <c r="M176" s="473"/>
      <c r="N176" s="473"/>
      <c r="O176" s="473"/>
      <c r="P176" s="473"/>
      <c r="Q176" s="473"/>
      <c r="R176" s="473"/>
      <c r="S176" s="473"/>
      <c r="T176" s="474"/>
      <c r="U176" s="475"/>
      <c r="V176" s="473"/>
      <c r="W176" s="473"/>
      <c r="X176" s="473"/>
      <c r="Y176" s="473"/>
      <c r="Z176" s="473"/>
      <c r="AA176" s="473"/>
      <c r="AB176" s="473"/>
      <c r="AC176" s="473"/>
      <c r="AD176" s="473"/>
      <c r="AE176" s="473"/>
      <c r="AF176" s="473"/>
      <c r="AG176" s="510"/>
      <c r="AH176" s="495"/>
      <c r="AI176" s="495"/>
      <c r="AJ176" s="495"/>
      <c r="AK176" s="495"/>
      <c r="AL176" s="495"/>
      <c r="AM176" s="495"/>
      <c r="AN176" s="495"/>
      <c r="AO176" s="495"/>
      <c r="AP176" s="495"/>
      <c r="AQ176" s="495"/>
      <c r="AR176" s="497"/>
      <c r="AS176" s="509"/>
      <c r="AT176" s="495"/>
      <c r="AU176" s="495"/>
      <c r="AV176" s="480"/>
      <c r="AW176" s="496"/>
      <c r="AX176" s="495"/>
      <c r="AY176" s="495"/>
      <c r="AZ176" s="496"/>
      <c r="BA176" s="496"/>
      <c r="BB176" s="496"/>
      <c r="BC176" s="496"/>
      <c r="BD176" s="511"/>
      <c r="BE176" s="482">
        <f t="shared" si="17"/>
        <v>0</v>
      </c>
      <c r="BF176" s="482">
        <f>SUM($U176:V176)</f>
        <v>0</v>
      </c>
      <c r="BG176" s="482">
        <f>SUM($U176:W176)</f>
        <v>0</v>
      </c>
      <c r="BH176" s="482">
        <f>SUM($U176:X176)</f>
        <v>0</v>
      </c>
      <c r="BI176" s="482">
        <f>SUM($U176:Y176)</f>
        <v>0</v>
      </c>
      <c r="BJ176" s="482">
        <f>SUM($U176:Z176)</f>
        <v>0</v>
      </c>
      <c r="BK176" s="482">
        <f>SUM($U176:AA176)</f>
        <v>0</v>
      </c>
      <c r="BL176" s="482">
        <f>SUM($U176:AB176)</f>
        <v>0</v>
      </c>
      <c r="BM176" s="482">
        <f>SUM($U176:AC176)</f>
        <v>0</v>
      </c>
      <c r="BN176" s="482">
        <f>SUM($U176:AD176)</f>
        <v>0</v>
      </c>
      <c r="BO176" s="482">
        <f>SUM($U176:AE176)</f>
        <v>0</v>
      </c>
      <c r="BP176" s="483">
        <f>SUM($U176:AF176)</f>
        <v>0</v>
      </c>
      <c r="BQ176" s="484">
        <f t="shared" si="18"/>
        <v>0</v>
      </c>
      <c r="BR176" s="482">
        <f>SUM($AS176:AT176)</f>
        <v>0</v>
      </c>
      <c r="BS176" s="482">
        <f>SUM($AS176:AU176)</f>
        <v>0</v>
      </c>
      <c r="BT176" s="482">
        <f>SUM($AS176:AV176)</f>
        <v>0</v>
      </c>
      <c r="BU176" s="482">
        <f>SUM($AS176:AW176)</f>
        <v>0</v>
      </c>
      <c r="BV176" s="482">
        <f>SUM($AS176:AX176)</f>
        <v>0</v>
      </c>
      <c r="BW176" s="482">
        <f>SUM($AS176:AY176)</f>
        <v>0</v>
      </c>
      <c r="BX176" s="482">
        <f>SUM($AS176:AZ176)</f>
        <v>0</v>
      </c>
      <c r="BY176" s="482">
        <f>SUM($AS176:BA176)</f>
        <v>0</v>
      </c>
      <c r="BZ176" s="482">
        <f>SUM($AS176:BB176)</f>
        <v>0</v>
      </c>
      <c r="CA176" s="482">
        <f>SUM($AS176:BC176)</f>
        <v>0</v>
      </c>
      <c r="CB176" s="483">
        <f>SUM($AS176:BD176)</f>
        <v>0</v>
      </c>
    </row>
    <row r="177" spans="1:80" s="471" customFormat="1" ht="12.75" hidden="1" customHeight="1">
      <c r="A177" s="471">
        <f t="shared" si="13"/>
        <v>168</v>
      </c>
      <c r="B177" s="628"/>
      <c r="C177" s="533"/>
      <c r="D177" s="533"/>
      <c r="E177" s="427"/>
      <c r="F177" s="586"/>
      <c r="G177" s="629"/>
      <c r="H177" s="582">
        <f t="shared" si="19"/>
        <v>170</v>
      </c>
      <c r="I177" s="524"/>
      <c r="J177" s="473"/>
      <c r="K177" s="473"/>
      <c r="L177" s="473"/>
      <c r="M177" s="473"/>
      <c r="N177" s="473"/>
      <c r="O177" s="473"/>
      <c r="P177" s="473"/>
      <c r="Q177" s="473"/>
      <c r="R177" s="473"/>
      <c r="S177" s="473"/>
      <c r="T177" s="474"/>
      <c r="U177" s="475"/>
      <c r="V177" s="473"/>
      <c r="W177" s="473"/>
      <c r="X177" s="473"/>
      <c r="Y177" s="473"/>
      <c r="Z177" s="473"/>
      <c r="AA177" s="473"/>
      <c r="AB177" s="473"/>
      <c r="AC177" s="473"/>
      <c r="AD177" s="473"/>
      <c r="AE177" s="473"/>
      <c r="AF177" s="473"/>
      <c r="AG177" s="510"/>
      <c r="AH177" s="495"/>
      <c r="AI177" s="495"/>
      <c r="AJ177" s="495"/>
      <c r="AK177" s="495"/>
      <c r="AL177" s="495"/>
      <c r="AM177" s="495"/>
      <c r="AN177" s="495"/>
      <c r="AO177" s="495"/>
      <c r="AP177" s="495"/>
      <c r="AQ177" s="495"/>
      <c r="AR177" s="497"/>
      <c r="AS177" s="509"/>
      <c r="AT177" s="495"/>
      <c r="AU177" s="495"/>
      <c r="AV177" s="480"/>
      <c r="AW177" s="496"/>
      <c r="AX177" s="495"/>
      <c r="AY177" s="495"/>
      <c r="AZ177" s="496"/>
      <c r="BA177" s="496"/>
      <c r="BB177" s="496"/>
      <c r="BC177" s="496"/>
      <c r="BD177" s="511"/>
      <c r="BE177" s="482">
        <f t="shared" ref="BE177:BE208" si="20">(U177)</f>
        <v>0</v>
      </c>
      <c r="BF177" s="482">
        <f>SUM($U177:V177)</f>
        <v>0</v>
      </c>
      <c r="BG177" s="482">
        <f>SUM($U177:W177)</f>
        <v>0</v>
      </c>
      <c r="BH177" s="482">
        <f>SUM($U177:X177)</f>
        <v>0</v>
      </c>
      <c r="BI177" s="482">
        <f>SUM($U177:Y177)</f>
        <v>0</v>
      </c>
      <c r="BJ177" s="482">
        <f>SUM($U177:Z177)</f>
        <v>0</v>
      </c>
      <c r="BK177" s="482">
        <f>SUM($U177:AA177)</f>
        <v>0</v>
      </c>
      <c r="BL177" s="482">
        <f>SUM($U177:AB177)</f>
        <v>0</v>
      </c>
      <c r="BM177" s="482">
        <f>SUM($U177:AC177)</f>
        <v>0</v>
      </c>
      <c r="BN177" s="482">
        <f>SUM($U177:AD177)</f>
        <v>0</v>
      </c>
      <c r="BO177" s="482">
        <f>SUM($U177:AE177)</f>
        <v>0</v>
      </c>
      <c r="BP177" s="483">
        <f>SUM($U177:AF177)</f>
        <v>0</v>
      </c>
      <c r="BQ177" s="484">
        <f t="shared" ref="BQ177:BQ208" si="21">(AS177)</f>
        <v>0</v>
      </c>
      <c r="BR177" s="482">
        <f>SUM($AS177:AT177)</f>
        <v>0</v>
      </c>
      <c r="BS177" s="482">
        <f>SUM($AS177:AU177)</f>
        <v>0</v>
      </c>
      <c r="BT177" s="482">
        <f>SUM($AS177:AV177)</f>
        <v>0</v>
      </c>
      <c r="BU177" s="482">
        <f>SUM($AS177:AW177)</f>
        <v>0</v>
      </c>
      <c r="BV177" s="482">
        <f>SUM($AS177:AX177)</f>
        <v>0</v>
      </c>
      <c r="BW177" s="482">
        <f>SUM($AS177:AY177)</f>
        <v>0</v>
      </c>
      <c r="BX177" s="482">
        <f>SUM($AS177:AZ177)</f>
        <v>0</v>
      </c>
      <c r="BY177" s="482">
        <f>SUM($AS177:BA177)</f>
        <v>0</v>
      </c>
      <c r="BZ177" s="482">
        <f>SUM($AS177:BB177)</f>
        <v>0</v>
      </c>
      <c r="CA177" s="482">
        <f>SUM($AS177:BC177)</f>
        <v>0</v>
      </c>
      <c r="CB177" s="483">
        <f>SUM($AS177:BD177)</f>
        <v>0</v>
      </c>
    </row>
    <row r="178" spans="1:80" s="471" customFormat="1" ht="12.75" hidden="1" customHeight="1">
      <c r="A178" s="471">
        <f t="shared" si="13"/>
        <v>169</v>
      </c>
      <c r="B178" s="628"/>
      <c r="C178" s="533"/>
      <c r="D178" s="533"/>
      <c r="E178" s="427"/>
      <c r="F178" s="586"/>
      <c r="G178" s="629"/>
      <c r="H178" s="582">
        <f t="shared" si="19"/>
        <v>171</v>
      </c>
      <c r="I178" s="524"/>
      <c r="J178" s="473"/>
      <c r="K178" s="473"/>
      <c r="L178" s="473"/>
      <c r="M178" s="473"/>
      <c r="N178" s="473"/>
      <c r="O178" s="473"/>
      <c r="P178" s="473"/>
      <c r="Q178" s="473"/>
      <c r="R178" s="473"/>
      <c r="S178" s="473"/>
      <c r="T178" s="474"/>
      <c r="U178" s="475"/>
      <c r="V178" s="473"/>
      <c r="W178" s="473"/>
      <c r="X178" s="473"/>
      <c r="Y178" s="473"/>
      <c r="Z178" s="473"/>
      <c r="AA178" s="473"/>
      <c r="AB178" s="473"/>
      <c r="AC178" s="473"/>
      <c r="AD178" s="473"/>
      <c r="AE178" s="473"/>
      <c r="AF178" s="473"/>
      <c r="AG178" s="510"/>
      <c r="AH178" s="495"/>
      <c r="AI178" s="495"/>
      <c r="AJ178" s="495"/>
      <c r="AK178" s="495"/>
      <c r="AL178" s="495"/>
      <c r="AM178" s="495"/>
      <c r="AN178" s="495"/>
      <c r="AO178" s="495"/>
      <c r="AP178" s="495"/>
      <c r="AQ178" s="495"/>
      <c r="AR178" s="497"/>
      <c r="AS178" s="509"/>
      <c r="AT178" s="495"/>
      <c r="AU178" s="495"/>
      <c r="AV178" s="480"/>
      <c r="AW178" s="496"/>
      <c r="AX178" s="495"/>
      <c r="AY178" s="495"/>
      <c r="AZ178" s="496"/>
      <c r="BA178" s="496"/>
      <c r="BB178" s="496"/>
      <c r="BC178" s="496"/>
      <c r="BD178" s="511"/>
      <c r="BE178" s="482">
        <f t="shared" si="20"/>
        <v>0</v>
      </c>
      <c r="BF178" s="482">
        <f>SUM($U178:V178)</f>
        <v>0</v>
      </c>
      <c r="BG178" s="482">
        <f>SUM($U178:W178)</f>
        <v>0</v>
      </c>
      <c r="BH178" s="482">
        <f>SUM($U178:X178)</f>
        <v>0</v>
      </c>
      <c r="BI178" s="482">
        <f>SUM($U178:Y178)</f>
        <v>0</v>
      </c>
      <c r="BJ178" s="482">
        <f>SUM($U178:Z178)</f>
        <v>0</v>
      </c>
      <c r="BK178" s="482">
        <f>SUM($U178:AA178)</f>
        <v>0</v>
      </c>
      <c r="BL178" s="482">
        <f>SUM($U178:AB178)</f>
        <v>0</v>
      </c>
      <c r="BM178" s="482">
        <f>SUM($U178:AC178)</f>
        <v>0</v>
      </c>
      <c r="BN178" s="482">
        <f>SUM($U178:AD178)</f>
        <v>0</v>
      </c>
      <c r="BO178" s="482">
        <f>SUM($U178:AE178)</f>
        <v>0</v>
      </c>
      <c r="BP178" s="483">
        <f>SUM($U178:AF178)</f>
        <v>0</v>
      </c>
      <c r="BQ178" s="484">
        <f t="shared" si="21"/>
        <v>0</v>
      </c>
      <c r="BR178" s="482">
        <f>SUM($AS178:AT178)</f>
        <v>0</v>
      </c>
      <c r="BS178" s="482">
        <f>SUM($AS178:AU178)</f>
        <v>0</v>
      </c>
      <c r="BT178" s="482">
        <f>SUM($AS178:AV178)</f>
        <v>0</v>
      </c>
      <c r="BU178" s="482">
        <f>SUM($AS178:AW178)</f>
        <v>0</v>
      </c>
      <c r="BV178" s="482">
        <f>SUM($AS178:AX178)</f>
        <v>0</v>
      </c>
      <c r="BW178" s="482">
        <f>SUM($AS178:AY178)</f>
        <v>0</v>
      </c>
      <c r="BX178" s="482">
        <f>SUM($AS178:AZ178)</f>
        <v>0</v>
      </c>
      <c r="BY178" s="482">
        <f>SUM($AS178:BA178)</f>
        <v>0</v>
      </c>
      <c r="BZ178" s="482">
        <f>SUM($AS178:BB178)</f>
        <v>0</v>
      </c>
      <c r="CA178" s="482">
        <f>SUM($AS178:BC178)</f>
        <v>0</v>
      </c>
      <c r="CB178" s="483">
        <f>SUM($AS178:BD178)</f>
        <v>0</v>
      </c>
    </row>
    <row r="179" spans="1:80" s="471" customFormat="1" ht="12.75" hidden="1" customHeight="1">
      <c r="A179" s="471">
        <f t="shared" si="13"/>
        <v>170</v>
      </c>
      <c r="B179" s="628"/>
      <c r="C179" s="533"/>
      <c r="D179" s="533"/>
      <c r="E179" s="427"/>
      <c r="F179" s="586"/>
      <c r="G179" s="629"/>
      <c r="H179" s="582">
        <f t="shared" si="19"/>
        <v>172</v>
      </c>
      <c r="I179" s="524"/>
      <c r="J179" s="473"/>
      <c r="K179" s="473"/>
      <c r="L179" s="473"/>
      <c r="M179" s="473"/>
      <c r="N179" s="473"/>
      <c r="O179" s="473"/>
      <c r="P179" s="473"/>
      <c r="Q179" s="473"/>
      <c r="R179" s="473"/>
      <c r="S179" s="473"/>
      <c r="T179" s="474"/>
      <c r="U179" s="475"/>
      <c r="V179" s="473"/>
      <c r="W179" s="473"/>
      <c r="X179" s="473"/>
      <c r="Y179" s="473"/>
      <c r="Z179" s="473"/>
      <c r="AA179" s="473"/>
      <c r="AB179" s="473"/>
      <c r="AC179" s="473"/>
      <c r="AD179" s="473"/>
      <c r="AE179" s="473"/>
      <c r="AF179" s="473"/>
      <c r="AG179" s="510"/>
      <c r="AH179" s="495"/>
      <c r="AI179" s="495"/>
      <c r="AJ179" s="495"/>
      <c r="AK179" s="495"/>
      <c r="AL179" s="495"/>
      <c r="AM179" s="495"/>
      <c r="AN179" s="495"/>
      <c r="AO179" s="495"/>
      <c r="AP179" s="495"/>
      <c r="AQ179" s="495"/>
      <c r="AR179" s="497"/>
      <c r="AS179" s="509"/>
      <c r="AT179" s="495"/>
      <c r="AU179" s="495"/>
      <c r="AV179" s="480"/>
      <c r="AW179" s="496"/>
      <c r="AX179" s="495"/>
      <c r="AY179" s="495"/>
      <c r="AZ179" s="496"/>
      <c r="BA179" s="496"/>
      <c r="BB179" s="496"/>
      <c r="BC179" s="496"/>
      <c r="BD179" s="511"/>
      <c r="BE179" s="482">
        <f t="shared" si="20"/>
        <v>0</v>
      </c>
      <c r="BF179" s="482">
        <f>SUM($U179:V179)</f>
        <v>0</v>
      </c>
      <c r="BG179" s="482">
        <f>SUM($U179:W179)</f>
        <v>0</v>
      </c>
      <c r="BH179" s="482">
        <f>SUM($U179:X179)</f>
        <v>0</v>
      </c>
      <c r="BI179" s="482">
        <f>SUM($U179:Y179)</f>
        <v>0</v>
      </c>
      <c r="BJ179" s="482">
        <f>SUM($U179:Z179)</f>
        <v>0</v>
      </c>
      <c r="BK179" s="482">
        <f>SUM($U179:AA179)</f>
        <v>0</v>
      </c>
      <c r="BL179" s="482">
        <f>SUM($U179:AB179)</f>
        <v>0</v>
      </c>
      <c r="BM179" s="482">
        <f>SUM($U179:AC179)</f>
        <v>0</v>
      </c>
      <c r="BN179" s="482">
        <f>SUM($U179:AD179)</f>
        <v>0</v>
      </c>
      <c r="BO179" s="482">
        <f>SUM($U179:AE179)</f>
        <v>0</v>
      </c>
      <c r="BP179" s="483">
        <f>SUM($U179:AF179)</f>
        <v>0</v>
      </c>
      <c r="BQ179" s="484">
        <f t="shared" si="21"/>
        <v>0</v>
      </c>
      <c r="BR179" s="482">
        <f>SUM($AS179:AT179)</f>
        <v>0</v>
      </c>
      <c r="BS179" s="482">
        <f>SUM($AS179:AU179)</f>
        <v>0</v>
      </c>
      <c r="BT179" s="482">
        <f>SUM($AS179:AV179)</f>
        <v>0</v>
      </c>
      <c r="BU179" s="482">
        <f>SUM($AS179:AW179)</f>
        <v>0</v>
      </c>
      <c r="BV179" s="482">
        <f>SUM($AS179:AX179)</f>
        <v>0</v>
      </c>
      <c r="BW179" s="482">
        <f>SUM($AS179:AY179)</f>
        <v>0</v>
      </c>
      <c r="BX179" s="482">
        <f>SUM($AS179:AZ179)</f>
        <v>0</v>
      </c>
      <c r="BY179" s="482">
        <f>SUM($AS179:BA179)</f>
        <v>0</v>
      </c>
      <c r="BZ179" s="482">
        <f>SUM($AS179:BB179)</f>
        <v>0</v>
      </c>
      <c r="CA179" s="482">
        <f>SUM($AS179:BC179)</f>
        <v>0</v>
      </c>
      <c r="CB179" s="483">
        <f>SUM($AS179:BD179)</f>
        <v>0</v>
      </c>
    </row>
    <row r="180" spans="1:80" s="471" customFormat="1" ht="12.75" hidden="1" customHeight="1">
      <c r="A180" s="471">
        <f t="shared" si="13"/>
        <v>171</v>
      </c>
      <c r="B180" s="628"/>
      <c r="C180" s="533"/>
      <c r="D180" s="533"/>
      <c r="E180" s="427"/>
      <c r="F180" s="586"/>
      <c r="G180" s="629"/>
      <c r="H180" s="582">
        <f t="shared" si="19"/>
        <v>173</v>
      </c>
      <c r="I180" s="524"/>
      <c r="J180" s="473"/>
      <c r="K180" s="473"/>
      <c r="L180" s="473"/>
      <c r="M180" s="473"/>
      <c r="N180" s="473"/>
      <c r="O180" s="473"/>
      <c r="P180" s="473"/>
      <c r="Q180" s="473"/>
      <c r="R180" s="473"/>
      <c r="S180" s="473"/>
      <c r="T180" s="474"/>
      <c r="U180" s="475"/>
      <c r="V180" s="473"/>
      <c r="W180" s="473"/>
      <c r="X180" s="473"/>
      <c r="Y180" s="473"/>
      <c r="Z180" s="473"/>
      <c r="AA180" s="473"/>
      <c r="AB180" s="473"/>
      <c r="AC180" s="473"/>
      <c r="AD180" s="473"/>
      <c r="AE180" s="473"/>
      <c r="AF180" s="473"/>
      <c r="AG180" s="510"/>
      <c r="AH180" s="495"/>
      <c r="AI180" s="495"/>
      <c r="AJ180" s="495"/>
      <c r="AK180" s="495"/>
      <c r="AL180" s="495"/>
      <c r="AM180" s="495"/>
      <c r="AN180" s="495"/>
      <c r="AO180" s="495"/>
      <c r="AP180" s="495"/>
      <c r="AQ180" s="495"/>
      <c r="AR180" s="497"/>
      <c r="AS180" s="509"/>
      <c r="AT180" s="495"/>
      <c r="AU180" s="495"/>
      <c r="AV180" s="480"/>
      <c r="AW180" s="496"/>
      <c r="AX180" s="495"/>
      <c r="AY180" s="495"/>
      <c r="AZ180" s="496"/>
      <c r="BA180" s="496"/>
      <c r="BB180" s="496"/>
      <c r="BC180" s="496"/>
      <c r="BD180" s="511"/>
      <c r="BE180" s="482">
        <f t="shared" si="20"/>
        <v>0</v>
      </c>
      <c r="BF180" s="482">
        <f>SUM($U180:V180)</f>
        <v>0</v>
      </c>
      <c r="BG180" s="482">
        <f>SUM($U180:W180)</f>
        <v>0</v>
      </c>
      <c r="BH180" s="482">
        <f>SUM($U180:X180)</f>
        <v>0</v>
      </c>
      <c r="BI180" s="482">
        <f>SUM($U180:Y180)</f>
        <v>0</v>
      </c>
      <c r="BJ180" s="482">
        <f>SUM($U180:Z180)</f>
        <v>0</v>
      </c>
      <c r="BK180" s="482">
        <f>SUM($U180:AA180)</f>
        <v>0</v>
      </c>
      <c r="BL180" s="482">
        <f>SUM($U180:AB180)</f>
        <v>0</v>
      </c>
      <c r="BM180" s="482">
        <f>SUM($U180:AC180)</f>
        <v>0</v>
      </c>
      <c r="BN180" s="482">
        <f>SUM($U180:AD180)</f>
        <v>0</v>
      </c>
      <c r="BO180" s="482">
        <f>SUM($U180:AE180)</f>
        <v>0</v>
      </c>
      <c r="BP180" s="483">
        <f>SUM($U180:AF180)</f>
        <v>0</v>
      </c>
      <c r="BQ180" s="484">
        <f t="shared" si="21"/>
        <v>0</v>
      </c>
      <c r="BR180" s="482">
        <f>SUM($AS180:AT180)</f>
        <v>0</v>
      </c>
      <c r="BS180" s="482">
        <f>SUM($AS180:AU180)</f>
        <v>0</v>
      </c>
      <c r="BT180" s="482">
        <f>SUM($AS180:AV180)</f>
        <v>0</v>
      </c>
      <c r="BU180" s="482">
        <f>SUM($AS180:AW180)</f>
        <v>0</v>
      </c>
      <c r="BV180" s="482">
        <f>SUM($AS180:AX180)</f>
        <v>0</v>
      </c>
      <c r="BW180" s="482">
        <f>SUM($AS180:AY180)</f>
        <v>0</v>
      </c>
      <c r="BX180" s="482">
        <f>SUM($AS180:AZ180)</f>
        <v>0</v>
      </c>
      <c r="BY180" s="482">
        <f>SUM($AS180:BA180)</f>
        <v>0</v>
      </c>
      <c r="BZ180" s="482">
        <f>SUM($AS180:BB180)</f>
        <v>0</v>
      </c>
      <c r="CA180" s="482">
        <f>SUM($AS180:BC180)</f>
        <v>0</v>
      </c>
      <c r="CB180" s="483">
        <f>SUM($AS180:BD180)</f>
        <v>0</v>
      </c>
    </row>
    <row r="181" spans="1:80" s="471" customFormat="1" ht="12.75" hidden="1" customHeight="1">
      <c r="A181" s="471">
        <f t="shared" si="13"/>
        <v>172</v>
      </c>
      <c r="B181" s="628"/>
      <c r="C181" s="533"/>
      <c r="D181" s="533"/>
      <c r="E181" s="427"/>
      <c r="F181" s="586"/>
      <c r="G181" s="629"/>
      <c r="H181" s="582">
        <f t="shared" si="19"/>
        <v>174</v>
      </c>
      <c r="I181" s="524"/>
      <c r="J181" s="473"/>
      <c r="K181" s="473"/>
      <c r="L181" s="473"/>
      <c r="M181" s="473"/>
      <c r="N181" s="473"/>
      <c r="O181" s="473"/>
      <c r="P181" s="473"/>
      <c r="Q181" s="473"/>
      <c r="R181" s="473"/>
      <c r="S181" s="473"/>
      <c r="T181" s="474"/>
      <c r="U181" s="475"/>
      <c r="V181" s="473"/>
      <c r="W181" s="473"/>
      <c r="X181" s="473"/>
      <c r="Y181" s="473"/>
      <c r="Z181" s="473"/>
      <c r="AA181" s="473"/>
      <c r="AB181" s="473"/>
      <c r="AC181" s="473"/>
      <c r="AD181" s="473"/>
      <c r="AE181" s="473"/>
      <c r="AF181" s="473"/>
      <c r="AG181" s="510"/>
      <c r="AH181" s="495"/>
      <c r="AI181" s="495"/>
      <c r="AJ181" s="495"/>
      <c r="AK181" s="495"/>
      <c r="AL181" s="495"/>
      <c r="AM181" s="495"/>
      <c r="AN181" s="495"/>
      <c r="AO181" s="495"/>
      <c r="AP181" s="495"/>
      <c r="AQ181" s="495"/>
      <c r="AR181" s="497"/>
      <c r="AS181" s="509"/>
      <c r="AT181" s="495"/>
      <c r="AU181" s="495"/>
      <c r="AV181" s="480"/>
      <c r="AW181" s="496"/>
      <c r="AX181" s="495"/>
      <c r="AY181" s="495"/>
      <c r="AZ181" s="496"/>
      <c r="BA181" s="496"/>
      <c r="BB181" s="496"/>
      <c r="BC181" s="496"/>
      <c r="BD181" s="511"/>
      <c r="BE181" s="482">
        <f t="shared" si="20"/>
        <v>0</v>
      </c>
      <c r="BF181" s="482">
        <f>SUM($U181:V181)</f>
        <v>0</v>
      </c>
      <c r="BG181" s="482">
        <f>SUM($U181:W181)</f>
        <v>0</v>
      </c>
      <c r="BH181" s="482">
        <f>SUM($U181:X181)</f>
        <v>0</v>
      </c>
      <c r="BI181" s="482">
        <f>SUM($U181:Y181)</f>
        <v>0</v>
      </c>
      <c r="BJ181" s="482">
        <f>SUM($U181:Z181)</f>
        <v>0</v>
      </c>
      <c r="BK181" s="482">
        <f>SUM($U181:AA181)</f>
        <v>0</v>
      </c>
      <c r="BL181" s="482">
        <f>SUM($U181:AB181)</f>
        <v>0</v>
      </c>
      <c r="BM181" s="482">
        <f>SUM($U181:AC181)</f>
        <v>0</v>
      </c>
      <c r="BN181" s="482">
        <f>SUM($U181:AD181)</f>
        <v>0</v>
      </c>
      <c r="BO181" s="482">
        <f>SUM($U181:AE181)</f>
        <v>0</v>
      </c>
      <c r="BP181" s="483">
        <f>SUM($U181:AF181)</f>
        <v>0</v>
      </c>
      <c r="BQ181" s="484">
        <f t="shared" si="21"/>
        <v>0</v>
      </c>
      <c r="BR181" s="482">
        <f>SUM($AS181:AT181)</f>
        <v>0</v>
      </c>
      <c r="BS181" s="482">
        <f>SUM($AS181:AU181)</f>
        <v>0</v>
      </c>
      <c r="BT181" s="482">
        <f>SUM($AS181:AV181)</f>
        <v>0</v>
      </c>
      <c r="BU181" s="482">
        <f>SUM($AS181:AW181)</f>
        <v>0</v>
      </c>
      <c r="BV181" s="482">
        <f>SUM($AS181:AX181)</f>
        <v>0</v>
      </c>
      <c r="BW181" s="482">
        <f>SUM($AS181:AY181)</f>
        <v>0</v>
      </c>
      <c r="BX181" s="482">
        <f>SUM($AS181:AZ181)</f>
        <v>0</v>
      </c>
      <c r="BY181" s="482">
        <f>SUM($AS181:BA181)</f>
        <v>0</v>
      </c>
      <c r="BZ181" s="482">
        <f>SUM($AS181:BB181)</f>
        <v>0</v>
      </c>
      <c r="CA181" s="482">
        <f>SUM($AS181:BC181)</f>
        <v>0</v>
      </c>
      <c r="CB181" s="483">
        <f>SUM($AS181:BD181)</f>
        <v>0</v>
      </c>
    </row>
    <row r="182" spans="1:80" s="471" customFormat="1" ht="12.75" hidden="1" customHeight="1">
      <c r="A182" s="471">
        <f t="shared" si="13"/>
        <v>173</v>
      </c>
      <c r="B182" s="628"/>
      <c r="C182" s="533"/>
      <c r="D182" s="533"/>
      <c r="E182" s="427"/>
      <c r="F182" s="586"/>
      <c r="G182" s="629"/>
      <c r="H182" s="582">
        <f t="shared" si="19"/>
        <v>175</v>
      </c>
      <c r="I182" s="524"/>
      <c r="J182" s="473"/>
      <c r="K182" s="473"/>
      <c r="L182" s="473"/>
      <c r="M182" s="473"/>
      <c r="N182" s="473"/>
      <c r="O182" s="473"/>
      <c r="P182" s="473"/>
      <c r="Q182" s="473"/>
      <c r="R182" s="473"/>
      <c r="S182" s="473"/>
      <c r="T182" s="474"/>
      <c r="U182" s="475"/>
      <c r="V182" s="473"/>
      <c r="W182" s="473"/>
      <c r="X182" s="473"/>
      <c r="Y182" s="473"/>
      <c r="Z182" s="473"/>
      <c r="AA182" s="473"/>
      <c r="AB182" s="473"/>
      <c r="AC182" s="473"/>
      <c r="AD182" s="473"/>
      <c r="AE182" s="473"/>
      <c r="AF182" s="473"/>
      <c r="AG182" s="510"/>
      <c r="AH182" s="495"/>
      <c r="AI182" s="495"/>
      <c r="AJ182" s="495"/>
      <c r="AK182" s="495"/>
      <c r="AL182" s="495"/>
      <c r="AM182" s="495"/>
      <c r="AN182" s="495"/>
      <c r="AO182" s="495"/>
      <c r="AP182" s="495"/>
      <c r="AQ182" s="495"/>
      <c r="AR182" s="497"/>
      <c r="AS182" s="509"/>
      <c r="AT182" s="495"/>
      <c r="AU182" s="495"/>
      <c r="AV182" s="480"/>
      <c r="AW182" s="496"/>
      <c r="AX182" s="495"/>
      <c r="AY182" s="495"/>
      <c r="AZ182" s="496"/>
      <c r="BA182" s="496"/>
      <c r="BB182" s="496"/>
      <c r="BC182" s="496"/>
      <c r="BD182" s="511"/>
      <c r="BE182" s="482">
        <f t="shared" si="20"/>
        <v>0</v>
      </c>
      <c r="BF182" s="482">
        <f>SUM($U182:V182)</f>
        <v>0</v>
      </c>
      <c r="BG182" s="482">
        <f>SUM($U182:W182)</f>
        <v>0</v>
      </c>
      <c r="BH182" s="482">
        <f>SUM($U182:X182)</f>
        <v>0</v>
      </c>
      <c r="BI182" s="482">
        <f>SUM($U182:Y182)</f>
        <v>0</v>
      </c>
      <c r="BJ182" s="482">
        <f>SUM($U182:Z182)</f>
        <v>0</v>
      </c>
      <c r="BK182" s="482">
        <f>SUM($U182:AA182)</f>
        <v>0</v>
      </c>
      <c r="BL182" s="482">
        <f>SUM($U182:AB182)</f>
        <v>0</v>
      </c>
      <c r="BM182" s="482">
        <f>SUM($U182:AC182)</f>
        <v>0</v>
      </c>
      <c r="BN182" s="482">
        <f>SUM($U182:AD182)</f>
        <v>0</v>
      </c>
      <c r="BO182" s="482">
        <f>SUM($U182:AE182)</f>
        <v>0</v>
      </c>
      <c r="BP182" s="483">
        <f>SUM($U182:AF182)</f>
        <v>0</v>
      </c>
      <c r="BQ182" s="484">
        <f t="shared" si="21"/>
        <v>0</v>
      </c>
      <c r="BR182" s="482">
        <f>SUM($AS182:AT182)</f>
        <v>0</v>
      </c>
      <c r="BS182" s="482">
        <f>SUM($AS182:AU182)</f>
        <v>0</v>
      </c>
      <c r="BT182" s="482">
        <f>SUM($AS182:AV182)</f>
        <v>0</v>
      </c>
      <c r="BU182" s="482">
        <f>SUM($AS182:AW182)</f>
        <v>0</v>
      </c>
      <c r="BV182" s="482">
        <f>SUM($AS182:AX182)</f>
        <v>0</v>
      </c>
      <c r="BW182" s="482">
        <f>SUM($AS182:AY182)</f>
        <v>0</v>
      </c>
      <c r="BX182" s="482">
        <f>SUM($AS182:AZ182)</f>
        <v>0</v>
      </c>
      <c r="BY182" s="482">
        <f>SUM($AS182:BA182)</f>
        <v>0</v>
      </c>
      <c r="BZ182" s="482">
        <f>SUM($AS182:BB182)</f>
        <v>0</v>
      </c>
      <c r="CA182" s="482">
        <f>SUM($AS182:BC182)</f>
        <v>0</v>
      </c>
      <c r="CB182" s="483">
        <f>SUM($AS182:BD182)</f>
        <v>0</v>
      </c>
    </row>
    <row r="183" spans="1:80" s="471" customFormat="1" ht="12.75" hidden="1" customHeight="1">
      <c r="A183" s="471">
        <f t="shared" si="13"/>
        <v>174</v>
      </c>
      <c r="B183" s="628"/>
      <c r="C183" s="533"/>
      <c r="D183" s="533"/>
      <c r="E183" s="427"/>
      <c r="F183" s="586"/>
      <c r="G183" s="629"/>
      <c r="H183" s="582">
        <f t="shared" si="19"/>
        <v>176</v>
      </c>
      <c r="I183" s="524"/>
      <c r="J183" s="473"/>
      <c r="K183" s="473"/>
      <c r="L183" s="473"/>
      <c r="M183" s="473"/>
      <c r="N183" s="473"/>
      <c r="O183" s="473"/>
      <c r="P183" s="473"/>
      <c r="Q183" s="473"/>
      <c r="R183" s="473"/>
      <c r="S183" s="473"/>
      <c r="T183" s="474"/>
      <c r="U183" s="475"/>
      <c r="V183" s="473"/>
      <c r="W183" s="473"/>
      <c r="X183" s="473"/>
      <c r="Y183" s="473"/>
      <c r="Z183" s="473"/>
      <c r="AA183" s="473"/>
      <c r="AB183" s="473"/>
      <c r="AC183" s="473"/>
      <c r="AD183" s="473"/>
      <c r="AE183" s="473"/>
      <c r="AF183" s="473"/>
      <c r="AG183" s="510"/>
      <c r="AH183" s="495"/>
      <c r="AI183" s="495"/>
      <c r="AJ183" s="495"/>
      <c r="AK183" s="495"/>
      <c r="AL183" s="495"/>
      <c r="AM183" s="495"/>
      <c r="AN183" s="495"/>
      <c r="AO183" s="495"/>
      <c r="AP183" s="495"/>
      <c r="AQ183" s="495"/>
      <c r="AR183" s="497"/>
      <c r="AS183" s="509"/>
      <c r="AT183" s="495"/>
      <c r="AU183" s="495"/>
      <c r="AV183" s="480"/>
      <c r="AW183" s="496"/>
      <c r="AX183" s="495"/>
      <c r="AY183" s="495"/>
      <c r="AZ183" s="496"/>
      <c r="BA183" s="496"/>
      <c r="BB183" s="496"/>
      <c r="BC183" s="496"/>
      <c r="BD183" s="511"/>
      <c r="BE183" s="482">
        <f t="shared" si="20"/>
        <v>0</v>
      </c>
      <c r="BF183" s="482">
        <f>SUM($U183:V183)</f>
        <v>0</v>
      </c>
      <c r="BG183" s="482">
        <f>SUM($U183:W183)</f>
        <v>0</v>
      </c>
      <c r="BH183" s="482">
        <f>SUM($U183:X183)</f>
        <v>0</v>
      </c>
      <c r="BI183" s="482">
        <f>SUM($U183:Y183)</f>
        <v>0</v>
      </c>
      <c r="BJ183" s="482">
        <f>SUM($U183:Z183)</f>
        <v>0</v>
      </c>
      <c r="BK183" s="482">
        <f>SUM($U183:AA183)</f>
        <v>0</v>
      </c>
      <c r="BL183" s="482">
        <f>SUM($U183:AB183)</f>
        <v>0</v>
      </c>
      <c r="BM183" s="482">
        <f>SUM($U183:AC183)</f>
        <v>0</v>
      </c>
      <c r="BN183" s="482">
        <f>SUM($U183:AD183)</f>
        <v>0</v>
      </c>
      <c r="BO183" s="482">
        <f>SUM($U183:AE183)</f>
        <v>0</v>
      </c>
      <c r="BP183" s="483">
        <f>SUM($U183:AF183)</f>
        <v>0</v>
      </c>
      <c r="BQ183" s="484">
        <f t="shared" si="21"/>
        <v>0</v>
      </c>
      <c r="BR183" s="482">
        <f>SUM($AS183:AT183)</f>
        <v>0</v>
      </c>
      <c r="BS183" s="482">
        <f>SUM($AS183:AU183)</f>
        <v>0</v>
      </c>
      <c r="BT183" s="482">
        <f>SUM($AS183:AV183)</f>
        <v>0</v>
      </c>
      <c r="BU183" s="482">
        <f>SUM($AS183:AW183)</f>
        <v>0</v>
      </c>
      <c r="BV183" s="482">
        <f>SUM($AS183:AX183)</f>
        <v>0</v>
      </c>
      <c r="BW183" s="482">
        <f>SUM($AS183:AY183)</f>
        <v>0</v>
      </c>
      <c r="BX183" s="482">
        <f>SUM($AS183:AZ183)</f>
        <v>0</v>
      </c>
      <c r="BY183" s="482">
        <f>SUM($AS183:BA183)</f>
        <v>0</v>
      </c>
      <c r="BZ183" s="482">
        <f>SUM($AS183:BB183)</f>
        <v>0</v>
      </c>
      <c r="CA183" s="482">
        <f>SUM($AS183:BC183)</f>
        <v>0</v>
      </c>
      <c r="CB183" s="483">
        <f>SUM($AS183:BD183)</f>
        <v>0</v>
      </c>
    </row>
    <row r="184" spans="1:80" s="471" customFormat="1" ht="12.75" hidden="1" customHeight="1">
      <c r="A184" s="471">
        <f t="shared" si="13"/>
        <v>175</v>
      </c>
      <c r="B184" s="628"/>
      <c r="C184" s="533"/>
      <c r="D184" s="533"/>
      <c r="E184" s="427"/>
      <c r="F184" s="586"/>
      <c r="G184" s="629"/>
      <c r="H184" s="582">
        <f t="shared" si="19"/>
        <v>177</v>
      </c>
      <c r="I184" s="524"/>
      <c r="J184" s="473"/>
      <c r="K184" s="473"/>
      <c r="L184" s="473"/>
      <c r="M184" s="473"/>
      <c r="N184" s="473"/>
      <c r="O184" s="473"/>
      <c r="P184" s="473"/>
      <c r="Q184" s="473"/>
      <c r="R184" s="473"/>
      <c r="S184" s="473"/>
      <c r="T184" s="474"/>
      <c r="U184" s="475"/>
      <c r="V184" s="473"/>
      <c r="W184" s="473"/>
      <c r="X184" s="473"/>
      <c r="Y184" s="473"/>
      <c r="Z184" s="473"/>
      <c r="AA184" s="473"/>
      <c r="AB184" s="473"/>
      <c r="AC184" s="473"/>
      <c r="AD184" s="473"/>
      <c r="AE184" s="473"/>
      <c r="AF184" s="473"/>
      <c r="AG184" s="510"/>
      <c r="AH184" s="495"/>
      <c r="AI184" s="495"/>
      <c r="AJ184" s="495"/>
      <c r="AK184" s="495"/>
      <c r="AL184" s="495"/>
      <c r="AM184" s="495"/>
      <c r="AN184" s="495"/>
      <c r="AO184" s="495"/>
      <c r="AP184" s="495"/>
      <c r="AQ184" s="495"/>
      <c r="AR184" s="497"/>
      <c r="AS184" s="509"/>
      <c r="AT184" s="495"/>
      <c r="AU184" s="495"/>
      <c r="AV184" s="480"/>
      <c r="AW184" s="496"/>
      <c r="AX184" s="495"/>
      <c r="AY184" s="495"/>
      <c r="AZ184" s="496"/>
      <c r="BA184" s="496"/>
      <c r="BB184" s="496"/>
      <c r="BC184" s="496"/>
      <c r="BD184" s="511"/>
      <c r="BE184" s="482">
        <f t="shared" si="20"/>
        <v>0</v>
      </c>
      <c r="BF184" s="482">
        <f>SUM($U184:V184)</f>
        <v>0</v>
      </c>
      <c r="BG184" s="482">
        <f>SUM($U184:W184)</f>
        <v>0</v>
      </c>
      <c r="BH184" s="482">
        <f>SUM($U184:X184)</f>
        <v>0</v>
      </c>
      <c r="BI184" s="482">
        <f>SUM($U184:Y184)</f>
        <v>0</v>
      </c>
      <c r="BJ184" s="482">
        <f>SUM($U184:Z184)</f>
        <v>0</v>
      </c>
      <c r="BK184" s="482">
        <f>SUM($U184:AA184)</f>
        <v>0</v>
      </c>
      <c r="BL184" s="482">
        <f>SUM($U184:AB184)</f>
        <v>0</v>
      </c>
      <c r="BM184" s="482">
        <f>SUM($U184:AC184)</f>
        <v>0</v>
      </c>
      <c r="BN184" s="482">
        <f>SUM($U184:AD184)</f>
        <v>0</v>
      </c>
      <c r="BO184" s="482">
        <f>SUM($U184:AE184)</f>
        <v>0</v>
      </c>
      <c r="BP184" s="483">
        <f>SUM($U184:AF184)</f>
        <v>0</v>
      </c>
      <c r="BQ184" s="484">
        <f t="shared" si="21"/>
        <v>0</v>
      </c>
      <c r="BR184" s="482">
        <f>SUM($AS184:AT184)</f>
        <v>0</v>
      </c>
      <c r="BS184" s="482">
        <f>SUM($AS184:AU184)</f>
        <v>0</v>
      </c>
      <c r="BT184" s="482">
        <f>SUM($AS184:AV184)</f>
        <v>0</v>
      </c>
      <c r="BU184" s="482">
        <f>SUM($AS184:AW184)</f>
        <v>0</v>
      </c>
      <c r="BV184" s="482">
        <f>SUM($AS184:AX184)</f>
        <v>0</v>
      </c>
      <c r="BW184" s="482">
        <f>SUM($AS184:AY184)</f>
        <v>0</v>
      </c>
      <c r="BX184" s="482">
        <f>SUM($AS184:AZ184)</f>
        <v>0</v>
      </c>
      <c r="BY184" s="482">
        <f>SUM($AS184:BA184)</f>
        <v>0</v>
      </c>
      <c r="BZ184" s="482">
        <f>SUM($AS184:BB184)</f>
        <v>0</v>
      </c>
      <c r="CA184" s="482">
        <f>SUM($AS184:BC184)</f>
        <v>0</v>
      </c>
      <c r="CB184" s="483">
        <f>SUM($AS184:BD184)</f>
        <v>0</v>
      </c>
    </row>
    <row r="185" spans="1:80" s="471" customFormat="1" ht="12.75" hidden="1" customHeight="1">
      <c r="A185" s="471">
        <f t="shared" si="13"/>
        <v>176</v>
      </c>
      <c r="B185" s="628"/>
      <c r="C185" s="533"/>
      <c r="D185" s="533"/>
      <c r="E185" s="427"/>
      <c r="F185" s="586"/>
      <c r="G185" s="629"/>
      <c r="H185" s="582">
        <f t="shared" si="19"/>
        <v>178</v>
      </c>
      <c r="I185" s="524"/>
      <c r="J185" s="473"/>
      <c r="K185" s="473"/>
      <c r="L185" s="473"/>
      <c r="M185" s="473"/>
      <c r="N185" s="473"/>
      <c r="O185" s="473"/>
      <c r="P185" s="473"/>
      <c r="Q185" s="473"/>
      <c r="R185" s="473"/>
      <c r="S185" s="473"/>
      <c r="T185" s="474"/>
      <c r="U185" s="475"/>
      <c r="V185" s="473"/>
      <c r="W185" s="473"/>
      <c r="X185" s="473"/>
      <c r="Y185" s="473"/>
      <c r="Z185" s="473"/>
      <c r="AA185" s="473"/>
      <c r="AB185" s="473"/>
      <c r="AC185" s="473"/>
      <c r="AD185" s="473"/>
      <c r="AE185" s="473"/>
      <c r="AF185" s="473"/>
      <c r="AG185" s="510"/>
      <c r="AH185" s="495"/>
      <c r="AI185" s="495"/>
      <c r="AJ185" s="495"/>
      <c r="AK185" s="495"/>
      <c r="AL185" s="495"/>
      <c r="AM185" s="495"/>
      <c r="AN185" s="495"/>
      <c r="AO185" s="495"/>
      <c r="AP185" s="495"/>
      <c r="AQ185" s="495"/>
      <c r="AR185" s="497"/>
      <c r="AS185" s="509"/>
      <c r="AT185" s="495"/>
      <c r="AU185" s="495"/>
      <c r="AV185" s="480"/>
      <c r="AW185" s="496"/>
      <c r="AX185" s="495"/>
      <c r="AY185" s="495"/>
      <c r="AZ185" s="496"/>
      <c r="BA185" s="496"/>
      <c r="BB185" s="496"/>
      <c r="BC185" s="496"/>
      <c r="BD185" s="511"/>
      <c r="BE185" s="482">
        <f t="shared" si="20"/>
        <v>0</v>
      </c>
      <c r="BF185" s="482">
        <f>SUM($U185:V185)</f>
        <v>0</v>
      </c>
      <c r="BG185" s="482">
        <f>SUM($U185:W185)</f>
        <v>0</v>
      </c>
      <c r="BH185" s="482">
        <f>SUM($U185:X185)</f>
        <v>0</v>
      </c>
      <c r="BI185" s="482">
        <f>SUM($U185:Y185)</f>
        <v>0</v>
      </c>
      <c r="BJ185" s="482">
        <f>SUM($U185:Z185)</f>
        <v>0</v>
      </c>
      <c r="BK185" s="482">
        <f>SUM($U185:AA185)</f>
        <v>0</v>
      </c>
      <c r="BL185" s="482">
        <f>SUM($U185:AB185)</f>
        <v>0</v>
      </c>
      <c r="BM185" s="482">
        <f>SUM($U185:AC185)</f>
        <v>0</v>
      </c>
      <c r="BN185" s="482">
        <f>SUM($U185:AD185)</f>
        <v>0</v>
      </c>
      <c r="BO185" s="482">
        <f>SUM($U185:AE185)</f>
        <v>0</v>
      </c>
      <c r="BP185" s="483">
        <f>SUM($U185:AF185)</f>
        <v>0</v>
      </c>
      <c r="BQ185" s="484">
        <f t="shared" si="21"/>
        <v>0</v>
      </c>
      <c r="BR185" s="482">
        <f>SUM($AS185:AT185)</f>
        <v>0</v>
      </c>
      <c r="BS185" s="482">
        <f>SUM($AS185:AU185)</f>
        <v>0</v>
      </c>
      <c r="BT185" s="482">
        <f>SUM($AS185:AV185)</f>
        <v>0</v>
      </c>
      <c r="BU185" s="482">
        <f>SUM($AS185:AW185)</f>
        <v>0</v>
      </c>
      <c r="BV185" s="482">
        <f>SUM($AS185:AX185)</f>
        <v>0</v>
      </c>
      <c r="BW185" s="482">
        <f>SUM($AS185:AY185)</f>
        <v>0</v>
      </c>
      <c r="BX185" s="482">
        <f>SUM($AS185:AZ185)</f>
        <v>0</v>
      </c>
      <c r="BY185" s="482">
        <f>SUM($AS185:BA185)</f>
        <v>0</v>
      </c>
      <c r="BZ185" s="482">
        <f>SUM($AS185:BB185)</f>
        <v>0</v>
      </c>
      <c r="CA185" s="482">
        <f>SUM($AS185:BC185)</f>
        <v>0</v>
      </c>
      <c r="CB185" s="483">
        <f>SUM($AS185:BD185)</f>
        <v>0</v>
      </c>
    </row>
    <row r="186" spans="1:80" s="471" customFormat="1" ht="12.75" hidden="1" customHeight="1">
      <c r="A186" s="471">
        <f t="shared" si="13"/>
        <v>177</v>
      </c>
      <c r="B186" s="628"/>
      <c r="C186" s="533"/>
      <c r="D186" s="533"/>
      <c r="E186" s="427"/>
      <c r="F186" s="586"/>
      <c r="G186" s="629"/>
      <c r="H186" s="582">
        <f t="shared" si="19"/>
        <v>179</v>
      </c>
      <c r="I186" s="524"/>
      <c r="J186" s="473"/>
      <c r="K186" s="473"/>
      <c r="L186" s="473"/>
      <c r="M186" s="473"/>
      <c r="N186" s="473"/>
      <c r="O186" s="473"/>
      <c r="P186" s="473"/>
      <c r="Q186" s="473"/>
      <c r="R186" s="473"/>
      <c r="S186" s="473"/>
      <c r="T186" s="474"/>
      <c r="U186" s="475"/>
      <c r="V186" s="473"/>
      <c r="W186" s="473"/>
      <c r="X186" s="473"/>
      <c r="Y186" s="473"/>
      <c r="Z186" s="473"/>
      <c r="AA186" s="473"/>
      <c r="AB186" s="473"/>
      <c r="AC186" s="473"/>
      <c r="AD186" s="473"/>
      <c r="AE186" s="473"/>
      <c r="AF186" s="473"/>
      <c r="AG186" s="510"/>
      <c r="AH186" s="495"/>
      <c r="AI186" s="495"/>
      <c r="AJ186" s="495"/>
      <c r="AK186" s="495"/>
      <c r="AL186" s="495"/>
      <c r="AM186" s="495"/>
      <c r="AN186" s="495"/>
      <c r="AO186" s="495"/>
      <c r="AP186" s="495"/>
      <c r="AQ186" s="495"/>
      <c r="AR186" s="497"/>
      <c r="AS186" s="509"/>
      <c r="AT186" s="495"/>
      <c r="AU186" s="495"/>
      <c r="AV186" s="480"/>
      <c r="AW186" s="496"/>
      <c r="AX186" s="495"/>
      <c r="AY186" s="495"/>
      <c r="AZ186" s="496"/>
      <c r="BA186" s="496"/>
      <c r="BB186" s="496"/>
      <c r="BC186" s="496"/>
      <c r="BD186" s="511"/>
      <c r="BE186" s="482">
        <f t="shared" si="20"/>
        <v>0</v>
      </c>
      <c r="BF186" s="482">
        <f>SUM($U186:V186)</f>
        <v>0</v>
      </c>
      <c r="BG186" s="482">
        <f>SUM($U186:W186)</f>
        <v>0</v>
      </c>
      <c r="BH186" s="482">
        <f>SUM($U186:X186)</f>
        <v>0</v>
      </c>
      <c r="BI186" s="482">
        <f>SUM($U186:Y186)</f>
        <v>0</v>
      </c>
      <c r="BJ186" s="482">
        <f>SUM($U186:Z186)</f>
        <v>0</v>
      </c>
      <c r="BK186" s="482">
        <f>SUM($U186:AA186)</f>
        <v>0</v>
      </c>
      <c r="BL186" s="482">
        <f>SUM($U186:AB186)</f>
        <v>0</v>
      </c>
      <c r="BM186" s="482">
        <f>SUM($U186:AC186)</f>
        <v>0</v>
      </c>
      <c r="BN186" s="482">
        <f>SUM($U186:AD186)</f>
        <v>0</v>
      </c>
      <c r="BO186" s="482">
        <f>SUM($U186:AE186)</f>
        <v>0</v>
      </c>
      <c r="BP186" s="483">
        <f>SUM($U186:AF186)</f>
        <v>0</v>
      </c>
      <c r="BQ186" s="484">
        <f t="shared" si="21"/>
        <v>0</v>
      </c>
      <c r="BR186" s="482">
        <f>SUM($AS186:AT186)</f>
        <v>0</v>
      </c>
      <c r="BS186" s="482">
        <f>SUM($AS186:AU186)</f>
        <v>0</v>
      </c>
      <c r="BT186" s="482">
        <f>SUM($AS186:AV186)</f>
        <v>0</v>
      </c>
      <c r="BU186" s="482">
        <f>SUM($AS186:AW186)</f>
        <v>0</v>
      </c>
      <c r="BV186" s="482">
        <f>SUM($AS186:AX186)</f>
        <v>0</v>
      </c>
      <c r="BW186" s="482">
        <f>SUM($AS186:AY186)</f>
        <v>0</v>
      </c>
      <c r="BX186" s="482">
        <f>SUM($AS186:AZ186)</f>
        <v>0</v>
      </c>
      <c r="BY186" s="482">
        <f>SUM($AS186:BA186)</f>
        <v>0</v>
      </c>
      <c r="BZ186" s="482">
        <f>SUM($AS186:BB186)</f>
        <v>0</v>
      </c>
      <c r="CA186" s="482">
        <f>SUM($AS186:BC186)</f>
        <v>0</v>
      </c>
      <c r="CB186" s="483">
        <f>SUM($AS186:BD186)</f>
        <v>0</v>
      </c>
    </row>
    <row r="187" spans="1:80" s="471" customFormat="1" ht="12.75" hidden="1" customHeight="1">
      <c r="A187" s="471">
        <f t="shared" si="13"/>
        <v>178</v>
      </c>
      <c r="B187" s="628"/>
      <c r="C187" s="533"/>
      <c r="D187" s="533"/>
      <c r="E187" s="427"/>
      <c r="F187" s="586"/>
      <c r="G187" s="629"/>
      <c r="H187" s="582">
        <f t="shared" si="19"/>
        <v>180</v>
      </c>
      <c r="I187" s="524"/>
      <c r="J187" s="473"/>
      <c r="K187" s="473"/>
      <c r="L187" s="473"/>
      <c r="M187" s="473"/>
      <c r="N187" s="473"/>
      <c r="O187" s="473"/>
      <c r="P187" s="473"/>
      <c r="Q187" s="473"/>
      <c r="R187" s="473"/>
      <c r="S187" s="473"/>
      <c r="T187" s="474"/>
      <c r="U187" s="475"/>
      <c r="V187" s="473"/>
      <c r="W187" s="473"/>
      <c r="X187" s="473"/>
      <c r="Y187" s="473"/>
      <c r="Z187" s="473"/>
      <c r="AA187" s="473"/>
      <c r="AB187" s="473"/>
      <c r="AC187" s="473"/>
      <c r="AD187" s="473"/>
      <c r="AE187" s="473"/>
      <c r="AF187" s="473"/>
      <c r="AG187" s="510"/>
      <c r="AH187" s="495"/>
      <c r="AI187" s="495"/>
      <c r="AJ187" s="495"/>
      <c r="AK187" s="495"/>
      <c r="AL187" s="495"/>
      <c r="AM187" s="495"/>
      <c r="AN187" s="495"/>
      <c r="AO187" s="495"/>
      <c r="AP187" s="495"/>
      <c r="AQ187" s="495"/>
      <c r="AR187" s="497"/>
      <c r="AS187" s="509"/>
      <c r="AT187" s="495"/>
      <c r="AU187" s="495"/>
      <c r="AV187" s="480"/>
      <c r="AW187" s="496"/>
      <c r="AX187" s="495"/>
      <c r="AY187" s="495"/>
      <c r="AZ187" s="496"/>
      <c r="BA187" s="496"/>
      <c r="BB187" s="496"/>
      <c r="BC187" s="496"/>
      <c r="BD187" s="511"/>
      <c r="BE187" s="482">
        <f t="shared" si="20"/>
        <v>0</v>
      </c>
      <c r="BF187" s="482">
        <f>SUM($U187:V187)</f>
        <v>0</v>
      </c>
      <c r="BG187" s="482">
        <f>SUM($U187:W187)</f>
        <v>0</v>
      </c>
      <c r="BH187" s="482">
        <f>SUM($U187:X187)</f>
        <v>0</v>
      </c>
      <c r="BI187" s="482">
        <f>SUM($U187:Y187)</f>
        <v>0</v>
      </c>
      <c r="BJ187" s="482">
        <f>SUM($U187:Z187)</f>
        <v>0</v>
      </c>
      <c r="BK187" s="482">
        <f>SUM($U187:AA187)</f>
        <v>0</v>
      </c>
      <c r="BL187" s="482">
        <f>SUM($U187:AB187)</f>
        <v>0</v>
      </c>
      <c r="BM187" s="482">
        <f>SUM($U187:AC187)</f>
        <v>0</v>
      </c>
      <c r="BN187" s="482">
        <f>SUM($U187:AD187)</f>
        <v>0</v>
      </c>
      <c r="BO187" s="482">
        <f>SUM($U187:AE187)</f>
        <v>0</v>
      </c>
      <c r="BP187" s="483">
        <f>SUM($U187:AF187)</f>
        <v>0</v>
      </c>
      <c r="BQ187" s="484">
        <f t="shared" si="21"/>
        <v>0</v>
      </c>
      <c r="BR187" s="482">
        <f>SUM($AS187:AT187)</f>
        <v>0</v>
      </c>
      <c r="BS187" s="482">
        <f>SUM($AS187:AU187)</f>
        <v>0</v>
      </c>
      <c r="BT187" s="482">
        <f>SUM($AS187:AV187)</f>
        <v>0</v>
      </c>
      <c r="BU187" s="482">
        <f>SUM($AS187:AW187)</f>
        <v>0</v>
      </c>
      <c r="BV187" s="482">
        <f>SUM($AS187:AX187)</f>
        <v>0</v>
      </c>
      <c r="BW187" s="482">
        <f>SUM($AS187:AY187)</f>
        <v>0</v>
      </c>
      <c r="BX187" s="482">
        <f>SUM($AS187:AZ187)</f>
        <v>0</v>
      </c>
      <c r="BY187" s="482">
        <f>SUM($AS187:BA187)</f>
        <v>0</v>
      </c>
      <c r="BZ187" s="482">
        <f>SUM($AS187:BB187)</f>
        <v>0</v>
      </c>
      <c r="CA187" s="482">
        <f>SUM($AS187:BC187)</f>
        <v>0</v>
      </c>
      <c r="CB187" s="483">
        <f>SUM($AS187:BD187)</f>
        <v>0</v>
      </c>
    </row>
    <row r="188" spans="1:80" s="471" customFormat="1" ht="12.75" hidden="1" customHeight="1">
      <c r="A188" s="471">
        <f t="shared" si="13"/>
        <v>179</v>
      </c>
      <c r="B188" s="628"/>
      <c r="C188" s="533"/>
      <c r="D188" s="533"/>
      <c r="E188" s="427"/>
      <c r="F188" s="586"/>
      <c r="G188" s="629"/>
      <c r="H188" s="582">
        <f t="shared" si="19"/>
        <v>181</v>
      </c>
      <c r="I188" s="524"/>
      <c r="J188" s="473"/>
      <c r="K188" s="473"/>
      <c r="L188" s="473"/>
      <c r="M188" s="473"/>
      <c r="N188" s="473"/>
      <c r="O188" s="473"/>
      <c r="P188" s="473"/>
      <c r="Q188" s="473"/>
      <c r="R188" s="473"/>
      <c r="S188" s="473"/>
      <c r="T188" s="474"/>
      <c r="U188" s="475"/>
      <c r="V188" s="473"/>
      <c r="W188" s="473"/>
      <c r="X188" s="473"/>
      <c r="Y188" s="473"/>
      <c r="Z188" s="473"/>
      <c r="AA188" s="473"/>
      <c r="AB188" s="473"/>
      <c r="AC188" s="473"/>
      <c r="AD188" s="473"/>
      <c r="AE188" s="473"/>
      <c r="AF188" s="473"/>
      <c r="AG188" s="510"/>
      <c r="AH188" s="495"/>
      <c r="AI188" s="495"/>
      <c r="AJ188" s="495"/>
      <c r="AK188" s="495"/>
      <c r="AL188" s="495"/>
      <c r="AM188" s="495"/>
      <c r="AN188" s="495"/>
      <c r="AO188" s="495"/>
      <c r="AP188" s="495"/>
      <c r="AQ188" s="495"/>
      <c r="AR188" s="497"/>
      <c r="AS188" s="509"/>
      <c r="AT188" s="495"/>
      <c r="AU188" s="495"/>
      <c r="AV188" s="480"/>
      <c r="AW188" s="496"/>
      <c r="AX188" s="495"/>
      <c r="AY188" s="495"/>
      <c r="AZ188" s="496"/>
      <c r="BA188" s="496"/>
      <c r="BB188" s="496"/>
      <c r="BC188" s="496"/>
      <c r="BD188" s="511"/>
      <c r="BE188" s="482">
        <f t="shared" si="20"/>
        <v>0</v>
      </c>
      <c r="BF188" s="482">
        <f>SUM($U188:V188)</f>
        <v>0</v>
      </c>
      <c r="BG188" s="482">
        <f>SUM($U188:W188)</f>
        <v>0</v>
      </c>
      <c r="BH188" s="482">
        <f>SUM($U188:X188)</f>
        <v>0</v>
      </c>
      <c r="BI188" s="482">
        <f>SUM($U188:Y188)</f>
        <v>0</v>
      </c>
      <c r="BJ188" s="482">
        <f>SUM($U188:Z188)</f>
        <v>0</v>
      </c>
      <c r="BK188" s="482">
        <f>SUM($U188:AA188)</f>
        <v>0</v>
      </c>
      <c r="BL188" s="482">
        <f>SUM($U188:AB188)</f>
        <v>0</v>
      </c>
      <c r="BM188" s="482">
        <f>SUM($U188:AC188)</f>
        <v>0</v>
      </c>
      <c r="BN188" s="482">
        <f>SUM($U188:AD188)</f>
        <v>0</v>
      </c>
      <c r="BO188" s="482">
        <f>SUM($U188:AE188)</f>
        <v>0</v>
      </c>
      <c r="BP188" s="483">
        <f>SUM($U188:AF188)</f>
        <v>0</v>
      </c>
      <c r="BQ188" s="484">
        <f t="shared" si="21"/>
        <v>0</v>
      </c>
      <c r="BR188" s="482">
        <f>SUM($AS188:AT188)</f>
        <v>0</v>
      </c>
      <c r="BS188" s="482">
        <f>SUM($AS188:AU188)</f>
        <v>0</v>
      </c>
      <c r="BT188" s="482">
        <f>SUM($AS188:AV188)</f>
        <v>0</v>
      </c>
      <c r="BU188" s="482">
        <f>SUM($AS188:AW188)</f>
        <v>0</v>
      </c>
      <c r="BV188" s="482">
        <f>SUM($AS188:AX188)</f>
        <v>0</v>
      </c>
      <c r="BW188" s="482">
        <f>SUM($AS188:AY188)</f>
        <v>0</v>
      </c>
      <c r="BX188" s="482">
        <f>SUM($AS188:AZ188)</f>
        <v>0</v>
      </c>
      <c r="BY188" s="482">
        <f>SUM($AS188:BA188)</f>
        <v>0</v>
      </c>
      <c r="BZ188" s="482">
        <f>SUM($AS188:BB188)</f>
        <v>0</v>
      </c>
      <c r="CA188" s="482">
        <f>SUM($AS188:BC188)</f>
        <v>0</v>
      </c>
      <c r="CB188" s="483">
        <f>SUM($AS188:BD188)</f>
        <v>0</v>
      </c>
    </row>
    <row r="189" spans="1:80" s="471" customFormat="1" ht="12.75" hidden="1" customHeight="1">
      <c r="A189" s="471">
        <f t="shared" si="13"/>
        <v>180</v>
      </c>
      <c r="B189" s="628"/>
      <c r="C189" s="533"/>
      <c r="D189" s="533"/>
      <c r="E189" s="427"/>
      <c r="F189" s="586"/>
      <c r="G189" s="629"/>
      <c r="H189" s="582">
        <f t="shared" si="19"/>
        <v>182</v>
      </c>
      <c r="I189" s="524"/>
      <c r="J189" s="473"/>
      <c r="K189" s="473"/>
      <c r="L189" s="473"/>
      <c r="M189" s="473"/>
      <c r="N189" s="473"/>
      <c r="O189" s="473"/>
      <c r="P189" s="473"/>
      <c r="Q189" s="473"/>
      <c r="R189" s="473"/>
      <c r="S189" s="473"/>
      <c r="T189" s="474"/>
      <c r="U189" s="475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510"/>
      <c r="AH189" s="495"/>
      <c r="AI189" s="495"/>
      <c r="AJ189" s="495"/>
      <c r="AK189" s="495"/>
      <c r="AL189" s="495"/>
      <c r="AM189" s="495"/>
      <c r="AN189" s="495"/>
      <c r="AO189" s="495"/>
      <c r="AP189" s="495"/>
      <c r="AQ189" s="495"/>
      <c r="AR189" s="497"/>
      <c r="AS189" s="509"/>
      <c r="AT189" s="495"/>
      <c r="AU189" s="495"/>
      <c r="AV189" s="480"/>
      <c r="AW189" s="496"/>
      <c r="AX189" s="495"/>
      <c r="AY189" s="495"/>
      <c r="AZ189" s="496"/>
      <c r="BA189" s="496"/>
      <c r="BB189" s="496"/>
      <c r="BC189" s="496"/>
      <c r="BD189" s="511"/>
      <c r="BE189" s="482">
        <f t="shared" si="20"/>
        <v>0</v>
      </c>
      <c r="BF189" s="482">
        <f>SUM($U189:V189)</f>
        <v>0</v>
      </c>
      <c r="BG189" s="482">
        <f>SUM($U189:W189)</f>
        <v>0</v>
      </c>
      <c r="BH189" s="482">
        <f>SUM($U189:X189)</f>
        <v>0</v>
      </c>
      <c r="BI189" s="482">
        <f>SUM($U189:Y189)</f>
        <v>0</v>
      </c>
      <c r="BJ189" s="482">
        <f>SUM($U189:Z189)</f>
        <v>0</v>
      </c>
      <c r="BK189" s="482">
        <f>SUM($U189:AA189)</f>
        <v>0</v>
      </c>
      <c r="BL189" s="482">
        <f>SUM($U189:AB189)</f>
        <v>0</v>
      </c>
      <c r="BM189" s="482">
        <f>SUM($U189:AC189)</f>
        <v>0</v>
      </c>
      <c r="BN189" s="482">
        <f>SUM($U189:AD189)</f>
        <v>0</v>
      </c>
      <c r="BO189" s="482">
        <f>SUM($U189:AE189)</f>
        <v>0</v>
      </c>
      <c r="BP189" s="483">
        <f>SUM($U189:AF189)</f>
        <v>0</v>
      </c>
      <c r="BQ189" s="484">
        <f t="shared" si="21"/>
        <v>0</v>
      </c>
      <c r="BR189" s="482">
        <f>SUM($AS189:AT189)</f>
        <v>0</v>
      </c>
      <c r="BS189" s="482">
        <f>SUM($AS189:AU189)</f>
        <v>0</v>
      </c>
      <c r="BT189" s="482">
        <f>SUM($AS189:AV189)</f>
        <v>0</v>
      </c>
      <c r="BU189" s="482">
        <f>SUM($AS189:AW189)</f>
        <v>0</v>
      </c>
      <c r="BV189" s="482">
        <f>SUM($AS189:AX189)</f>
        <v>0</v>
      </c>
      <c r="BW189" s="482">
        <f>SUM($AS189:AY189)</f>
        <v>0</v>
      </c>
      <c r="BX189" s="482">
        <f>SUM($AS189:AZ189)</f>
        <v>0</v>
      </c>
      <c r="BY189" s="482">
        <f>SUM($AS189:BA189)</f>
        <v>0</v>
      </c>
      <c r="BZ189" s="482">
        <f>SUM($AS189:BB189)</f>
        <v>0</v>
      </c>
      <c r="CA189" s="482">
        <f>SUM($AS189:BC189)</f>
        <v>0</v>
      </c>
      <c r="CB189" s="483">
        <f>SUM($AS189:BD189)</f>
        <v>0</v>
      </c>
    </row>
    <row r="190" spans="1:80" s="471" customFormat="1" ht="12.75" hidden="1" customHeight="1">
      <c r="A190" s="471">
        <f t="shared" si="13"/>
        <v>181</v>
      </c>
      <c r="B190" s="628"/>
      <c r="C190" s="533"/>
      <c r="D190" s="533"/>
      <c r="E190" s="427"/>
      <c r="F190" s="586"/>
      <c r="G190" s="629"/>
      <c r="H190" s="582">
        <f t="shared" si="19"/>
        <v>183</v>
      </c>
      <c r="I190" s="524"/>
      <c r="J190" s="473"/>
      <c r="K190" s="473"/>
      <c r="L190" s="473"/>
      <c r="M190" s="473"/>
      <c r="N190" s="473"/>
      <c r="O190" s="473"/>
      <c r="P190" s="473"/>
      <c r="Q190" s="473"/>
      <c r="R190" s="473"/>
      <c r="S190" s="473"/>
      <c r="T190" s="474"/>
      <c r="U190" s="475"/>
      <c r="V190" s="473"/>
      <c r="W190" s="473"/>
      <c r="X190" s="473"/>
      <c r="Y190" s="473"/>
      <c r="Z190" s="473"/>
      <c r="AA190" s="473"/>
      <c r="AB190" s="473"/>
      <c r="AC190" s="473"/>
      <c r="AD190" s="473"/>
      <c r="AE190" s="473"/>
      <c r="AF190" s="473"/>
      <c r="AG190" s="510"/>
      <c r="AH190" s="495"/>
      <c r="AI190" s="495"/>
      <c r="AJ190" s="495"/>
      <c r="AK190" s="495"/>
      <c r="AL190" s="495"/>
      <c r="AM190" s="495"/>
      <c r="AN190" s="495"/>
      <c r="AO190" s="495"/>
      <c r="AP190" s="495"/>
      <c r="AQ190" s="495"/>
      <c r="AR190" s="497"/>
      <c r="AS190" s="509"/>
      <c r="AT190" s="495"/>
      <c r="AU190" s="495"/>
      <c r="AV190" s="480"/>
      <c r="AW190" s="496"/>
      <c r="AX190" s="495"/>
      <c r="AY190" s="495"/>
      <c r="AZ190" s="496"/>
      <c r="BA190" s="496"/>
      <c r="BB190" s="496"/>
      <c r="BC190" s="496"/>
      <c r="BD190" s="511"/>
      <c r="BE190" s="482">
        <f t="shared" si="20"/>
        <v>0</v>
      </c>
      <c r="BF190" s="482">
        <f>SUM($U190:V190)</f>
        <v>0</v>
      </c>
      <c r="BG190" s="482">
        <f>SUM($U190:W190)</f>
        <v>0</v>
      </c>
      <c r="BH190" s="482">
        <f>SUM($U190:X190)</f>
        <v>0</v>
      </c>
      <c r="BI190" s="482">
        <f>SUM($U190:Y190)</f>
        <v>0</v>
      </c>
      <c r="BJ190" s="482">
        <f>SUM($U190:Z190)</f>
        <v>0</v>
      </c>
      <c r="BK190" s="482">
        <f>SUM($U190:AA190)</f>
        <v>0</v>
      </c>
      <c r="BL190" s="482">
        <f>SUM($U190:AB190)</f>
        <v>0</v>
      </c>
      <c r="BM190" s="482">
        <f>SUM($U190:AC190)</f>
        <v>0</v>
      </c>
      <c r="BN190" s="482">
        <f>SUM($U190:AD190)</f>
        <v>0</v>
      </c>
      <c r="BO190" s="482">
        <f>SUM($U190:AE190)</f>
        <v>0</v>
      </c>
      <c r="BP190" s="483">
        <f>SUM($U190:AF190)</f>
        <v>0</v>
      </c>
      <c r="BQ190" s="484">
        <f t="shared" si="21"/>
        <v>0</v>
      </c>
      <c r="BR190" s="482">
        <f>SUM($AS190:AT190)</f>
        <v>0</v>
      </c>
      <c r="BS190" s="482">
        <f>SUM($AS190:AU190)</f>
        <v>0</v>
      </c>
      <c r="BT190" s="482">
        <f>SUM($AS190:AV190)</f>
        <v>0</v>
      </c>
      <c r="BU190" s="482">
        <f>SUM($AS190:AW190)</f>
        <v>0</v>
      </c>
      <c r="BV190" s="482">
        <f>SUM($AS190:AX190)</f>
        <v>0</v>
      </c>
      <c r="BW190" s="482">
        <f>SUM($AS190:AY190)</f>
        <v>0</v>
      </c>
      <c r="BX190" s="482">
        <f>SUM($AS190:AZ190)</f>
        <v>0</v>
      </c>
      <c r="BY190" s="482">
        <f>SUM($AS190:BA190)</f>
        <v>0</v>
      </c>
      <c r="BZ190" s="482">
        <f>SUM($AS190:BB190)</f>
        <v>0</v>
      </c>
      <c r="CA190" s="482">
        <f>SUM($AS190:BC190)</f>
        <v>0</v>
      </c>
      <c r="CB190" s="483">
        <f>SUM($AS190:BD190)</f>
        <v>0</v>
      </c>
    </row>
    <row r="191" spans="1:80" s="471" customFormat="1" ht="12.75" hidden="1" customHeight="1">
      <c r="A191" s="471">
        <f t="shared" si="13"/>
        <v>182</v>
      </c>
      <c r="B191" s="628"/>
      <c r="C191" s="533"/>
      <c r="D191" s="533"/>
      <c r="E191" s="427"/>
      <c r="F191" s="586"/>
      <c r="G191" s="629"/>
      <c r="H191" s="582">
        <f t="shared" si="19"/>
        <v>184</v>
      </c>
      <c r="I191" s="524"/>
      <c r="J191" s="473"/>
      <c r="K191" s="473"/>
      <c r="L191" s="473"/>
      <c r="M191" s="473"/>
      <c r="N191" s="473"/>
      <c r="O191" s="473"/>
      <c r="P191" s="473"/>
      <c r="Q191" s="473"/>
      <c r="R191" s="473"/>
      <c r="S191" s="473"/>
      <c r="T191" s="474"/>
      <c r="U191" s="475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510"/>
      <c r="AH191" s="495"/>
      <c r="AI191" s="495"/>
      <c r="AJ191" s="495"/>
      <c r="AK191" s="495"/>
      <c r="AL191" s="495"/>
      <c r="AM191" s="495"/>
      <c r="AN191" s="495"/>
      <c r="AO191" s="495"/>
      <c r="AP191" s="495"/>
      <c r="AQ191" s="495"/>
      <c r="AR191" s="497"/>
      <c r="AS191" s="509"/>
      <c r="AT191" s="495"/>
      <c r="AU191" s="495"/>
      <c r="AV191" s="480"/>
      <c r="AW191" s="496"/>
      <c r="AX191" s="495"/>
      <c r="AY191" s="495"/>
      <c r="AZ191" s="496"/>
      <c r="BA191" s="496"/>
      <c r="BB191" s="496"/>
      <c r="BC191" s="496"/>
      <c r="BD191" s="511"/>
      <c r="BE191" s="482">
        <f t="shared" si="20"/>
        <v>0</v>
      </c>
      <c r="BF191" s="482">
        <f>SUM($U191:V191)</f>
        <v>0</v>
      </c>
      <c r="BG191" s="482">
        <f>SUM($U191:W191)</f>
        <v>0</v>
      </c>
      <c r="BH191" s="482">
        <f>SUM($U191:X191)</f>
        <v>0</v>
      </c>
      <c r="BI191" s="482">
        <f>SUM($U191:Y191)</f>
        <v>0</v>
      </c>
      <c r="BJ191" s="482">
        <f>SUM($U191:Z191)</f>
        <v>0</v>
      </c>
      <c r="BK191" s="482">
        <f>SUM($U191:AA191)</f>
        <v>0</v>
      </c>
      <c r="BL191" s="482">
        <f>SUM($U191:AB191)</f>
        <v>0</v>
      </c>
      <c r="BM191" s="482">
        <f>SUM($U191:AC191)</f>
        <v>0</v>
      </c>
      <c r="BN191" s="482">
        <f>SUM($U191:AD191)</f>
        <v>0</v>
      </c>
      <c r="BO191" s="482">
        <f>SUM($U191:AE191)</f>
        <v>0</v>
      </c>
      <c r="BP191" s="483">
        <f>SUM($U191:AF191)</f>
        <v>0</v>
      </c>
      <c r="BQ191" s="484">
        <f t="shared" si="21"/>
        <v>0</v>
      </c>
      <c r="BR191" s="482">
        <f>SUM($AS191:AT191)</f>
        <v>0</v>
      </c>
      <c r="BS191" s="482">
        <f>SUM($AS191:AU191)</f>
        <v>0</v>
      </c>
      <c r="BT191" s="482">
        <f>SUM($AS191:AV191)</f>
        <v>0</v>
      </c>
      <c r="BU191" s="482">
        <f>SUM($AS191:AW191)</f>
        <v>0</v>
      </c>
      <c r="BV191" s="482">
        <f>SUM($AS191:AX191)</f>
        <v>0</v>
      </c>
      <c r="BW191" s="482">
        <f>SUM($AS191:AY191)</f>
        <v>0</v>
      </c>
      <c r="BX191" s="482">
        <f>SUM($AS191:AZ191)</f>
        <v>0</v>
      </c>
      <c r="BY191" s="482">
        <f>SUM($AS191:BA191)</f>
        <v>0</v>
      </c>
      <c r="BZ191" s="482">
        <f>SUM($AS191:BB191)</f>
        <v>0</v>
      </c>
      <c r="CA191" s="482">
        <f>SUM($AS191:BC191)</f>
        <v>0</v>
      </c>
      <c r="CB191" s="483">
        <f>SUM($AS191:BD191)</f>
        <v>0</v>
      </c>
    </row>
    <row r="192" spans="1:80" s="471" customFormat="1" ht="12.75" hidden="1" customHeight="1">
      <c r="A192" s="471">
        <f t="shared" si="13"/>
        <v>183</v>
      </c>
      <c r="B192" s="628"/>
      <c r="C192" s="533"/>
      <c r="D192" s="533"/>
      <c r="E192" s="427"/>
      <c r="F192" s="586"/>
      <c r="G192" s="629"/>
      <c r="H192" s="582">
        <f t="shared" si="19"/>
        <v>185</v>
      </c>
      <c r="I192" s="524"/>
      <c r="J192" s="473"/>
      <c r="K192" s="473"/>
      <c r="L192" s="473"/>
      <c r="M192" s="473"/>
      <c r="N192" s="473"/>
      <c r="O192" s="473"/>
      <c r="P192" s="473"/>
      <c r="Q192" s="473"/>
      <c r="R192" s="473"/>
      <c r="S192" s="473"/>
      <c r="T192" s="474"/>
      <c r="U192" s="475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510"/>
      <c r="AH192" s="495"/>
      <c r="AI192" s="495"/>
      <c r="AJ192" s="495"/>
      <c r="AK192" s="495"/>
      <c r="AL192" s="495"/>
      <c r="AM192" s="495"/>
      <c r="AN192" s="495"/>
      <c r="AO192" s="495"/>
      <c r="AP192" s="495"/>
      <c r="AQ192" s="495"/>
      <c r="AR192" s="497"/>
      <c r="AS192" s="509"/>
      <c r="AT192" s="495"/>
      <c r="AU192" s="495"/>
      <c r="AV192" s="480"/>
      <c r="AW192" s="496"/>
      <c r="AX192" s="495"/>
      <c r="AY192" s="495"/>
      <c r="AZ192" s="496"/>
      <c r="BA192" s="496"/>
      <c r="BB192" s="496"/>
      <c r="BC192" s="496"/>
      <c r="BD192" s="511"/>
      <c r="BE192" s="482">
        <f t="shared" si="20"/>
        <v>0</v>
      </c>
      <c r="BF192" s="482">
        <f>SUM($U192:V192)</f>
        <v>0</v>
      </c>
      <c r="BG192" s="482">
        <f>SUM($U192:W192)</f>
        <v>0</v>
      </c>
      <c r="BH192" s="482">
        <f>SUM($U192:X192)</f>
        <v>0</v>
      </c>
      <c r="BI192" s="482">
        <f>SUM($U192:Y192)</f>
        <v>0</v>
      </c>
      <c r="BJ192" s="482">
        <f>SUM($U192:Z192)</f>
        <v>0</v>
      </c>
      <c r="BK192" s="482">
        <f>SUM($U192:AA192)</f>
        <v>0</v>
      </c>
      <c r="BL192" s="482">
        <f>SUM($U192:AB192)</f>
        <v>0</v>
      </c>
      <c r="BM192" s="482">
        <f>SUM($U192:AC192)</f>
        <v>0</v>
      </c>
      <c r="BN192" s="482">
        <f>SUM($U192:AD192)</f>
        <v>0</v>
      </c>
      <c r="BO192" s="482">
        <f>SUM($U192:AE192)</f>
        <v>0</v>
      </c>
      <c r="BP192" s="483">
        <f>SUM($U192:AF192)</f>
        <v>0</v>
      </c>
      <c r="BQ192" s="484">
        <f t="shared" si="21"/>
        <v>0</v>
      </c>
      <c r="BR192" s="482">
        <f>SUM($AS192:AT192)</f>
        <v>0</v>
      </c>
      <c r="BS192" s="482">
        <f>SUM($AS192:AU192)</f>
        <v>0</v>
      </c>
      <c r="BT192" s="482">
        <f>SUM($AS192:AV192)</f>
        <v>0</v>
      </c>
      <c r="BU192" s="482">
        <f>SUM($AS192:AW192)</f>
        <v>0</v>
      </c>
      <c r="BV192" s="482">
        <f>SUM($AS192:AX192)</f>
        <v>0</v>
      </c>
      <c r="BW192" s="482">
        <f>SUM($AS192:AY192)</f>
        <v>0</v>
      </c>
      <c r="BX192" s="482">
        <f>SUM($AS192:AZ192)</f>
        <v>0</v>
      </c>
      <c r="BY192" s="482">
        <f>SUM($AS192:BA192)</f>
        <v>0</v>
      </c>
      <c r="BZ192" s="482">
        <f>SUM($AS192:BB192)</f>
        <v>0</v>
      </c>
      <c r="CA192" s="482">
        <f>SUM($AS192:BC192)</f>
        <v>0</v>
      </c>
      <c r="CB192" s="483">
        <f>SUM($AS192:BD192)</f>
        <v>0</v>
      </c>
    </row>
    <row r="193" spans="1:80" s="471" customFormat="1" ht="12.75" hidden="1" customHeight="1">
      <c r="A193" s="471">
        <f t="shared" si="13"/>
        <v>184</v>
      </c>
      <c r="B193" s="628"/>
      <c r="C193" s="533"/>
      <c r="D193" s="533"/>
      <c r="E193" s="427"/>
      <c r="F193" s="586"/>
      <c r="G193" s="629"/>
      <c r="H193" s="582">
        <f t="shared" si="19"/>
        <v>186</v>
      </c>
      <c r="I193" s="524"/>
      <c r="J193" s="473"/>
      <c r="K193" s="473"/>
      <c r="L193" s="473"/>
      <c r="M193" s="473"/>
      <c r="N193" s="473"/>
      <c r="O193" s="473"/>
      <c r="P193" s="473"/>
      <c r="Q193" s="473"/>
      <c r="R193" s="473"/>
      <c r="S193" s="473"/>
      <c r="T193" s="474"/>
      <c r="U193" s="475"/>
      <c r="V193" s="473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510"/>
      <c r="AH193" s="495"/>
      <c r="AI193" s="495"/>
      <c r="AJ193" s="495"/>
      <c r="AK193" s="495"/>
      <c r="AL193" s="495"/>
      <c r="AM193" s="495"/>
      <c r="AN193" s="495"/>
      <c r="AO193" s="495"/>
      <c r="AP193" s="495"/>
      <c r="AQ193" s="495"/>
      <c r="AR193" s="497"/>
      <c r="AS193" s="509"/>
      <c r="AT193" s="495"/>
      <c r="AU193" s="495"/>
      <c r="AV193" s="480"/>
      <c r="AW193" s="496"/>
      <c r="AX193" s="495"/>
      <c r="AY193" s="495"/>
      <c r="AZ193" s="496"/>
      <c r="BA193" s="496"/>
      <c r="BB193" s="496"/>
      <c r="BC193" s="496"/>
      <c r="BD193" s="511"/>
      <c r="BE193" s="482">
        <f t="shared" si="20"/>
        <v>0</v>
      </c>
      <c r="BF193" s="482">
        <f>SUM($U193:V193)</f>
        <v>0</v>
      </c>
      <c r="BG193" s="482">
        <f>SUM($U193:W193)</f>
        <v>0</v>
      </c>
      <c r="BH193" s="482">
        <f>SUM($U193:X193)</f>
        <v>0</v>
      </c>
      <c r="BI193" s="482">
        <f>SUM($U193:Y193)</f>
        <v>0</v>
      </c>
      <c r="BJ193" s="482">
        <f>SUM($U193:Z193)</f>
        <v>0</v>
      </c>
      <c r="BK193" s="482">
        <f>SUM($U193:AA193)</f>
        <v>0</v>
      </c>
      <c r="BL193" s="482">
        <f>SUM($U193:AB193)</f>
        <v>0</v>
      </c>
      <c r="BM193" s="482">
        <f>SUM($U193:AC193)</f>
        <v>0</v>
      </c>
      <c r="BN193" s="482">
        <f>SUM($U193:AD193)</f>
        <v>0</v>
      </c>
      <c r="BO193" s="482">
        <f>SUM($U193:AE193)</f>
        <v>0</v>
      </c>
      <c r="BP193" s="483">
        <f>SUM($U193:AF193)</f>
        <v>0</v>
      </c>
      <c r="BQ193" s="484">
        <f t="shared" si="21"/>
        <v>0</v>
      </c>
      <c r="BR193" s="482">
        <f>SUM($AS193:AT193)</f>
        <v>0</v>
      </c>
      <c r="BS193" s="482">
        <f>SUM($AS193:AU193)</f>
        <v>0</v>
      </c>
      <c r="BT193" s="482">
        <f>SUM($AS193:AV193)</f>
        <v>0</v>
      </c>
      <c r="BU193" s="482">
        <f>SUM($AS193:AW193)</f>
        <v>0</v>
      </c>
      <c r="BV193" s="482">
        <f>SUM($AS193:AX193)</f>
        <v>0</v>
      </c>
      <c r="BW193" s="482">
        <f>SUM($AS193:AY193)</f>
        <v>0</v>
      </c>
      <c r="BX193" s="482">
        <f>SUM($AS193:AZ193)</f>
        <v>0</v>
      </c>
      <c r="BY193" s="482">
        <f>SUM($AS193:BA193)</f>
        <v>0</v>
      </c>
      <c r="BZ193" s="482">
        <f>SUM($AS193:BB193)</f>
        <v>0</v>
      </c>
      <c r="CA193" s="482">
        <f>SUM($AS193:BC193)</f>
        <v>0</v>
      </c>
      <c r="CB193" s="483">
        <f>SUM($AS193:BD193)</f>
        <v>0</v>
      </c>
    </row>
    <row r="194" spans="1:80" s="471" customFormat="1" ht="12.75" hidden="1" customHeight="1">
      <c r="A194" s="471">
        <f t="shared" si="13"/>
        <v>185</v>
      </c>
      <c r="B194" s="628"/>
      <c r="C194" s="533"/>
      <c r="D194" s="533"/>
      <c r="E194" s="427"/>
      <c r="F194" s="586"/>
      <c r="G194" s="629"/>
      <c r="H194" s="582">
        <f t="shared" si="19"/>
        <v>187</v>
      </c>
      <c r="I194" s="524"/>
      <c r="J194" s="473"/>
      <c r="K194" s="473"/>
      <c r="L194" s="473"/>
      <c r="M194" s="473"/>
      <c r="N194" s="473"/>
      <c r="O194" s="473"/>
      <c r="P194" s="473"/>
      <c r="Q194" s="473"/>
      <c r="R194" s="473"/>
      <c r="S194" s="473"/>
      <c r="T194" s="474"/>
      <c r="U194" s="475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510"/>
      <c r="AH194" s="495"/>
      <c r="AI194" s="495"/>
      <c r="AJ194" s="495"/>
      <c r="AK194" s="495"/>
      <c r="AL194" s="495"/>
      <c r="AM194" s="495"/>
      <c r="AN194" s="495"/>
      <c r="AO194" s="495"/>
      <c r="AP194" s="495"/>
      <c r="AQ194" s="495"/>
      <c r="AR194" s="497"/>
      <c r="AS194" s="509"/>
      <c r="AT194" s="495"/>
      <c r="AU194" s="495"/>
      <c r="AV194" s="480"/>
      <c r="AW194" s="496"/>
      <c r="AX194" s="495"/>
      <c r="AY194" s="495"/>
      <c r="AZ194" s="496"/>
      <c r="BA194" s="496"/>
      <c r="BB194" s="496"/>
      <c r="BC194" s="496"/>
      <c r="BD194" s="511"/>
      <c r="BE194" s="482">
        <f t="shared" si="20"/>
        <v>0</v>
      </c>
      <c r="BF194" s="482">
        <f>SUM($U194:V194)</f>
        <v>0</v>
      </c>
      <c r="BG194" s="482">
        <f>SUM($U194:W194)</f>
        <v>0</v>
      </c>
      <c r="BH194" s="482">
        <f>SUM($U194:X194)</f>
        <v>0</v>
      </c>
      <c r="BI194" s="482">
        <f>SUM($U194:Y194)</f>
        <v>0</v>
      </c>
      <c r="BJ194" s="482">
        <f>SUM($U194:Z194)</f>
        <v>0</v>
      </c>
      <c r="BK194" s="482">
        <f>SUM($U194:AA194)</f>
        <v>0</v>
      </c>
      <c r="BL194" s="482">
        <f>SUM($U194:AB194)</f>
        <v>0</v>
      </c>
      <c r="BM194" s="482">
        <f>SUM($U194:AC194)</f>
        <v>0</v>
      </c>
      <c r="BN194" s="482">
        <f>SUM($U194:AD194)</f>
        <v>0</v>
      </c>
      <c r="BO194" s="482">
        <f>SUM($U194:AE194)</f>
        <v>0</v>
      </c>
      <c r="BP194" s="483">
        <f>SUM($U194:AF194)</f>
        <v>0</v>
      </c>
      <c r="BQ194" s="484">
        <f t="shared" si="21"/>
        <v>0</v>
      </c>
      <c r="BR194" s="482">
        <f>SUM($AS194:AT194)</f>
        <v>0</v>
      </c>
      <c r="BS194" s="482">
        <f>SUM($AS194:AU194)</f>
        <v>0</v>
      </c>
      <c r="BT194" s="482">
        <f>SUM($AS194:AV194)</f>
        <v>0</v>
      </c>
      <c r="BU194" s="482">
        <f>SUM($AS194:AW194)</f>
        <v>0</v>
      </c>
      <c r="BV194" s="482">
        <f>SUM($AS194:AX194)</f>
        <v>0</v>
      </c>
      <c r="BW194" s="482">
        <f>SUM($AS194:AY194)</f>
        <v>0</v>
      </c>
      <c r="BX194" s="482">
        <f>SUM($AS194:AZ194)</f>
        <v>0</v>
      </c>
      <c r="BY194" s="482">
        <f>SUM($AS194:BA194)</f>
        <v>0</v>
      </c>
      <c r="BZ194" s="482">
        <f>SUM($AS194:BB194)</f>
        <v>0</v>
      </c>
      <c r="CA194" s="482">
        <f>SUM($AS194:BC194)</f>
        <v>0</v>
      </c>
      <c r="CB194" s="483">
        <f>SUM($AS194:BD194)</f>
        <v>0</v>
      </c>
    </row>
    <row r="195" spans="1:80" s="471" customFormat="1" ht="12.75" hidden="1" customHeight="1">
      <c r="A195" s="471">
        <f t="shared" si="13"/>
        <v>186</v>
      </c>
      <c r="B195" s="628"/>
      <c r="C195" s="533"/>
      <c r="D195" s="533"/>
      <c r="E195" s="427"/>
      <c r="F195" s="586"/>
      <c r="G195" s="629"/>
      <c r="H195" s="582">
        <f t="shared" si="19"/>
        <v>188</v>
      </c>
      <c r="I195" s="524"/>
      <c r="J195" s="473"/>
      <c r="K195" s="473"/>
      <c r="L195" s="473"/>
      <c r="M195" s="473"/>
      <c r="N195" s="473"/>
      <c r="O195" s="473"/>
      <c r="P195" s="473"/>
      <c r="Q195" s="473"/>
      <c r="R195" s="473"/>
      <c r="S195" s="473"/>
      <c r="T195" s="474"/>
      <c r="U195" s="475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510"/>
      <c r="AH195" s="495"/>
      <c r="AI195" s="495"/>
      <c r="AJ195" s="495"/>
      <c r="AK195" s="495"/>
      <c r="AL195" s="495"/>
      <c r="AM195" s="495"/>
      <c r="AN195" s="495"/>
      <c r="AO195" s="495"/>
      <c r="AP195" s="495"/>
      <c r="AQ195" s="495"/>
      <c r="AR195" s="497"/>
      <c r="AS195" s="509"/>
      <c r="AT195" s="495"/>
      <c r="AU195" s="495"/>
      <c r="AV195" s="480"/>
      <c r="AW195" s="496"/>
      <c r="AX195" s="495"/>
      <c r="AY195" s="495"/>
      <c r="AZ195" s="496"/>
      <c r="BA195" s="496"/>
      <c r="BB195" s="496"/>
      <c r="BC195" s="496"/>
      <c r="BD195" s="511"/>
      <c r="BE195" s="482">
        <f t="shared" si="20"/>
        <v>0</v>
      </c>
      <c r="BF195" s="482">
        <f>SUM($U195:V195)</f>
        <v>0</v>
      </c>
      <c r="BG195" s="482">
        <f>SUM($U195:W195)</f>
        <v>0</v>
      </c>
      <c r="BH195" s="482">
        <f>SUM($U195:X195)</f>
        <v>0</v>
      </c>
      <c r="BI195" s="482">
        <f>SUM($U195:Y195)</f>
        <v>0</v>
      </c>
      <c r="BJ195" s="482">
        <f>SUM($U195:Z195)</f>
        <v>0</v>
      </c>
      <c r="BK195" s="482">
        <f>SUM($U195:AA195)</f>
        <v>0</v>
      </c>
      <c r="BL195" s="482">
        <f>SUM($U195:AB195)</f>
        <v>0</v>
      </c>
      <c r="BM195" s="482">
        <f>SUM($U195:AC195)</f>
        <v>0</v>
      </c>
      <c r="BN195" s="482">
        <f>SUM($U195:AD195)</f>
        <v>0</v>
      </c>
      <c r="BO195" s="482">
        <f>SUM($U195:AE195)</f>
        <v>0</v>
      </c>
      <c r="BP195" s="483">
        <f>SUM($U195:AF195)</f>
        <v>0</v>
      </c>
      <c r="BQ195" s="484">
        <f t="shared" si="21"/>
        <v>0</v>
      </c>
      <c r="BR195" s="482">
        <f>SUM($AS195:AT195)</f>
        <v>0</v>
      </c>
      <c r="BS195" s="482">
        <f>SUM($AS195:AU195)</f>
        <v>0</v>
      </c>
      <c r="BT195" s="482">
        <f>SUM($AS195:AV195)</f>
        <v>0</v>
      </c>
      <c r="BU195" s="482">
        <f>SUM($AS195:AW195)</f>
        <v>0</v>
      </c>
      <c r="BV195" s="482">
        <f>SUM($AS195:AX195)</f>
        <v>0</v>
      </c>
      <c r="BW195" s="482">
        <f>SUM($AS195:AY195)</f>
        <v>0</v>
      </c>
      <c r="BX195" s="482">
        <f>SUM($AS195:AZ195)</f>
        <v>0</v>
      </c>
      <c r="BY195" s="482">
        <f>SUM($AS195:BA195)</f>
        <v>0</v>
      </c>
      <c r="BZ195" s="482">
        <f>SUM($AS195:BB195)</f>
        <v>0</v>
      </c>
      <c r="CA195" s="482">
        <f>SUM($AS195:BC195)</f>
        <v>0</v>
      </c>
      <c r="CB195" s="483">
        <f>SUM($AS195:BD195)</f>
        <v>0</v>
      </c>
    </row>
    <row r="196" spans="1:80" s="471" customFormat="1" ht="12.75" hidden="1" customHeight="1">
      <c r="A196" s="471">
        <f t="shared" si="13"/>
        <v>187</v>
      </c>
      <c r="B196" s="628"/>
      <c r="C196" s="533"/>
      <c r="D196" s="533"/>
      <c r="E196" s="427"/>
      <c r="F196" s="586"/>
      <c r="G196" s="629"/>
      <c r="H196" s="582">
        <f t="shared" si="19"/>
        <v>189</v>
      </c>
      <c r="I196" s="524"/>
      <c r="J196" s="473"/>
      <c r="K196" s="473"/>
      <c r="L196" s="473"/>
      <c r="M196" s="473"/>
      <c r="N196" s="473"/>
      <c r="O196" s="473"/>
      <c r="P196" s="473"/>
      <c r="Q196" s="473"/>
      <c r="R196" s="473"/>
      <c r="S196" s="473"/>
      <c r="T196" s="474"/>
      <c r="U196" s="475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510"/>
      <c r="AH196" s="495"/>
      <c r="AI196" s="495"/>
      <c r="AJ196" s="495"/>
      <c r="AK196" s="495"/>
      <c r="AL196" s="495"/>
      <c r="AM196" s="495"/>
      <c r="AN196" s="495"/>
      <c r="AO196" s="495"/>
      <c r="AP196" s="495"/>
      <c r="AQ196" s="495"/>
      <c r="AR196" s="497"/>
      <c r="AS196" s="509"/>
      <c r="AT196" s="495"/>
      <c r="AU196" s="495"/>
      <c r="AV196" s="480"/>
      <c r="AW196" s="496"/>
      <c r="AX196" s="495"/>
      <c r="AY196" s="495"/>
      <c r="AZ196" s="496"/>
      <c r="BA196" s="496"/>
      <c r="BB196" s="496"/>
      <c r="BC196" s="496"/>
      <c r="BD196" s="511"/>
      <c r="BE196" s="482">
        <f t="shared" si="20"/>
        <v>0</v>
      </c>
      <c r="BF196" s="482">
        <f>SUM($U196:V196)</f>
        <v>0</v>
      </c>
      <c r="BG196" s="482">
        <f>SUM($U196:W196)</f>
        <v>0</v>
      </c>
      <c r="BH196" s="482">
        <f>SUM($U196:X196)</f>
        <v>0</v>
      </c>
      <c r="BI196" s="482">
        <f>SUM($U196:Y196)</f>
        <v>0</v>
      </c>
      <c r="BJ196" s="482">
        <f>SUM($U196:Z196)</f>
        <v>0</v>
      </c>
      <c r="BK196" s="482">
        <f>SUM($U196:AA196)</f>
        <v>0</v>
      </c>
      <c r="BL196" s="482">
        <f>SUM($U196:AB196)</f>
        <v>0</v>
      </c>
      <c r="BM196" s="482">
        <f>SUM($U196:AC196)</f>
        <v>0</v>
      </c>
      <c r="BN196" s="482">
        <f>SUM($U196:AD196)</f>
        <v>0</v>
      </c>
      <c r="BO196" s="482">
        <f>SUM($U196:AE196)</f>
        <v>0</v>
      </c>
      <c r="BP196" s="483">
        <f>SUM($U196:AF196)</f>
        <v>0</v>
      </c>
      <c r="BQ196" s="484">
        <f t="shared" si="21"/>
        <v>0</v>
      </c>
      <c r="BR196" s="482">
        <f>SUM($AS196:AT196)</f>
        <v>0</v>
      </c>
      <c r="BS196" s="482">
        <f>SUM($AS196:AU196)</f>
        <v>0</v>
      </c>
      <c r="BT196" s="482">
        <f>SUM($AS196:AV196)</f>
        <v>0</v>
      </c>
      <c r="BU196" s="482">
        <f>SUM($AS196:AW196)</f>
        <v>0</v>
      </c>
      <c r="BV196" s="482">
        <f>SUM($AS196:AX196)</f>
        <v>0</v>
      </c>
      <c r="BW196" s="482">
        <f>SUM($AS196:AY196)</f>
        <v>0</v>
      </c>
      <c r="BX196" s="482">
        <f>SUM($AS196:AZ196)</f>
        <v>0</v>
      </c>
      <c r="BY196" s="482">
        <f>SUM($AS196:BA196)</f>
        <v>0</v>
      </c>
      <c r="BZ196" s="482">
        <f>SUM($AS196:BB196)</f>
        <v>0</v>
      </c>
      <c r="CA196" s="482">
        <f>SUM($AS196:BC196)</f>
        <v>0</v>
      </c>
      <c r="CB196" s="483">
        <f>SUM($AS196:BD196)</f>
        <v>0</v>
      </c>
    </row>
    <row r="197" spans="1:80" s="471" customFormat="1" ht="12.75" hidden="1" customHeight="1">
      <c r="A197" s="471">
        <f t="shared" si="13"/>
        <v>188</v>
      </c>
      <c r="B197" s="628"/>
      <c r="C197" s="533"/>
      <c r="D197" s="533"/>
      <c r="E197" s="427"/>
      <c r="F197" s="586"/>
      <c r="G197" s="629"/>
      <c r="H197" s="582">
        <f t="shared" si="19"/>
        <v>190</v>
      </c>
      <c r="I197" s="524"/>
      <c r="J197" s="473"/>
      <c r="K197" s="473"/>
      <c r="L197" s="473"/>
      <c r="M197" s="473"/>
      <c r="N197" s="473"/>
      <c r="O197" s="473"/>
      <c r="P197" s="473"/>
      <c r="Q197" s="473"/>
      <c r="R197" s="473"/>
      <c r="S197" s="473"/>
      <c r="T197" s="474"/>
      <c r="U197" s="475"/>
      <c r="V197" s="473"/>
      <c r="W197" s="473"/>
      <c r="X197" s="473"/>
      <c r="Y197" s="473"/>
      <c r="Z197" s="473"/>
      <c r="AA197" s="473"/>
      <c r="AB197" s="473"/>
      <c r="AC197" s="473"/>
      <c r="AD197" s="473"/>
      <c r="AE197" s="473"/>
      <c r="AF197" s="473"/>
      <c r="AG197" s="510"/>
      <c r="AH197" s="495"/>
      <c r="AI197" s="495"/>
      <c r="AJ197" s="495"/>
      <c r="AK197" s="495"/>
      <c r="AL197" s="495"/>
      <c r="AM197" s="495"/>
      <c r="AN197" s="495"/>
      <c r="AO197" s="495"/>
      <c r="AP197" s="495"/>
      <c r="AQ197" s="495"/>
      <c r="AR197" s="497"/>
      <c r="AS197" s="509"/>
      <c r="AT197" s="495"/>
      <c r="AU197" s="495"/>
      <c r="AV197" s="480"/>
      <c r="AW197" s="496"/>
      <c r="AX197" s="495"/>
      <c r="AY197" s="495"/>
      <c r="AZ197" s="496"/>
      <c r="BA197" s="496"/>
      <c r="BB197" s="496"/>
      <c r="BC197" s="496"/>
      <c r="BD197" s="511"/>
      <c r="BE197" s="482">
        <f t="shared" si="20"/>
        <v>0</v>
      </c>
      <c r="BF197" s="482">
        <f>SUM($U197:V197)</f>
        <v>0</v>
      </c>
      <c r="BG197" s="482">
        <f>SUM($U197:W197)</f>
        <v>0</v>
      </c>
      <c r="BH197" s="482">
        <f>SUM($U197:X197)</f>
        <v>0</v>
      </c>
      <c r="BI197" s="482">
        <f>SUM($U197:Y197)</f>
        <v>0</v>
      </c>
      <c r="BJ197" s="482">
        <f>SUM($U197:Z197)</f>
        <v>0</v>
      </c>
      <c r="BK197" s="482">
        <f>SUM($U197:AA197)</f>
        <v>0</v>
      </c>
      <c r="BL197" s="482">
        <f>SUM($U197:AB197)</f>
        <v>0</v>
      </c>
      <c r="BM197" s="482">
        <f>SUM($U197:AC197)</f>
        <v>0</v>
      </c>
      <c r="BN197" s="482">
        <f>SUM($U197:AD197)</f>
        <v>0</v>
      </c>
      <c r="BO197" s="482">
        <f>SUM($U197:AE197)</f>
        <v>0</v>
      </c>
      <c r="BP197" s="483">
        <f>SUM($U197:AF197)</f>
        <v>0</v>
      </c>
      <c r="BQ197" s="484">
        <f t="shared" si="21"/>
        <v>0</v>
      </c>
      <c r="BR197" s="482">
        <f>SUM($AS197:AT197)</f>
        <v>0</v>
      </c>
      <c r="BS197" s="482">
        <f>SUM($AS197:AU197)</f>
        <v>0</v>
      </c>
      <c r="BT197" s="482">
        <f>SUM($AS197:AV197)</f>
        <v>0</v>
      </c>
      <c r="BU197" s="482">
        <f>SUM($AS197:AW197)</f>
        <v>0</v>
      </c>
      <c r="BV197" s="482">
        <f>SUM($AS197:AX197)</f>
        <v>0</v>
      </c>
      <c r="BW197" s="482">
        <f>SUM($AS197:AY197)</f>
        <v>0</v>
      </c>
      <c r="BX197" s="482">
        <f>SUM($AS197:AZ197)</f>
        <v>0</v>
      </c>
      <c r="BY197" s="482">
        <f>SUM($AS197:BA197)</f>
        <v>0</v>
      </c>
      <c r="BZ197" s="482">
        <f>SUM($AS197:BB197)</f>
        <v>0</v>
      </c>
      <c r="CA197" s="482">
        <f>SUM($AS197:BC197)</f>
        <v>0</v>
      </c>
      <c r="CB197" s="483">
        <f>SUM($AS197:BD197)</f>
        <v>0</v>
      </c>
    </row>
    <row r="198" spans="1:80" s="471" customFormat="1" ht="12.75" hidden="1" customHeight="1">
      <c r="A198" s="471">
        <f t="shared" si="13"/>
        <v>189</v>
      </c>
      <c r="B198" s="628"/>
      <c r="C198" s="533"/>
      <c r="D198" s="533"/>
      <c r="E198" s="427"/>
      <c r="F198" s="586"/>
      <c r="G198" s="629"/>
      <c r="H198" s="582">
        <f t="shared" si="19"/>
        <v>191</v>
      </c>
      <c r="I198" s="524"/>
      <c r="J198" s="473"/>
      <c r="K198" s="473"/>
      <c r="L198" s="473"/>
      <c r="M198" s="473"/>
      <c r="N198" s="473"/>
      <c r="O198" s="473"/>
      <c r="P198" s="473"/>
      <c r="Q198" s="473"/>
      <c r="R198" s="473"/>
      <c r="S198" s="473"/>
      <c r="T198" s="474"/>
      <c r="U198" s="475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510"/>
      <c r="AH198" s="495"/>
      <c r="AI198" s="495"/>
      <c r="AJ198" s="495"/>
      <c r="AK198" s="495"/>
      <c r="AL198" s="495"/>
      <c r="AM198" s="495"/>
      <c r="AN198" s="495"/>
      <c r="AO198" s="495"/>
      <c r="AP198" s="495"/>
      <c r="AQ198" s="495"/>
      <c r="AR198" s="497"/>
      <c r="AS198" s="509"/>
      <c r="AT198" s="495"/>
      <c r="AU198" s="495"/>
      <c r="AV198" s="480"/>
      <c r="AW198" s="496"/>
      <c r="AX198" s="495"/>
      <c r="AY198" s="495"/>
      <c r="AZ198" s="496"/>
      <c r="BA198" s="496"/>
      <c r="BB198" s="496"/>
      <c r="BC198" s="496"/>
      <c r="BD198" s="511"/>
      <c r="BE198" s="482">
        <f t="shared" si="20"/>
        <v>0</v>
      </c>
      <c r="BF198" s="482">
        <f>SUM($U198:V198)</f>
        <v>0</v>
      </c>
      <c r="BG198" s="482">
        <f>SUM($U198:W198)</f>
        <v>0</v>
      </c>
      <c r="BH198" s="482">
        <f>SUM($U198:X198)</f>
        <v>0</v>
      </c>
      <c r="BI198" s="482">
        <f>SUM($U198:Y198)</f>
        <v>0</v>
      </c>
      <c r="BJ198" s="482">
        <f>SUM($U198:Z198)</f>
        <v>0</v>
      </c>
      <c r="BK198" s="482">
        <f>SUM($U198:AA198)</f>
        <v>0</v>
      </c>
      <c r="BL198" s="482">
        <f>SUM($U198:AB198)</f>
        <v>0</v>
      </c>
      <c r="BM198" s="482">
        <f>SUM($U198:AC198)</f>
        <v>0</v>
      </c>
      <c r="BN198" s="482">
        <f>SUM($U198:AD198)</f>
        <v>0</v>
      </c>
      <c r="BO198" s="482">
        <f>SUM($U198:AE198)</f>
        <v>0</v>
      </c>
      <c r="BP198" s="483">
        <f>SUM($U198:AF198)</f>
        <v>0</v>
      </c>
      <c r="BQ198" s="484">
        <f t="shared" si="21"/>
        <v>0</v>
      </c>
      <c r="BR198" s="482">
        <f>SUM($AS198:AT198)</f>
        <v>0</v>
      </c>
      <c r="BS198" s="482">
        <f>SUM($AS198:AU198)</f>
        <v>0</v>
      </c>
      <c r="BT198" s="482">
        <f>SUM($AS198:AV198)</f>
        <v>0</v>
      </c>
      <c r="BU198" s="482">
        <f>SUM($AS198:AW198)</f>
        <v>0</v>
      </c>
      <c r="BV198" s="482">
        <f>SUM($AS198:AX198)</f>
        <v>0</v>
      </c>
      <c r="BW198" s="482">
        <f>SUM($AS198:AY198)</f>
        <v>0</v>
      </c>
      <c r="BX198" s="482">
        <f>SUM($AS198:AZ198)</f>
        <v>0</v>
      </c>
      <c r="BY198" s="482">
        <f>SUM($AS198:BA198)</f>
        <v>0</v>
      </c>
      <c r="BZ198" s="482">
        <f>SUM($AS198:BB198)</f>
        <v>0</v>
      </c>
      <c r="CA198" s="482">
        <f>SUM($AS198:BC198)</f>
        <v>0</v>
      </c>
      <c r="CB198" s="483">
        <f>SUM($AS198:BD198)</f>
        <v>0</v>
      </c>
    </row>
    <row r="199" spans="1:80" s="471" customFormat="1" ht="12.75" hidden="1" customHeight="1">
      <c r="A199" s="471">
        <f t="shared" si="13"/>
        <v>190</v>
      </c>
      <c r="B199" s="628"/>
      <c r="C199" s="533"/>
      <c r="D199" s="533"/>
      <c r="E199" s="427"/>
      <c r="F199" s="586"/>
      <c r="G199" s="629"/>
      <c r="H199" s="582">
        <f t="shared" si="19"/>
        <v>192</v>
      </c>
      <c r="I199" s="524"/>
      <c r="J199" s="473"/>
      <c r="K199" s="473"/>
      <c r="L199" s="473"/>
      <c r="M199" s="473"/>
      <c r="N199" s="473"/>
      <c r="O199" s="473"/>
      <c r="P199" s="473"/>
      <c r="Q199" s="473"/>
      <c r="R199" s="473"/>
      <c r="S199" s="473"/>
      <c r="T199" s="474"/>
      <c r="U199" s="475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510"/>
      <c r="AH199" s="495"/>
      <c r="AI199" s="495"/>
      <c r="AJ199" s="495"/>
      <c r="AK199" s="495"/>
      <c r="AL199" s="495"/>
      <c r="AM199" s="495"/>
      <c r="AN199" s="495"/>
      <c r="AO199" s="495"/>
      <c r="AP199" s="495"/>
      <c r="AQ199" s="495"/>
      <c r="AR199" s="497"/>
      <c r="AS199" s="509"/>
      <c r="AT199" s="495"/>
      <c r="AU199" s="495"/>
      <c r="AV199" s="480"/>
      <c r="AW199" s="496"/>
      <c r="AX199" s="495"/>
      <c r="AY199" s="495"/>
      <c r="AZ199" s="496"/>
      <c r="BA199" s="496"/>
      <c r="BB199" s="496"/>
      <c r="BC199" s="496"/>
      <c r="BD199" s="511"/>
      <c r="BE199" s="482">
        <f t="shared" si="20"/>
        <v>0</v>
      </c>
      <c r="BF199" s="482">
        <f>SUM($U199:V199)</f>
        <v>0</v>
      </c>
      <c r="BG199" s="482">
        <f>SUM($U199:W199)</f>
        <v>0</v>
      </c>
      <c r="BH199" s="482">
        <f>SUM($U199:X199)</f>
        <v>0</v>
      </c>
      <c r="BI199" s="482">
        <f>SUM($U199:Y199)</f>
        <v>0</v>
      </c>
      <c r="BJ199" s="482">
        <f>SUM($U199:Z199)</f>
        <v>0</v>
      </c>
      <c r="BK199" s="482">
        <f>SUM($U199:AA199)</f>
        <v>0</v>
      </c>
      <c r="BL199" s="482">
        <f>SUM($U199:AB199)</f>
        <v>0</v>
      </c>
      <c r="BM199" s="482">
        <f>SUM($U199:AC199)</f>
        <v>0</v>
      </c>
      <c r="BN199" s="482">
        <f>SUM($U199:AD199)</f>
        <v>0</v>
      </c>
      <c r="BO199" s="482">
        <f>SUM($U199:AE199)</f>
        <v>0</v>
      </c>
      <c r="BP199" s="483">
        <f>SUM($U199:AF199)</f>
        <v>0</v>
      </c>
      <c r="BQ199" s="484">
        <f t="shared" si="21"/>
        <v>0</v>
      </c>
      <c r="BR199" s="482">
        <f>SUM($AS199:AT199)</f>
        <v>0</v>
      </c>
      <c r="BS199" s="482">
        <f>SUM($AS199:AU199)</f>
        <v>0</v>
      </c>
      <c r="BT199" s="482">
        <f>SUM($AS199:AV199)</f>
        <v>0</v>
      </c>
      <c r="BU199" s="482">
        <f>SUM($AS199:AW199)</f>
        <v>0</v>
      </c>
      <c r="BV199" s="482">
        <f>SUM($AS199:AX199)</f>
        <v>0</v>
      </c>
      <c r="BW199" s="482">
        <f>SUM($AS199:AY199)</f>
        <v>0</v>
      </c>
      <c r="BX199" s="482">
        <f>SUM($AS199:AZ199)</f>
        <v>0</v>
      </c>
      <c r="BY199" s="482">
        <f>SUM($AS199:BA199)</f>
        <v>0</v>
      </c>
      <c r="BZ199" s="482">
        <f>SUM($AS199:BB199)</f>
        <v>0</v>
      </c>
      <c r="CA199" s="482">
        <f>SUM($AS199:BC199)</f>
        <v>0</v>
      </c>
      <c r="CB199" s="483">
        <f>SUM($AS199:BD199)</f>
        <v>0</v>
      </c>
    </row>
    <row r="200" spans="1:80" s="471" customFormat="1" ht="12.75" hidden="1" customHeight="1">
      <c r="A200" s="471">
        <f t="shared" si="13"/>
        <v>191</v>
      </c>
      <c r="B200" s="628"/>
      <c r="C200" s="533"/>
      <c r="D200" s="533"/>
      <c r="E200" s="427"/>
      <c r="F200" s="586"/>
      <c r="G200" s="629"/>
      <c r="H200" s="582">
        <f t="shared" si="19"/>
        <v>193</v>
      </c>
      <c r="I200" s="524"/>
      <c r="J200" s="473"/>
      <c r="K200" s="473"/>
      <c r="L200" s="473"/>
      <c r="M200" s="473"/>
      <c r="N200" s="473"/>
      <c r="O200" s="473"/>
      <c r="P200" s="473"/>
      <c r="Q200" s="473"/>
      <c r="R200" s="473"/>
      <c r="S200" s="473"/>
      <c r="T200" s="474"/>
      <c r="U200" s="475"/>
      <c r="V200" s="473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510"/>
      <c r="AH200" s="495"/>
      <c r="AI200" s="495"/>
      <c r="AJ200" s="495"/>
      <c r="AK200" s="495"/>
      <c r="AL200" s="495"/>
      <c r="AM200" s="495"/>
      <c r="AN200" s="495"/>
      <c r="AO200" s="495"/>
      <c r="AP200" s="495"/>
      <c r="AQ200" s="495"/>
      <c r="AR200" s="497"/>
      <c r="AS200" s="509"/>
      <c r="AT200" s="495"/>
      <c r="AU200" s="495"/>
      <c r="AV200" s="480"/>
      <c r="AW200" s="496"/>
      <c r="AX200" s="495"/>
      <c r="AY200" s="495"/>
      <c r="AZ200" s="496"/>
      <c r="BA200" s="496"/>
      <c r="BB200" s="496"/>
      <c r="BC200" s="496"/>
      <c r="BD200" s="511"/>
      <c r="BE200" s="482">
        <f t="shared" si="20"/>
        <v>0</v>
      </c>
      <c r="BF200" s="482">
        <f>SUM($U200:V200)</f>
        <v>0</v>
      </c>
      <c r="BG200" s="482">
        <f>SUM($U200:W200)</f>
        <v>0</v>
      </c>
      <c r="BH200" s="482">
        <f>SUM($U200:X200)</f>
        <v>0</v>
      </c>
      <c r="BI200" s="482">
        <f>SUM($U200:Y200)</f>
        <v>0</v>
      </c>
      <c r="BJ200" s="482">
        <f>SUM($U200:Z200)</f>
        <v>0</v>
      </c>
      <c r="BK200" s="482">
        <f>SUM($U200:AA200)</f>
        <v>0</v>
      </c>
      <c r="BL200" s="482">
        <f>SUM($U200:AB200)</f>
        <v>0</v>
      </c>
      <c r="BM200" s="482">
        <f>SUM($U200:AC200)</f>
        <v>0</v>
      </c>
      <c r="BN200" s="482">
        <f>SUM($U200:AD200)</f>
        <v>0</v>
      </c>
      <c r="BO200" s="482">
        <f>SUM($U200:AE200)</f>
        <v>0</v>
      </c>
      <c r="BP200" s="483">
        <f>SUM($U200:AF200)</f>
        <v>0</v>
      </c>
      <c r="BQ200" s="484">
        <f t="shared" si="21"/>
        <v>0</v>
      </c>
      <c r="BR200" s="482">
        <f>SUM($AS200:AT200)</f>
        <v>0</v>
      </c>
      <c r="BS200" s="482">
        <f>SUM($AS200:AU200)</f>
        <v>0</v>
      </c>
      <c r="BT200" s="482">
        <f>SUM($AS200:AV200)</f>
        <v>0</v>
      </c>
      <c r="BU200" s="482">
        <f>SUM($AS200:AW200)</f>
        <v>0</v>
      </c>
      <c r="BV200" s="482">
        <f>SUM($AS200:AX200)</f>
        <v>0</v>
      </c>
      <c r="BW200" s="482">
        <f>SUM($AS200:AY200)</f>
        <v>0</v>
      </c>
      <c r="BX200" s="482">
        <f>SUM($AS200:AZ200)</f>
        <v>0</v>
      </c>
      <c r="BY200" s="482">
        <f>SUM($AS200:BA200)</f>
        <v>0</v>
      </c>
      <c r="BZ200" s="482">
        <f>SUM($AS200:BB200)</f>
        <v>0</v>
      </c>
      <c r="CA200" s="482">
        <f>SUM($AS200:BC200)</f>
        <v>0</v>
      </c>
      <c r="CB200" s="483">
        <f>SUM($AS200:BD200)</f>
        <v>0</v>
      </c>
    </row>
    <row r="201" spans="1:80" s="471" customFormat="1" ht="12.75" hidden="1" customHeight="1">
      <c r="A201" s="471">
        <f t="shared" si="13"/>
        <v>192</v>
      </c>
      <c r="B201" s="628"/>
      <c r="C201" s="533"/>
      <c r="D201" s="533"/>
      <c r="E201" s="427"/>
      <c r="F201" s="586"/>
      <c r="G201" s="629"/>
      <c r="H201" s="582">
        <f t="shared" si="19"/>
        <v>194</v>
      </c>
      <c r="I201" s="524"/>
      <c r="J201" s="473"/>
      <c r="K201" s="473"/>
      <c r="L201" s="473"/>
      <c r="M201" s="473"/>
      <c r="N201" s="473"/>
      <c r="O201" s="473"/>
      <c r="P201" s="473"/>
      <c r="Q201" s="473"/>
      <c r="R201" s="473"/>
      <c r="S201" s="473"/>
      <c r="T201" s="474"/>
      <c r="U201" s="475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510"/>
      <c r="AH201" s="495"/>
      <c r="AI201" s="495"/>
      <c r="AJ201" s="495"/>
      <c r="AK201" s="495"/>
      <c r="AL201" s="495"/>
      <c r="AM201" s="495"/>
      <c r="AN201" s="495"/>
      <c r="AO201" s="495"/>
      <c r="AP201" s="495"/>
      <c r="AQ201" s="495"/>
      <c r="AR201" s="497"/>
      <c r="AS201" s="509"/>
      <c r="AT201" s="495"/>
      <c r="AU201" s="495"/>
      <c r="AV201" s="480"/>
      <c r="AW201" s="496"/>
      <c r="AX201" s="495"/>
      <c r="AY201" s="495"/>
      <c r="AZ201" s="496"/>
      <c r="BA201" s="496"/>
      <c r="BB201" s="496"/>
      <c r="BC201" s="496"/>
      <c r="BD201" s="511"/>
      <c r="BE201" s="482">
        <f t="shared" si="20"/>
        <v>0</v>
      </c>
      <c r="BF201" s="482">
        <f>SUM($U201:V201)</f>
        <v>0</v>
      </c>
      <c r="BG201" s="482">
        <f>SUM($U201:W201)</f>
        <v>0</v>
      </c>
      <c r="BH201" s="482">
        <f>SUM($U201:X201)</f>
        <v>0</v>
      </c>
      <c r="BI201" s="482">
        <f>SUM($U201:Y201)</f>
        <v>0</v>
      </c>
      <c r="BJ201" s="482">
        <f>SUM($U201:Z201)</f>
        <v>0</v>
      </c>
      <c r="BK201" s="482">
        <f>SUM($U201:AA201)</f>
        <v>0</v>
      </c>
      <c r="BL201" s="482">
        <f>SUM($U201:AB201)</f>
        <v>0</v>
      </c>
      <c r="BM201" s="482">
        <f>SUM($U201:AC201)</f>
        <v>0</v>
      </c>
      <c r="BN201" s="482">
        <f>SUM($U201:AD201)</f>
        <v>0</v>
      </c>
      <c r="BO201" s="482">
        <f>SUM($U201:AE201)</f>
        <v>0</v>
      </c>
      <c r="BP201" s="483">
        <f>SUM($U201:AF201)</f>
        <v>0</v>
      </c>
      <c r="BQ201" s="484">
        <f t="shared" si="21"/>
        <v>0</v>
      </c>
      <c r="BR201" s="482">
        <f>SUM($AS201:AT201)</f>
        <v>0</v>
      </c>
      <c r="BS201" s="482">
        <f>SUM($AS201:AU201)</f>
        <v>0</v>
      </c>
      <c r="BT201" s="482">
        <f>SUM($AS201:AV201)</f>
        <v>0</v>
      </c>
      <c r="BU201" s="482">
        <f>SUM($AS201:AW201)</f>
        <v>0</v>
      </c>
      <c r="BV201" s="482">
        <f>SUM($AS201:AX201)</f>
        <v>0</v>
      </c>
      <c r="BW201" s="482">
        <f>SUM($AS201:AY201)</f>
        <v>0</v>
      </c>
      <c r="BX201" s="482">
        <f>SUM($AS201:AZ201)</f>
        <v>0</v>
      </c>
      <c r="BY201" s="482">
        <f>SUM($AS201:BA201)</f>
        <v>0</v>
      </c>
      <c r="BZ201" s="482">
        <f>SUM($AS201:BB201)</f>
        <v>0</v>
      </c>
      <c r="CA201" s="482">
        <f>SUM($AS201:BC201)</f>
        <v>0</v>
      </c>
      <c r="CB201" s="483">
        <f>SUM($AS201:BD201)</f>
        <v>0</v>
      </c>
    </row>
    <row r="202" spans="1:80" s="471" customFormat="1" ht="12.75" hidden="1" customHeight="1">
      <c r="A202" s="471">
        <f t="shared" si="13"/>
        <v>193</v>
      </c>
      <c r="B202" s="628"/>
      <c r="C202" s="533"/>
      <c r="D202" s="533"/>
      <c r="E202" s="427"/>
      <c r="F202" s="586"/>
      <c r="G202" s="629"/>
      <c r="H202" s="582">
        <f t="shared" si="19"/>
        <v>195</v>
      </c>
      <c r="I202" s="524"/>
      <c r="J202" s="473"/>
      <c r="K202" s="473"/>
      <c r="L202" s="473"/>
      <c r="M202" s="473"/>
      <c r="N202" s="473"/>
      <c r="O202" s="473"/>
      <c r="P202" s="473"/>
      <c r="Q202" s="473"/>
      <c r="R202" s="473"/>
      <c r="S202" s="473"/>
      <c r="T202" s="474"/>
      <c r="U202" s="475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510"/>
      <c r="AH202" s="495"/>
      <c r="AI202" s="495"/>
      <c r="AJ202" s="495"/>
      <c r="AK202" s="495"/>
      <c r="AL202" s="495"/>
      <c r="AM202" s="495"/>
      <c r="AN202" s="495"/>
      <c r="AO202" s="495"/>
      <c r="AP202" s="495"/>
      <c r="AQ202" s="495"/>
      <c r="AR202" s="497"/>
      <c r="AS202" s="509"/>
      <c r="AT202" s="495"/>
      <c r="AU202" s="495"/>
      <c r="AV202" s="480"/>
      <c r="AW202" s="496"/>
      <c r="AX202" s="495"/>
      <c r="AY202" s="495"/>
      <c r="AZ202" s="496"/>
      <c r="BA202" s="496"/>
      <c r="BB202" s="496"/>
      <c r="BC202" s="496"/>
      <c r="BD202" s="511"/>
      <c r="BE202" s="482">
        <f t="shared" si="20"/>
        <v>0</v>
      </c>
      <c r="BF202" s="482">
        <f>SUM($U202:V202)</f>
        <v>0</v>
      </c>
      <c r="BG202" s="482">
        <f>SUM($U202:W202)</f>
        <v>0</v>
      </c>
      <c r="BH202" s="482">
        <f>SUM($U202:X202)</f>
        <v>0</v>
      </c>
      <c r="BI202" s="482">
        <f>SUM($U202:Y202)</f>
        <v>0</v>
      </c>
      <c r="BJ202" s="482">
        <f>SUM($U202:Z202)</f>
        <v>0</v>
      </c>
      <c r="BK202" s="482">
        <f>SUM($U202:AA202)</f>
        <v>0</v>
      </c>
      <c r="BL202" s="482">
        <f>SUM($U202:AB202)</f>
        <v>0</v>
      </c>
      <c r="BM202" s="482">
        <f>SUM($U202:AC202)</f>
        <v>0</v>
      </c>
      <c r="BN202" s="482">
        <f>SUM($U202:AD202)</f>
        <v>0</v>
      </c>
      <c r="BO202" s="482">
        <f>SUM($U202:AE202)</f>
        <v>0</v>
      </c>
      <c r="BP202" s="483">
        <f>SUM($U202:AF202)</f>
        <v>0</v>
      </c>
      <c r="BQ202" s="484">
        <f t="shared" si="21"/>
        <v>0</v>
      </c>
      <c r="BR202" s="482">
        <f>SUM($AS202:AT202)</f>
        <v>0</v>
      </c>
      <c r="BS202" s="482">
        <f>SUM($AS202:AU202)</f>
        <v>0</v>
      </c>
      <c r="BT202" s="482">
        <f>SUM($AS202:AV202)</f>
        <v>0</v>
      </c>
      <c r="BU202" s="482">
        <f>SUM($AS202:AW202)</f>
        <v>0</v>
      </c>
      <c r="BV202" s="482">
        <f>SUM($AS202:AX202)</f>
        <v>0</v>
      </c>
      <c r="BW202" s="482">
        <f>SUM($AS202:AY202)</f>
        <v>0</v>
      </c>
      <c r="BX202" s="482">
        <f>SUM($AS202:AZ202)</f>
        <v>0</v>
      </c>
      <c r="BY202" s="482">
        <f>SUM($AS202:BA202)</f>
        <v>0</v>
      </c>
      <c r="BZ202" s="482">
        <f>SUM($AS202:BB202)</f>
        <v>0</v>
      </c>
      <c r="CA202" s="482">
        <f>SUM($AS202:BC202)</f>
        <v>0</v>
      </c>
      <c r="CB202" s="483">
        <f>SUM($AS202:BD202)</f>
        <v>0</v>
      </c>
    </row>
    <row r="203" spans="1:80" s="471" customFormat="1" ht="12.75" hidden="1" customHeight="1">
      <c r="A203" s="471">
        <f t="shared" ref="A203:A266" si="22">+A202+1</f>
        <v>194</v>
      </c>
      <c r="B203" s="628"/>
      <c r="C203" s="533"/>
      <c r="D203" s="533"/>
      <c r="E203" s="427"/>
      <c r="F203" s="586"/>
      <c r="G203" s="629"/>
      <c r="H203" s="582">
        <f t="shared" si="19"/>
        <v>196</v>
      </c>
      <c r="I203" s="524"/>
      <c r="J203" s="473"/>
      <c r="K203" s="473"/>
      <c r="L203" s="473"/>
      <c r="M203" s="473"/>
      <c r="N203" s="473"/>
      <c r="O203" s="473"/>
      <c r="P203" s="473"/>
      <c r="Q203" s="473"/>
      <c r="R203" s="473"/>
      <c r="S203" s="473"/>
      <c r="T203" s="474"/>
      <c r="U203" s="475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510"/>
      <c r="AH203" s="495"/>
      <c r="AI203" s="495"/>
      <c r="AJ203" s="495"/>
      <c r="AK203" s="495"/>
      <c r="AL203" s="495"/>
      <c r="AM203" s="495"/>
      <c r="AN203" s="495"/>
      <c r="AO203" s="495"/>
      <c r="AP203" s="495"/>
      <c r="AQ203" s="495"/>
      <c r="AR203" s="497"/>
      <c r="AS203" s="509"/>
      <c r="AT203" s="495"/>
      <c r="AU203" s="495"/>
      <c r="AV203" s="480"/>
      <c r="AW203" s="496"/>
      <c r="AX203" s="495"/>
      <c r="AY203" s="495"/>
      <c r="AZ203" s="496"/>
      <c r="BA203" s="496"/>
      <c r="BB203" s="496"/>
      <c r="BC203" s="496"/>
      <c r="BD203" s="511"/>
      <c r="BE203" s="482">
        <f t="shared" si="20"/>
        <v>0</v>
      </c>
      <c r="BF203" s="482">
        <f>SUM($U203:V203)</f>
        <v>0</v>
      </c>
      <c r="BG203" s="482">
        <f>SUM($U203:W203)</f>
        <v>0</v>
      </c>
      <c r="BH203" s="482">
        <f>SUM($U203:X203)</f>
        <v>0</v>
      </c>
      <c r="BI203" s="482">
        <f>SUM($U203:Y203)</f>
        <v>0</v>
      </c>
      <c r="BJ203" s="482">
        <f>SUM($U203:Z203)</f>
        <v>0</v>
      </c>
      <c r="BK203" s="482">
        <f>SUM($U203:AA203)</f>
        <v>0</v>
      </c>
      <c r="BL203" s="482">
        <f>SUM($U203:AB203)</f>
        <v>0</v>
      </c>
      <c r="BM203" s="482">
        <f>SUM($U203:AC203)</f>
        <v>0</v>
      </c>
      <c r="BN203" s="482">
        <f>SUM($U203:AD203)</f>
        <v>0</v>
      </c>
      <c r="BO203" s="482">
        <f>SUM($U203:AE203)</f>
        <v>0</v>
      </c>
      <c r="BP203" s="483">
        <f>SUM($U203:AF203)</f>
        <v>0</v>
      </c>
      <c r="BQ203" s="484">
        <f t="shared" si="21"/>
        <v>0</v>
      </c>
      <c r="BR203" s="482">
        <f>SUM($AS203:AT203)</f>
        <v>0</v>
      </c>
      <c r="BS203" s="482">
        <f>SUM($AS203:AU203)</f>
        <v>0</v>
      </c>
      <c r="BT203" s="482">
        <f>SUM($AS203:AV203)</f>
        <v>0</v>
      </c>
      <c r="BU203" s="482">
        <f>SUM($AS203:AW203)</f>
        <v>0</v>
      </c>
      <c r="BV203" s="482">
        <f>SUM($AS203:AX203)</f>
        <v>0</v>
      </c>
      <c r="BW203" s="482">
        <f>SUM($AS203:AY203)</f>
        <v>0</v>
      </c>
      <c r="BX203" s="482">
        <f>SUM($AS203:AZ203)</f>
        <v>0</v>
      </c>
      <c r="BY203" s="482">
        <f>SUM($AS203:BA203)</f>
        <v>0</v>
      </c>
      <c r="BZ203" s="482">
        <f>SUM($AS203:BB203)</f>
        <v>0</v>
      </c>
      <c r="CA203" s="482">
        <f>SUM($AS203:BC203)</f>
        <v>0</v>
      </c>
      <c r="CB203" s="483">
        <f>SUM($AS203:BD203)</f>
        <v>0</v>
      </c>
    </row>
    <row r="204" spans="1:80" s="471" customFormat="1" ht="12.75" hidden="1" customHeight="1">
      <c r="A204" s="471">
        <f t="shared" si="22"/>
        <v>195</v>
      </c>
      <c r="B204" s="628"/>
      <c r="C204" s="533"/>
      <c r="D204" s="533"/>
      <c r="E204" s="427"/>
      <c r="F204" s="586"/>
      <c r="G204" s="629"/>
      <c r="H204" s="582">
        <f t="shared" si="19"/>
        <v>197</v>
      </c>
      <c r="I204" s="524"/>
      <c r="J204" s="473"/>
      <c r="K204" s="473"/>
      <c r="L204" s="473"/>
      <c r="M204" s="473"/>
      <c r="N204" s="473"/>
      <c r="O204" s="473"/>
      <c r="P204" s="473"/>
      <c r="Q204" s="473"/>
      <c r="R204" s="473"/>
      <c r="S204" s="473"/>
      <c r="T204" s="474"/>
      <c r="U204" s="475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510"/>
      <c r="AH204" s="495"/>
      <c r="AI204" s="495"/>
      <c r="AJ204" s="495"/>
      <c r="AK204" s="495"/>
      <c r="AL204" s="495"/>
      <c r="AM204" s="495"/>
      <c r="AN204" s="495"/>
      <c r="AO204" s="495"/>
      <c r="AP204" s="495"/>
      <c r="AQ204" s="495"/>
      <c r="AR204" s="497"/>
      <c r="AS204" s="509"/>
      <c r="AT204" s="495"/>
      <c r="AU204" s="495"/>
      <c r="AV204" s="480"/>
      <c r="AW204" s="496"/>
      <c r="AX204" s="495"/>
      <c r="AY204" s="495"/>
      <c r="AZ204" s="496"/>
      <c r="BA204" s="496"/>
      <c r="BB204" s="496"/>
      <c r="BC204" s="496"/>
      <c r="BD204" s="511"/>
      <c r="BE204" s="482">
        <f t="shared" si="20"/>
        <v>0</v>
      </c>
      <c r="BF204" s="482">
        <f>SUM($U204:V204)</f>
        <v>0</v>
      </c>
      <c r="BG204" s="482">
        <f>SUM($U204:W204)</f>
        <v>0</v>
      </c>
      <c r="BH204" s="482">
        <f>SUM($U204:X204)</f>
        <v>0</v>
      </c>
      <c r="BI204" s="482">
        <f>SUM($U204:Y204)</f>
        <v>0</v>
      </c>
      <c r="BJ204" s="482">
        <f>SUM($U204:Z204)</f>
        <v>0</v>
      </c>
      <c r="BK204" s="482">
        <f>SUM($U204:AA204)</f>
        <v>0</v>
      </c>
      <c r="BL204" s="482">
        <f>SUM($U204:AB204)</f>
        <v>0</v>
      </c>
      <c r="BM204" s="482">
        <f>SUM($U204:AC204)</f>
        <v>0</v>
      </c>
      <c r="BN204" s="482">
        <f>SUM($U204:AD204)</f>
        <v>0</v>
      </c>
      <c r="BO204" s="482">
        <f>SUM($U204:AE204)</f>
        <v>0</v>
      </c>
      <c r="BP204" s="483">
        <f>SUM($U204:AF204)</f>
        <v>0</v>
      </c>
      <c r="BQ204" s="484">
        <f t="shared" si="21"/>
        <v>0</v>
      </c>
      <c r="BR204" s="482">
        <f>SUM($AS204:AT204)</f>
        <v>0</v>
      </c>
      <c r="BS204" s="482">
        <f>SUM($AS204:AU204)</f>
        <v>0</v>
      </c>
      <c r="BT204" s="482">
        <f>SUM($AS204:AV204)</f>
        <v>0</v>
      </c>
      <c r="BU204" s="482">
        <f>SUM($AS204:AW204)</f>
        <v>0</v>
      </c>
      <c r="BV204" s="482">
        <f>SUM($AS204:AX204)</f>
        <v>0</v>
      </c>
      <c r="BW204" s="482">
        <f>SUM($AS204:AY204)</f>
        <v>0</v>
      </c>
      <c r="BX204" s="482">
        <f>SUM($AS204:AZ204)</f>
        <v>0</v>
      </c>
      <c r="BY204" s="482">
        <f>SUM($AS204:BA204)</f>
        <v>0</v>
      </c>
      <c r="BZ204" s="482">
        <f>SUM($AS204:BB204)</f>
        <v>0</v>
      </c>
      <c r="CA204" s="482">
        <f>SUM($AS204:BC204)</f>
        <v>0</v>
      </c>
      <c r="CB204" s="483">
        <f>SUM($AS204:BD204)</f>
        <v>0</v>
      </c>
    </row>
    <row r="205" spans="1:80" s="471" customFormat="1" ht="12.75" hidden="1" customHeight="1">
      <c r="A205" s="471">
        <f t="shared" si="22"/>
        <v>196</v>
      </c>
      <c r="B205" s="628"/>
      <c r="C205" s="533"/>
      <c r="D205" s="533"/>
      <c r="E205" s="427"/>
      <c r="F205" s="586"/>
      <c r="G205" s="629"/>
      <c r="H205" s="582">
        <f t="shared" si="19"/>
        <v>198</v>
      </c>
      <c r="I205" s="524"/>
      <c r="J205" s="473"/>
      <c r="K205" s="473"/>
      <c r="L205" s="473"/>
      <c r="M205" s="473"/>
      <c r="N205" s="473"/>
      <c r="O205" s="473"/>
      <c r="P205" s="473"/>
      <c r="Q205" s="473"/>
      <c r="R205" s="473"/>
      <c r="S205" s="473"/>
      <c r="T205" s="474"/>
      <c r="U205" s="475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510"/>
      <c r="AH205" s="495"/>
      <c r="AI205" s="495"/>
      <c r="AJ205" s="495"/>
      <c r="AK205" s="495"/>
      <c r="AL205" s="495"/>
      <c r="AM205" s="495"/>
      <c r="AN205" s="495"/>
      <c r="AO205" s="495"/>
      <c r="AP205" s="495"/>
      <c r="AQ205" s="495"/>
      <c r="AR205" s="497"/>
      <c r="AS205" s="509"/>
      <c r="AT205" s="495"/>
      <c r="AU205" s="495"/>
      <c r="AV205" s="480"/>
      <c r="AW205" s="496"/>
      <c r="AX205" s="495"/>
      <c r="AY205" s="495"/>
      <c r="AZ205" s="496"/>
      <c r="BA205" s="496"/>
      <c r="BB205" s="496"/>
      <c r="BC205" s="496"/>
      <c r="BD205" s="511"/>
      <c r="BE205" s="482">
        <f t="shared" si="20"/>
        <v>0</v>
      </c>
      <c r="BF205" s="482">
        <f>SUM($U205:V205)</f>
        <v>0</v>
      </c>
      <c r="BG205" s="482">
        <f>SUM($U205:W205)</f>
        <v>0</v>
      </c>
      <c r="BH205" s="482">
        <f>SUM($U205:X205)</f>
        <v>0</v>
      </c>
      <c r="BI205" s="482">
        <f>SUM($U205:Y205)</f>
        <v>0</v>
      </c>
      <c r="BJ205" s="482">
        <f>SUM($U205:Z205)</f>
        <v>0</v>
      </c>
      <c r="BK205" s="482">
        <f>SUM($U205:AA205)</f>
        <v>0</v>
      </c>
      <c r="BL205" s="482">
        <f>SUM($U205:AB205)</f>
        <v>0</v>
      </c>
      <c r="BM205" s="482">
        <f>SUM($U205:AC205)</f>
        <v>0</v>
      </c>
      <c r="BN205" s="482">
        <f>SUM($U205:AD205)</f>
        <v>0</v>
      </c>
      <c r="BO205" s="482">
        <f>SUM($U205:AE205)</f>
        <v>0</v>
      </c>
      <c r="BP205" s="483">
        <f>SUM($U205:AF205)</f>
        <v>0</v>
      </c>
      <c r="BQ205" s="484">
        <f t="shared" si="21"/>
        <v>0</v>
      </c>
      <c r="BR205" s="482">
        <f>SUM($AS205:AT205)</f>
        <v>0</v>
      </c>
      <c r="BS205" s="482">
        <f>SUM($AS205:AU205)</f>
        <v>0</v>
      </c>
      <c r="BT205" s="482">
        <f>SUM($AS205:AV205)</f>
        <v>0</v>
      </c>
      <c r="BU205" s="482">
        <f>SUM($AS205:AW205)</f>
        <v>0</v>
      </c>
      <c r="BV205" s="482">
        <f>SUM($AS205:AX205)</f>
        <v>0</v>
      </c>
      <c r="BW205" s="482">
        <f>SUM($AS205:AY205)</f>
        <v>0</v>
      </c>
      <c r="BX205" s="482">
        <f>SUM($AS205:AZ205)</f>
        <v>0</v>
      </c>
      <c r="BY205" s="482">
        <f>SUM($AS205:BA205)</f>
        <v>0</v>
      </c>
      <c r="BZ205" s="482">
        <f>SUM($AS205:BB205)</f>
        <v>0</v>
      </c>
      <c r="CA205" s="482">
        <f>SUM($AS205:BC205)</f>
        <v>0</v>
      </c>
      <c r="CB205" s="483">
        <f>SUM($AS205:BD205)</f>
        <v>0</v>
      </c>
    </row>
    <row r="206" spans="1:80" s="471" customFormat="1" ht="12.75" hidden="1" customHeight="1">
      <c r="A206" s="471">
        <f t="shared" si="22"/>
        <v>197</v>
      </c>
      <c r="B206" s="628"/>
      <c r="C206" s="533"/>
      <c r="D206" s="533"/>
      <c r="E206" s="427"/>
      <c r="F206" s="586"/>
      <c r="G206" s="629"/>
      <c r="H206" s="582">
        <f t="shared" si="19"/>
        <v>199</v>
      </c>
      <c r="I206" s="524"/>
      <c r="J206" s="473"/>
      <c r="K206" s="473"/>
      <c r="L206" s="473"/>
      <c r="M206" s="473"/>
      <c r="N206" s="473"/>
      <c r="O206" s="473"/>
      <c r="P206" s="473"/>
      <c r="Q206" s="473"/>
      <c r="R206" s="473"/>
      <c r="S206" s="473"/>
      <c r="T206" s="474"/>
      <c r="U206" s="475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510"/>
      <c r="AH206" s="495"/>
      <c r="AI206" s="495"/>
      <c r="AJ206" s="495"/>
      <c r="AK206" s="495"/>
      <c r="AL206" s="495"/>
      <c r="AM206" s="495"/>
      <c r="AN206" s="495"/>
      <c r="AO206" s="495"/>
      <c r="AP206" s="495"/>
      <c r="AQ206" s="495"/>
      <c r="AR206" s="497"/>
      <c r="AS206" s="509"/>
      <c r="AT206" s="495"/>
      <c r="AU206" s="495"/>
      <c r="AV206" s="480"/>
      <c r="AW206" s="496"/>
      <c r="AX206" s="495"/>
      <c r="AY206" s="495"/>
      <c r="AZ206" s="496"/>
      <c r="BA206" s="496"/>
      <c r="BB206" s="496"/>
      <c r="BC206" s="496"/>
      <c r="BD206" s="511"/>
      <c r="BE206" s="482">
        <f t="shared" si="20"/>
        <v>0</v>
      </c>
      <c r="BF206" s="482">
        <f>SUM($U206:V206)</f>
        <v>0</v>
      </c>
      <c r="BG206" s="482">
        <f>SUM($U206:W206)</f>
        <v>0</v>
      </c>
      <c r="BH206" s="482">
        <f>SUM($U206:X206)</f>
        <v>0</v>
      </c>
      <c r="BI206" s="482">
        <f>SUM($U206:Y206)</f>
        <v>0</v>
      </c>
      <c r="BJ206" s="482">
        <f>SUM($U206:Z206)</f>
        <v>0</v>
      </c>
      <c r="BK206" s="482">
        <f>SUM($U206:AA206)</f>
        <v>0</v>
      </c>
      <c r="BL206" s="482">
        <f>SUM($U206:AB206)</f>
        <v>0</v>
      </c>
      <c r="BM206" s="482">
        <f>SUM($U206:AC206)</f>
        <v>0</v>
      </c>
      <c r="BN206" s="482">
        <f>SUM($U206:AD206)</f>
        <v>0</v>
      </c>
      <c r="BO206" s="482">
        <f>SUM($U206:AE206)</f>
        <v>0</v>
      </c>
      <c r="BP206" s="483">
        <f>SUM($U206:AF206)</f>
        <v>0</v>
      </c>
      <c r="BQ206" s="484">
        <f t="shared" si="21"/>
        <v>0</v>
      </c>
      <c r="BR206" s="482">
        <f>SUM($AS206:AT206)</f>
        <v>0</v>
      </c>
      <c r="BS206" s="482">
        <f>SUM($AS206:AU206)</f>
        <v>0</v>
      </c>
      <c r="BT206" s="482">
        <f>SUM($AS206:AV206)</f>
        <v>0</v>
      </c>
      <c r="BU206" s="482">
        <f>SUM($AS206:AW206)</f>
        <v>0</v>
      </c>
      <c r="BV206" s="482">
        <f>SUM($AS206:AX206)</f>
        <v>0</v>
      </c>
      <c r="BW206" s="482">
        <f>SUM($AS206:AY206)</f>
        <v>0</v>
      </c>
      <c r="BX206" s="482">
        <f>SUM($AS206:AZ206)</f>
        <v>0</v>
      </c>
      <c r="BY206" s="482">
        <f>SUM($AS206:BA206)</f>
        <v>0</v>
      </c>
      <c r="BZ206" s="482">
        <f>SUM($AS206:BB206)</f>
        <v>0</v>
      </c>
      <c r="CA206" s="482">
        <f>SUM($AS206:BC206)</f>
        <v>0</v>
      </c>
      <c r="CB206" s="483">
        <f>SUM($AS206:BD206)</f>
        <v>0</v>
      </c>
    </row>
    <row r="207" spans="1:80" s="471" customFormat="1" ht="12.75" hidden="1" customHeight="1">
      <c r="A207" s="471">
        <f t="shared" si="22"/>
        <v>198</v>
      </c>
      <c r="B207" s="628"/>
      <c r="C207" s="533"/>
      <c r="D207" s="533"/>
      <c r="E207" s="427"/>
      <c r="F207" s="586"/>
      <c r="G207" s="629"/>
      <c r="H207" s="582">
        <f t="shared" si="19"/>
        <v>200</v>
      </c>
      <c r="I207" s="524"/>
      <c r="J207" s="473"/>
      <c r="K207" s="473"/>
      <c r="L207" s="473"/>
      <c r="M207" s="473"/>
      <c r="N207" s="473"/>
      <c r="O207" s="473"/>
      <c r="P207" s="473"/>
      <c r="Q207" s="473"/>
      <c r="R207" s="473"/>
      <c r="S207" s="473"/>
      <c r="T207" s="474"/>
      <c r="U207" s="475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510"/>
      <c r="AH207" s="495"/>
      <c r="AI207" s="495"/>
      <c r="AJ207" s="495"/>
      <c r="AK207" s="495"/>
      <c r="AL207" s="495"/>
      <c r="AM207" s="495"/>
      <c r="AN207" s="495"/>
      <c r="AO207" s="495"/>
      <c r="AP207" s="495"/>
      <c r="AQ207" s="495"/>
      <c r="AR207" s="497"/>
      <c r="AS207" s="509"/>
      <c r="AT207" s="495"/>
      <c r="AU207" s="495"/>
      <c r="AV207" s="480"/>
      <c r="AW207" s="496"/>
      <c r="AX207" s="495"/>
      <c r="AY207" s="495"/>
      <c r="AZ207" s="496"/>
      <c r="BA207" s="496"/>
      <c r="BB207" s="496"/>
      <c r="BC207" s="496"/>
      <c r="BD207" s="511"/>
      <c r="BE207" s="482">
        <f t="shared" si="20"/>
        <v>0</v>
      </c>
      <c r="BF207" s="482">
        <f>SUM($U207:V207)</f>
        <v>0</v>
      </c>
      <c r="BG207" s="482">
        <f>SUM($U207:W207)</f>
        <v>0</v>
      </c>
      <c r="BH207" s="482">
        <f>SUM($U207:X207)</f>
        <v>0</v>
      </c>
      <c r="BI207" s="482">
        <f>SUM($U207:Y207)</f>
        <v>0</v>
      </c>
      <c r="BJ207" s="482">
        <f>SUM($U207:Z207)</f>
        <v>0</v>
      </c>
      <c r="BK207" s="482">
        <f>SUM($U207:AA207)</f>
        <v>0</v>
      </c>
      <c r="BL207" s="482">
        <f>SUM($U207:AB207)</f>
        <v>0</v>
      </c>
      <c r="BM207" s="482">
        <f>SUM($U207:AC207)</f>
        <v>0</v>
      </c>
      <c r="BN207" s="482">
        <f>SUM($U207:AD207)</f>
        <v>0</v>
      </c>
      <c r="BO207" s="482">
        <f>SUM($U207:AE207)</f>
        <v>0</v>
      </c>
      <c r="BP207" s="483">
        <f>SUM($U207:AF207)</f>
        <v>0</v>
      </c>
      <c r="BQ207" s="484">
        <f t="shared" si="21"/>
        <v>0</v>
      </c>
      <c r="BR207" s="482">
        <f>SUM($AS207:AT207)</f>
        <v>0</v>
      </c>
      <c r="BS207" s="482">
        <f>SUM($AS207:AU207)</f>
        <v>0</v>
      </c>
      <c r="BT207" s="482">
        <f>SUM($AS207:AV207)</f>
        <v>0</v>
      </c>
      <c r="BU207" s="482">
        <f>SUM($AS207:AW207)</f>
        <v>0</v>
      </c>
      <c r="BV207" s="482">
        <f>SUM($AS207:AX207)</f>
        <v>0</v>
      </c>
      <c r="BW207" s="482">
        <f>SUM($AS207:AY207)</f>
        <v>0</v>
      </c>
      <c r="BX207" s="482">
        <f>SUM($AS207:AZ207)</f>
        <v>0</v>
      </c>
      <c r="BY207" s="482">
        <f>SUM($AS207:BA207)</f>
        <v>0</v>
      </c>
      <c r="BZ207" s="482">
        <f>SUM($AS207:BB207)</f>
        <v>0</v>
      </c>
      <c r="CA207" s="482">
        <f>SUM($AS207:BC207)</f>
        <v>0</v>
      </c>
      <c r="CB207" s="483">
        <f>SUM($AS207:BD207)</f>
        <v>0</v>
      </c>
    </row>
    <row r="208" spans="1:80" s="471" customFormat="1" ht="12.75" hidden="1" customHeight="1">
      <c r="A208" s="471">
        <f t="shared" si="22"/>
        <v>199</v>
      </c>
      <c r="B208" s="628"/>
      <c r="C208" s="533"/>
      <c r="D208" s="533"/>
      <c r="E208" s="427"/>
      <c r="F208" s="586"/>
      <c r="G208" s="629"/>
      <c r="H208" s="582">
        <f t="shared" si="19"/>
        <v>201</v>
      </c>
      <c r="I208" s="524"/>
      <c r="J208" s="473"/>
      <c r="K208" s="473"/>
      <c r="L208" s="473"/>
      <c r="M208" s="473"/>
      <c r="N208" s="473"/>
      <c r="O208" s="473"/>
      <c r="P208" s="473"/>
      <c r="Q208" s="473"/>
      <c r="R208" s="473"/>
      <c r="S208" s="473"/>
      <c r="T208" s="474"/>
      <c r="U208" s="475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510"/>
      <c r="AH208" s="495"/>
      <c r="AI208" s="495"/>
      <c r="AJ208" s="495"/>
      <c r="AK208" s="495"/>
      <c r="AL208" s="495"/>
      <c r="AM208" s="495"/>
      <c r="AN208" s="495"/>
      <c r="AO208" s="495"/>
      <c r="AP208" s="495"/>
      <c r="AQ208" s="495"/>
      <c r="AR208" s="497"/>
      <c r="AS208" s="509"/>
      <c r="AT208" s="495"/>
      <c r="AU208" s="495"/>
      <c r="AV208" s="480"/>
      <c r="AW208" s="496"/>
      <c r="AX208" s="495"/>
      <c r="AY208" s="495"/>
      <c r="AZ208" s="496"/>
      <c r="BA208" s="496"/>
      <c r="BB208" s="496"/>
      <c r="BC208" s="496"/>
      <c r="BD208" s="511"/>
      <c r="BE208" s="482">
        <f t="shared" si="20"/>
        <v>0</v>
      </c>
      <c r="BF208" s="482">
        <f>SUM($U208:V208)</f>
        <v>0</v>
      </c>
      <c r="BG208" s="482">
        <f>SUM($U208:W208)</f>
        <v>0</v>
      </c>
      <c r="BH208" s="482">
        <f>SUM($U208:X208)</f>
        <v>0</v>
      </c>
      <c r="BI208" s="482">
        <f>SUM($U208:Y208)</f>
        <v>0</v>
      </c>
      <c r="BJ208" s="482">
        <f>SUM($U208:Z208)</f>
        <v>0</v>
      </c>
      <c r="BK208" s="482">
        <f>SUM($U208:AA208)</f>
        <v>0</v>
      </c>
      <c r="BL208" s="482">
        <f>SUM($U208:AB208)</f>
        <v>0</v>
      </c>
      <c r="BM208" s="482">
        <f>SUM($U208:AC208)</f>
        <v>0</v>
      </c>
      <c r="BN208" s="482">
        <f>SUM($U208:AD208)</f>
        <v>0</v>
      </c>
      <c r="BO208" s="482">
        <f>SUM($U208:AE208)</f>
        <v>0</v>
      </c>
      <c r="BP208" s="483">
        <f>SUM($U208:AF208)</f>
        <v>0</v>
      </c>
      <c r="BQ208" s="484">
        <f t="shared" si="21"/>
        <v>0</v>
      </c>
      <c r="BR208" s="482">
        <f>SUM($AS208:AT208)</f>
        <v>0</v>
      </c>
      <c r="BS208" s="482">
        <f>SUM($AS208:AU208)</f>
        <v>0</v>
      </c>
      <c r="BT208" s="482">
        <f>SUM($AS208:AV208)</f>
        <v>0</v>
      </c>
      <c r="BU208" s="482">
        <f>SUM($AS208:AW208)</f>
        <v>0</v>
      </c>
      <c r="BV208" s="482">
        <f>SUM($AS208:AX208)</f>
        <v>0</v>
      </c>
      <c r="BW208" s="482">
        <f>SUM($AS208:AY208)</f>
        <v>0</v>
      </c>
      <c r="BX208" s="482">
        <f>SUM($AS208:AZ208)</f>
        <v>0</v>
      </c>
      <c r="BY208" s="482">
        <f>SUM($AS208:BA208)</f>
        <v>0</v>
      </c>
      <c r="BZ208" s="482">
        <f>SUM($AS208:BB208)</f>
        <v>0</v>
      </c>
      <c r="CA208" s="482">
        <f>SUM($AS208:BC208)</f>
        <v>0</v>
      </c>
      <c r="CB208" s="483">
        <f>SUM($AS208:BD208)</f>
        <v>0</v>
      </c>
    </row>
    <row r="209" spans="1:80" s="471" customFormat="1" ht="12.75" hidden="1" customHeight="1">
      <c r="A209" s="471">
        <f t="shared" si="22"/>
        <v>200</v>
      </c>
      <c r="B209" s="628"/>
      <c r="C209" s="533"/>
      <c r="D209" s="533"/>
      <c r="E209" s="427"/>
      <c r="F209" s="586"/>
      <c r="G209" s="629"/>
      <c r="H209" s="582">
        <f t="shared" si="19"/>
        <v>202</v>
      </c>
      <c r="I209" s="524"/>
      <c r="J209" s="473"/>
      <c r="K209" s="473"/>
      <c r="L209" s="473"/>
      <c r="M209" s="473"/>
      <c r="N209" s="473"/>
      <c r="O209" s="473"/>
      <c r="P209" s="473"/>
      <c r="Q209" s="473"/>
      <c r="R209" s="473"/>
      <c r="S209" s="473"/>
      <c r="T209" s="474"/>
      <c r="U209" s="475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510"/>
      <c r="AH209" s="495"/>
      <c r="AI209" s="495"/>
      <c r="AJ209" s="495"/>
      <c r="AK209" s="495"/>
      <c r="AL209" s="495"/>
      <c r="AM209" s="495"/>
      <c r="AN209" s="495"/>
      <c r="AO209" s="495"/>
      <c r="AP209" s="495"/>
      <c r="AQ209" s="495"/>
      <c r="AR209" s="497"/>
      <c r="AS209" s="509"/>
      <c r="AT209" s="495"/>
      <c r="AU209" s="495"/>
      <c r="AV209" s="480"/>
      <c r="AW209" s="496"/>
      <c r="AX209" s="495"/>
      <c r="AY209" s="495"/>
      <c r="AZ209" s="496"/>
      <c r="BA209" s="496"/>
      <c r="BB209" s="496"/>
      <c r="BC209" s="496"/>
      <c r="BD209" s="511"/>
      <c r="BE209" s="482">
        <f t="shared" ref="BE209:BE240" si="23">(U209)</f>
        <v>0</v>
      </c>
      <c r="BF209" s="482">
        <f>SUM($U209:V209)</f>
        <v>0</v>
      </c>
      <c r="BG209" s="482">
        <f>SUM($U209:W209)</f>
        <v>0</v>
      </c>
      <c r="BH209" s="482">
        <f>SUM($U209:X209)</f>
        <v>0</v>
      </c>
      <c r="BI209" s="482">
        <f>SUM($U209:Y209)</f>
        <v>0</v>
      </c>
      <c r="BJ209" s="482">
        <f>SUM($U209:Z209)</f>
        <v>0</v>
      </c>
      <c r="BK209" s="482">
        <f>SUM($U209:AA209)</f>
        <v>0</v>
      </c>
      <c r="BL209" s="482">
        <f>SUM($U209:AB209)</f>
        <v>0</v>
      </c>
      <c r="BM209" s="482">
        <f>SUM($U209:AC209)</f>
        <v>0</v>
      </c>
      <c r="BN209" s="482">
        <f>SUM($U209:AD209)</f>
        <v>0</v>
      </c>
      <c r="BO209" s="482">
        <f>SUM($U209:AE209)</f>
        <v>0</v>
      </c>
      <c r="BP209" s="483">
        <f>SUM($U209:AF209)</f>
        <v>0</v>
      </c>
      <c r="BQ209" s="484">
        <f t="shared" ref="BQ209:BQ240" si="24">(AS209)</f>
        <v>0</v>
      </c>
      <c r="BR209" s="482">
        <f>SUM($AS209:AT209)</f>
        <v>0</v>
      </c>
      <c r="BS209" s="482">
        <f>SUM($AS209:AU209)</f>
        <v>0</v>
      </c>
      <c r="BT209" s="482">
        <f>SUM($AS209:AV209)</f>
        <v>0</v>
      </c>
      <c r="BU209" s="482">
        <f>SUM($AS209:AW209)</f>
        <v>0</v>
      </c>
      <c r="BV209" s="482">
        <f>SUM($AS209:AX209)</f>
        <v>0</v>
      </c>
      <c r="BW209" s="482">
        <f>SUM($AS209:AY209)</f>
        <v>0</v>
      </c>
      <c r="BX209" s="482">
        <f>SUM($AS209:AZ209)</f>
        <v>0</v>
      </c>
      <c r="BY209" s="482">
        <f>SUM($AS209:BA209)</f>
        <v>0</v>
      </c>
      <c r="BZ209" s="482">
        <f>SUM($AS209:BB209)</f>
        <v>0</v>
      </c>
      <c r="CA209" s="482">
        <f>SUM($AS209:BC209)</f>
        <v>0</v>
      </c>
      <c r="CB209" s="483">
        <f>SUM($AS209:BD209)</f>
        <v>0</v>
      </c>
    </row>
    <row r="210" spans="1:80" s="471" customFormat="1" ht="12.75" hidden="1" customHeight="1">
      <c r="A210" s="471">
        <f t="shared" si="22"/>
        <v>201</v>
      </c>
      <c r="B210" s="628"/>
      <c r="C210" s="533"/>
      <c r="D210" s="533"/>
      <c r="E210" s="427"/>
      <c r="F210" s="586"/>
      <c r="G210" s="629"/>
      <c r="H210" s="582">
        <f t="shared" si="19"/>
        <v>203</v>
      </c>
      <c r="I210" s="524"/>
      <c r="J210" s="473"/>
      <c r="K210" s="473"/>
      <c r="L210" s="473"/>
      <c r="M210" s="473"/>
      <c r="N210" s="473"/>
      <c r="O210" s="473"/>
      <c r="P210" s="473"/>
      <c r="Q210" s="473"/>
      <c r="R210" s="473"/>
      <c r="S210" s="473"/>
      <c r="T210" s="474"/>
      <c r="U210" s="475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510"/>
      <c r="AH210" s="495"/>
      <c r="AI210" s="495"/>
      <c r="AJ210" s="495"/>
      <c r="AK210" s="495"/>
      <c r="AL210" s="495"/>
      <c r="AM210" s="495"/>
      <c r="AN210" s="495"/>
      <c r="AO210" s="495"/>
      <c r="AP210" s="495"/>
      <c r="AQ210" s="495"/>
      <c r="AR210" s="497"/>
      <c r="AS210" s="509"/>
      <c r="AT210" s="495"/>
      <c r="AU210" s="495"/>
      <c r="AV210" s="480"/>
      <c r="AW210" s="496"/>
      <c r="AX210" s="495"/>
      <c r="AY210" s="495"/>
      <c r="AZ210" s="496"/>
      <c r="BA210" s="496"/>
      <c r="BB210" s="496"/>
      <c r="BC210" s="496"/>
      <c r="BD210" s="511"/>
      <c r="BE210" s="482">
        <f t="shared" si="23"/>
        <v>0</v>
      </c>
      <c r="BF210" s="482">
        <f>SUM($U210:V210)</f>
        <v>0</v>
      </c>
      <c r="BG210" s="482">
        <f>SUM($U210:W210)</f>
        <v>0</v>
      </c>
      <c r="BH210" s="482">
        <f>SUM($U210:X210)</f>
        <v>0</v>
      </c>
      <c r="BI210" s="482">
        <f>SUM($U210:Y210)</f>
        <v>0</v>
      </c>
      <c r="BJ210" s="482">
        <f>SUM($U210:Z210)</f>
        <v>0</v>
      </c>
      <c r="BK210" s="482">
        <f>SUM($U210:AA210)</f>
        <v>0</v>
      </c>
      <c r="BL210" s="482">
        <f>SUM($U210:AB210)</f>
        <v>0</v>
      </c>
      <c r="BM210" s="482">
        <f>SUM($U210:AC210)</f>
        <v>0</v>
      </c>
      <c r="BN210" s="482">
        <f>SUM($U210:AD210)</f>
        <v>0</v>
      </c>
      <c r="BO210" s="482">
        <f>SUM($U210:AE210)</f>
        <v>0</v>
      </c>
      <c r="BP210" s="483">
        <f>SUM($U210:AF210)</f>
        <v>0</v>
      </c>
      <c r="BQ210" s="484">
        <f t="shared" si="24"/>
        <v>0</v>
      </c>
      <c r="BR210" s="482">
        <f>SUM($AS210:AT210)</f>
        <v>0</v>
      </c>
      <c r="BS210" s="482">
        <f>SUM($AS210:AU210)</f>
        <v>0</v>
      </c>
      <c r="BT210" s="482">
        <f>SUM($AS210:AV210)</f>
        <v>0</v>
      </c>
      <c r="BU210" s="482">
        <f>SUM($AS210:AW210)</f>
        <v>0</v>
      </c>
      <c r="BV210" s="482">
        <f>SUM($AS210:AX210)</f>
        <v>0</v>
      </c>
      <c r="BW210" s="482">
        <f>SUM($AS210:AY210)</f>
        <v>0</v>
      </c>
      <c r="BX210" s="482">
        <f>SUM($AS210:AZ210)</f>
        <v>0</v>
      </c>
      <c r="BY210" s="482">
        <f>SUM($AS210:BA210)</f>
        <v>0</v>
      </c>
      <c r="BZ210" s="482">
        <f>SUM($AS210:BB210)</f>
        <v>0</v>
      </c>
      <c r="CA210" s="482">
        <f>SUM($AS210:BC210)</f>
        <v>0</v>
      </c>
      <c r="CB210" s="483">
        <f>SUM($AS210:BD210)</f>
        <v>0</v>
      </c>
    </row>
    <row r="211" spans="1:80" s="471" customFormat="1" ht="12.75" hidden="1" customHeight="1">
      <c r="A211" s="471">
        <f t="shared" si="22"/>
        <v>202</v>
      </c>
      <c r="B211" s="628"/>
      <c r="C211" s="533"/>
      <c r="D211" s="533"/>
      <c r="E211" s="427"/>
      <c r="F211" s="586"/>
      <c r="G211" s="629"/>
      <c r="H211" s="582">
        <f t="shared" si="19"/>
        <v>204</v>
      </c>
      <c r="I211" s="524"/>
      <c r="J211" s="473"/>
      <c r="K211" s="473"/>
      <c r="L211" s="473"/>
      <c r="M211" s="473"/>
      <c r="N211" s="473"/>
      <c r="O211" s="473"/>
      <c r="P211" s="473"/>
      <c r="Q211" s="473"/>
      <c r="R211" s="473"/>
      <c r="S211" s="473"/>
      <c r="T211" s="474"/>
      <c r="U211" s="475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510"/>
      <c r="AH211" s="495"/>
      <c r="AI211" s="495"/>
      <c r="AJ211" s="495"/>
      <c r="AK211" s="495"/>
      <c r="AL211" s="495"/>
      <c r="AM211" s="495"/>
      <c r="AN211" s="495"/>
      <c r="AO211" s="495"/>
      <c r="AP211" s="495"/>
      <c r="AQ211" s="495"/>
      <c r="AR211" s="497"/>
      <c r="AS211" s="509"/>
      <c r="AT211" s="495"/>
      <c r="AU211" s="495"/>
      <c r="AV211" s="480"/>
      <c r="AW211" s="496"/>
      <c r="AX211" s="495"/>
      <c r="AY211" s="495"/>
      <c r="AZ211" s="496"/>
      <c r="BA211" s="496"/>
      <c r="BB211" s="496"/>
      <c r="BC211" s="496"/>
      <c r="BD211" s="511"/>
      <c r="BE211" s="482">
        <f t="shared" si="23"/>
        <v>0</v>
      </c>
      <c r="BF211" s="482">
        <f>SUM($U211:V211)</f>
        <v>0</v>
      </c>
      <c r="BG211" s="482">
        <f>SUM($U211:W211)</f>
        <v>0</v>
      </c>
      <c r="BH211" s="482">
        <f>SUM($U211:X211)</f>
        <v>0</v>
      </c>
      <c r="BI211" s="482">
        <f>SUM($U211:Y211)</f>
        <v>0</v>
      </c>
      <c r="BJ211" s="482">
        <f>SUM($U211:Z211)</f>
        <v>0</v>
      </c>
      <c r="BK211" s="482">
        <f>SUM($U211:AA211)</f>
        <v>0</v>
      </c>
      <c r="BL211" s="482">
        <f>SUM($U211:AB211)</f>
        <v>0</v>
      </c>
      <c r="BM211" s="482">
        <f>SUM($U211:AC211)</f>
        <v>0</v>
      </c>
      <c r="BN211" s="482">
        <f>SUM($U211:AD211)</f>
        <v>0</v>
      </c>
      <c r="BO211" s="482">
        <f>SUM($U211:AE211)</f>
        <v>0</v>
      </c>
      <c r="BP211" s="483">
        <f>SUM($U211:AF211)</f>
        <v>0</v>
      </c>
      <c r="BQ211" s="484">
        <f t="shared" si="24"/>
        <v>0</v>
      </c>
      <c r="BR211" s="482">
        <f>SUM($AS211:AT211)</f>
        <v>0</v>
      </c>
      <c r="BS211" s="482">
        <f>SUM($AS211:AU211)</f>
        <v>0</v>
      </c>
      <c r="BT211" s="482">
        <f>SUM($AS211:AV211)</f>
        <v>0</v>
      </c>
      <c r="BU211" s="482">
        <f>SUM($AS211:AW211)</f>
        <v>0</v>
      </c>
      <c r="BV211" s="482">
        <f>SUM($AS211:AX211)</f>
        <v>0</v>
      </c>
      <c r="BW211" s="482">
        <f>SUM($AS211:AY211)</f>
        <v>0</v>
      </c>
      <c r="BX211" s="482">
        <f>SUM($AS211:AZ211)</f>
        <v>0</v>
      </c>
      <c r="BY211" s="482">
        <f>SUM($AS211:BA211)</f>
        <v>0</v>
      </c>
      <c r="BZ211" s="482">
        <f>SUM($AS211:BB211)</f>
        <v>0</v>
      </c>
      <c r="CA211" s="482">
        <f>SUM($AS211:BC211)</f>
        <v>0</v>
      </c>
      <c r="CB211" s="483">
        <f>SUM($AS211:BD211)</f>
        <v>0</v>
      </c>
    </row>
    <row r="212" spans="1:80" s="471" customFormat="1" ht="12.75" hidden="1" customHeight="1">
      <c r="A212" s="471">
        <f t="shared" si="22"/>
        <v>203</v>
      </c>
      <c r="B212" s="628"/>
      <c r="C212" s="533"/>
      <c r="D212" s="533"/>
      <c r="E212" s="427"/>
      <c r="F212" s="586"/>
      <c r="G212" s="629"/>
      <c r="H212" s="582">
        <f t="shared" si="19"/>
        <v>205</v>
      </c>
      <c r="I212" s="524"/>
      <c r="J212" s="473"/>
      <c r="K212" s="473"/>
      <c r="L212" s="473"/>
      <c r="M212" s="473"/>
      <c r="N212" s="473"/>
      <c r="O212" s="473"/>
      <c r="P212" s="473"/>
      <c r="Q212" s="473"/>
      <c r="R212" s="473"/>
      <c r="S212" s="473"/>
      <c r="T212" s="474"/>
      <c r="U212" s="475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510"/>
      <c r="AH212" s="495"/>
      <c r="AI212" s="495"/>
      <c r="AJ212" s="495"/>
      <c r="AK212" s="495"/>
      <c r="AL212" s="495"/>
      <c r="AM212" s="495"/>
      <c r="AN212" s="495"/>
      <c r="AO212" s="495"/>
      <c r="AP212" s="495"/>
      <c r="AQ212" s="495"/>
      <c r="AR212" s="497"/>
      <c r="AS212" s="509"/>
      <c r="AT212" s="495"/>
      <c r="AU212" s="495"/>
      <c r="AV212" s="480"/>
      <c r="AW212" s="496"/>
      <c r="AX212" s="495"/>
      <c r="AY212" s="495"/>
      <c r="AZ212" s="496"/>
      <c r="BA212" s="496"/>
      <c r="BB212" s="496"/>
      <c r="BC212" s="496"/>
      <c r="BD212" s="511"/>
      <c r="BE212" s="482">
        <f t="shared" si="23"/>
        <v>0</v>
      </c>
      <c r="BF212" s="482">
        <f>SUM($U212:V212)</f>
        <v>0</v>
      </c>
      <c r="BG212" s="482">
        <f>SUM($U212:W212)</f>
        <v>0</v>
      </c>
      <c r="BH212" s="482">
        <f>SUM($U212:X212)</f>
        <v>0</v>
      </c>
      <c r="BI212" s="482">
        <f>SUM($U212:Y212)</f>
        <v>0</v>
      </c>
      <c r="BJ212" s="482">
        <f>SUM($U212:Z212)</f>
        <v>0</v>
      </c>
      <c r="BK212" s="482">
        <f>SUM($U212:AA212)</f>
        <v>0</v>
      </c>
      <c r="BL212" s="482">
        <f>SUM($U212:AB212)</f>
        <v>0</v>
      </c>
      <c r="BM212" s="482">
        <f>SUM($U212:AC212)</f>
        <v>0</v>
      </c>
      <c r="BN212" s="482">
        <f>SUM($U212:AD212)</f>
        <v>0</v>
      </c>
      <c r="BO212" s="482">
        <f>SUM($U212:AE212)</f>
        <v>0</v>
      </c>
      <c r="BP212" s="483">
        <f>SUM($U212:AF212)</f>
        <v>0</v>
      </c>
      <c r="BQ212" s="484">
        <f t="shared" si="24"/>
        <v>0</v>
      </c>
      <c r="BR212" s="482">
        <f>SUM($AS212:AT212)</f>
        <v>0</v>
      </c>
      <c r="BS212" s="482">
        <f>SUM($AS212:AU212)</f>
        <v>0</v>
      </c>
      <c r="BT212" s="482">
        <f>SUM($AS212:AV212)</f>
        <v>0</v>
      </c>
      <c r="BU212" s="482">
        <f>SUM($AS212:AW212)</f>
        <v>0</v>
      </c>
      <c r="BV212" s="482">
        <f>SUM($AS212:AX212)</f>
        <v>0</v>
      </c>
      <c r="BW212" s="482">
        <f>SUM($AS212:AY212)</f>
        <v>0</v>
      </c>
      <c r="BX212" s="482">
        <f>SUM($AS212:AZ212)</f>
        <v>0</v>
      </c>
      <c r="BY212" s="482">
        <f>SUM($AS212:BA212)</f>
        <v>0</v>
      </c>
      <c r="BZ212" s="482">
        <f>SUM($AS212:BB212)</f>
        <v>0</v>
      </c>
      <c r="CA212" s="482">
        <f>SUM($AS212:BC212)</f>
        <v>0</v>
      </c>
      <c r="CB212" s="483">
        <f>SUM($AS212:BD212)</f>
        <v>0</v>
      </c>
    </row>
    <row r="213" spans="1:80" s="471" customFormat="1" ht="12.75" hidden="1" customHeight="1">
      <c r="A213" s="471">
        <f t="shared" si="22"/>
        <v>204</v>
      </c>
      <c r="B213" s="628"/>
      <c r="C213" s="533"/>
      <c r="D213" s="533"/>
      <c r="E213" s="427"/>
      <c r="F213" s="586"/>
      <c r="G213" s="629"/>
      <c r="H213" s="582">
        <f t="shared" si="19"/>
        <v>206</v>
      </c>
      <c r="I213" s="524"/>
      <c r="J213" s="473"/>
      <c r="K213" s="473"/>
      <c r="L213" s="473"/>
      <c r="M213" s="473"/>
      <c r="N213" s="473"/>
      <c r="O213" s="473"/>
      <c r="P213" s="473"/>
      <c r="Q213" s="473"/>
      <c r="R213" s="473"/>
      <c r="S213" s="473"/>
      <c r="T213" s="474"/>
      <c r="U213" s="475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510"/>
      <c r="AH213" s="495"/>
      <c r="AI213" s="495"/>
      <c r="AJ213" s="495"/>
      <c r="AK213" s="495"/>
      <c r="AL213" s="495"/>
      <c r="AM213" s="495"/>
      <c r="AN213" s="495"/>
      <c r="AO213" s="495"/>
      <c r="AP213" s="495"/>
      <c r="AQ213" s="495"/>
      <c r="AR213" s="497"/>
      <c r="AS213" s="509"/>
      <c r="AT213" s="495"/>
      <c r="AU213" s="495"/>
      <c r="AV213" s="480"/>
      <c r="AW213" s="496"/>
      <c r="AX213" s="495"/>
      <c r="AY213" s="495"/>
      <c r="AZ213" s="496"/>
      <c r="BA213" s="496"/>
      <c r="BB213" s="496"/>
      <c r="BC213" s="496"/>
      <c r="BD213" s="511"/>
      <c r="BE213" s="482">
        <f t="shared" si="23"/>
        <v>0</v>
      </c>
      <c r="BF213" s="482">
        <f>SUM($U213:V213)</f>
        <v>0</v>
      </c>
      <c r="BG213" s="482">
        <f>SUM($U213:W213)</f>
        <v>0</v>
      </c>
      <c r="BH213" s="482">
        <f>SUM($U213:X213)</f>
        <v>0</v>
      </c>
      <c r="BI213" s="482">
        <f>SUM($U213:Y213)</f>
        <v>0</v>
      </c>
      <c r="BJ213" s="482">
        <f>SUM($U213:Z213)</f>
        <v>0</v>
      </c>
      <c r="BK213" s="482">
        <f>SUM($U213:AA213)</f>
        <v>0</v>
      </c>
      <c r="BL213" s="482">
        <f>SUM($U213:AB213)</f>
        <v>0</v>
      </c>
      <c r="BM213" s="482">
        <f>SUM($U213:AC213)</f>
        <v>0</v>
      </c>
      <c r="BN213" s="482">
        <f>SUM($U213:AD213)</f>
        <v>0</v>
      </c>
      <c r="BO213" s="482">
        <f>SUM($U213:AE213)</f>
        <v>0</v>
      </c>
      <c r="BP213" s="483">
        <f>SUM($U213:AF213)</f>
        <v>0</v>
      </c>
      <c r="BQ213" s="484">
        <f t="shared" si="24"/>
        <v>0</v>
      </c>
      <c r="BR213" s="482">
        <f>SUM($AS213:AT213)</f>
        <v>0</v>
      </c>
      <c r="BS213" s="482">
        <f>SUM($AS213:AU213)</f>
        <v>0</v>
      </c>
      <c r="BT213" s="482">
        <f>SUM($AS213:AV213)</f>
        <v>0</v>
      </c>
      <c r="BU213" s="482">
        <f>SUM($AS213:AW213)</f>
        <v>0</v>
      </c>
      <c r="BV213" s="482">
        <f>SUM($AS213:AX213)</f>
        <v>0</v>
      </c>
      <c r="BW213" s="482">
        <f>SUM($AS213:AY213)</f>
        <v>0</v>
      </c>
      <c r="BX213" s="482">
        <f>SUM($AS213:AZ213)</f>
        <v>0</v>
      </c>
      <c r="BY213" s="482">
        <f>SUM($AS213:BA213)</f>
        <v>0</v>
      </c>
      <c r="BZ213" s="482">
        <f>SUM($AS213:BB213)</f>
        <v>0</v>
      </c>
      <c r="CA213" s="482">
        <f>SUM($AS213:BC213)</f>
        <v>0</v>
      </c>
      <c r="CB213" s="483">
        <f>SUM($AS213:BD213)</f>
        <v>0</v>
      </c>
    </row>
    <row r="214" spans="1:80" s="471" customFormat="1" ht="12.75" hidden="1" customHeight="1">
      <c r="A214" s="471">
        <f t="shared" si="22"/>
        <v>205</v>
      </c>
      <c r="B214" s="628"/>
      <c r="C214" s="533"/>
      <c r="D214" s="533"/>
      <c r="E214" s="427"/>
      <c r="F214" s="586"/>
      <c r="G214" s="629"/>
      <c r="H214" s="582">
        <f t="shared" si="19"/>
        <v>207</v>
      </c>
      <c r="I214" s="524"/>
      <c r="J214" s="473"/>
      <c r="K214" s="473"/>
      <c r="L214" s="473"/>
      <c r="M214" s="473"/>
      <c r="N214" s="473"/>
      <c r="O214" s="473"/>
      <c r="P214" s="473"/>
      <c r="Q214" s="473"/>
      <c r="R214" s="473"/>
      <c r="S214" s="473"/>
      <c r="T214" s="474"/>
      <c r="U214" s="475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510"/>
      <c r="AH214" s="495"/>
      <c r="AI214" s="495"/>
      <c r="AJ214" s="495"/>
      <c r="AK214" s="495"/>
      <c r="AL214" s="495"/>
      <c r="AM214" s="495"/>
      <c r="AN214" s="495"/>
      <c r="AO214" s="495"/>
      <c r="AP214" s="495"/>
      <c r="AQ214" s="495"/>
      <c r="AR214" s="497"/>
      <c r="AS214" s="509"/>
      <c r="AT214" s="495"/>
      <c r="AU214" s="495"/>
      <c r="AV214" s="480"/>
      <c r="AW214" s="496"/>
      <c r="AX214" s="495"/>
      <c r="AY214" s="495"/>
      <c r="AZ214" s="496"/>
      <c r="BA214" s="496"/>
      <c r="BB214" s="496"/>
      <c r="BC214" s="496"/>
      <c r="BD214" s="511"/>
      <c r="BE214" s="482">
        <f t="shared" si="23"/>
        <v>0</v>
      </c>
      <c r="BF214" s="482">
        <f>SUM($U214:V214)</f>
        <v>0</v>
      </c>
      <c r="BG214" s="482">
        <f>SUM($U214:W214)</f>
        <v>0</v>
      </c>
      <c r="BH214" s="482">
        <f>SUM($U214:X214)</f>
        <v>0</v>
      </c>
      <c r="BI214" s="482">
        <f>SUM($U214:Y214)</f>
        <v>0</v>
      </c>
      <c r="BJ214" s="482">
        <f>SUM($U214:Z214)</f>
        <v>0</v>
      </c>
      <c r="BK214" s="482">
        <f>SUM($U214:AA214)</f>
        <v>0</v>
      </c>
      <c r="BL214" s="482">
        <f>SUM($U214:AB214)</f>
        <v>0</v>
      </c>
      <c r="BM214" s="482">
        <f>SUM($U214:AC214)</f>
        <v>0</v>
      </c>
      <c r="BN214" s="482">
        <f>SUM($U214:AD214)</f>
        <v>0</v>
      </c>
      <c r="BO214" s="482">
        <f>SUM($U214:AE214)</f>
        <v>0</v>
      </c>
      <c r="BP214" s="483">
        <f>SUM($U214:AF214)</f>
        <v>0</v>
      </c>
      <c r="BQ214" s="484">
        <f t="shared" si="24"/>
        <v>0</v>
      </c>
      <c r="BR214" s="482">
        <f>SUM($AS214:AT214)</f>
        <v>0</v>
      </c>
      <c r="BS214" s="482">
        <f>SUM($AS214:AU214)</f>
        <v>0</v>
      </c>
      <c r="BT214" s="482">
        <f>SUM($AS214:AV214)</f>
        <v>0</v>
      </c>
      <c r="BU214" s="482">
        <f>SUM($AS214:AW214)</f>
        <v>0</v>
      </c>
      <c r="BV214" s="482">
        <f>SUM($AS214:AX214)</f>
        <v>0</v>
      </c>
      <c r="BW214" s="482">
        <f>SUM($AS214:AY214)</f>
        <v>0</v>
      </c>
      <c r="BX214" s="482">
        <f>SUM($AS214:AZ214)</f>
        <v>0</v>
      </c>
      <c r="BY214" s="482">
        <f>SUM($AS214:BA214)</f>
        <v>0</v>
      </c>
      <c r="BZ214" s="482">
        <f>SUM($AS214:BB214)</f>
        <v>0</v>
      </c>
      <c r="CA214" s="482">
        <f>SUM($AS214:BC214)</f>
        <v>0</v>
      </c>
      <c r="CB214" s="483">
        <f>SUM($AS214:BD214)</f>
        <v>0</v>
      </c>
    </row>
    <row r="215" spans="1:80" s="471" customFormat="1" ht="12.75" hidden="1" customHeight="1">
      <c r="A215" s="471">
        <f t="shared" si="22"/>
        <v>206</v>
      </c>
      <c r="B215" s="628"/>
      <c r="C215" s="533"/>
      <c r="D215" s="533"/>
      <c r="E215" s="427"/>
      <c r="F215" s="586"/>
      <c r="G215" s="629"/>
      <c r="H215" s="582">
        <f t="shared" si="19"/>
        <v>208</v>
      </c>
      <c r="I215" s="524"/>
      <c r="J215" s="473"/>
      <c r="K215" s="473"/>
      <c r="L215" s="473"/>
      <c r="M215" s="473"/>
      <c r="N215" s="473"/>
      <c r="O215" s="473"/>
      <c r="P215" s="473"/>
      <c r="Q215" s="473"/>
      <c r="R215" s="473"/>
      <c r="S215" s="473"/>
      <c r="T215" s="474"/>
      <c r="U215" s="475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510"/>
      <c r="AH215" s="495"/>
      <c r="AI215" s="495"/>
      <c r="AJ215" s="495"/>
      <c r="AK215" s="495"/>
      <c r="AL215" s="495"/>
      <c r="AM215" s="495"/>
      <c r="AN215" s="495"/>
      <c r="AO215" s="495"/>
      <c r="AP215" s="495"/>
      <c r="AQ215" s="495"/>
      <c r="AR215" s="497"/>
      <c r="AS215" s="509"/>
      <c r="AT215" s="495"/>
      <c r="AU215" s="495"/>
      <c r="AV215" s="480"/>
      <c r="AW215" s="496"/>
      <c r="AX215" s="495"/>
      <c r="AY215" s="495"/>
      <c r="AZ215" s="496"/>
      <c r="BA215" s="496"/>
      <c r="BB215" s="496"/>
      <c r="BC215" s="496"/>
      <c r="BD215" s="511"/>
      <c r="BE215" s="482">
        <f t="shared" si="23"/>
        <v>0</v>
      </c>
      <c r="BF215" s="482">
        <f>SUM($U215:V215)</f>
        <v>0</v>
      </c>
      <c r="BG215" s="482">
        <f>SUM($U215:W215)</f>
        <v>0</v>
      </c>
      <c r="BH215" s="482">
        <f>SUM($U215:X215)</f>
        <v>0</v>
      </c>
      <c r="BI215" s="482">
        <f>SUM($U215:Y215)</f>
        <v>0</v>
      </c>
      <c r="BJ215" s="482">
        <f>SUM($U215:Z215)</f>
        <v>0</v>
      </c>
      <c r="BK215" s="482">
        <f>SUM($U215:AA215)</f>
        <v>0</v>
      </c>
      <c r="BL215" s="482">
        <f>SUM($U215:AB215)</f>
        <v>0</v>
      </c>
      <c r="BM215" s="482">
        <f>SUM($U215:AC215)</f>
        <v>0</v>
      </c>
      <c r="BN215" s="482">
        <f>SUM($U215:AD215)</f>
        <v>0</v>
      </c>
      <c r="BO215" s="482">
        <f>SUM($U215:AE215)</f>
        <v>0</v>
      </c>
      <c r="BP215" s="483">
        <f>SUM($U215:AF215)</f>
        <v>0</v>
      </c>
      <c r="BQ215" s="484">
        <f t="shared" si="24"/>
        <v>0</v>
      </c>
      <c r="BR215" s="482">
        <f>SUM($AS215:AT215)</f>
        <v>0</v>
      </c>
      <c r="BS215" s="482">
        <f>SUM($AS215:AU215)</f>
        <v>0</v>
      </c>
      <c r="BT215" s="482">
        <f>SUM($AS215:AV215)</f>
        <v>0</v>
      </c>
      <c r="BU215" s="482">
        <f>SUM($AS215:AW215)</f>
        <v>0</v>
      </c>
      <c r="BV215" s="482">
        <f>SUM($AS215:AX215)</f>
        <v>0</v>
      </c>
      <c r="BW215" s="482">
        <f>SUM($AS215:AY215)</f>
        <v>0</v>
      </c>
      <c r="BX215" s="482">
        <f>SUM($AS215:AZ215)</f>
        <v>0</v>
      </c>
      <c r="BY215" s="482">
        <f>SUM($AS215:BA215)</f>
        <v>0</v>
      </c>
      <c r="BZ215" s="482">
        <f>SUM($AS215:BB215)</f>
        <v>0</v>
      </c>
      <c r="CA215" s="482">
        <f>SUM($AS215:BC215)</f>
        <v>0</v>
      </c>
      <c r="CB215" s="483">
        <f>SUM($AS215:BD215)</f>
        <v>0</v>
      </c>
    </row>
    <row r="216" spans="1:80" s="471" customFormat="1" ht="12.75" hidden="1" customHeight="1">
      <c r="A216" s="471">
        <f t="shared" si="22"/>
        <v>207</v>
      </c>
      <c r="B216" s="628"/>
      <c r="C216" s="533"/>
      <c r="D216" s="533"/>
      <c r="E216" s="427"/>
      <c r="F216" s="586"/>
      <c r="G216" s="629"/>
      <c r="H216" s="582">
        <f t="shared" si="19"/>
        <v>209</v>
      </c>
      <c r="I216" s="524"/>
      <c r="J216" s="473"/>
      <c r="K216" s="473"/>
      <c r="L216" s="473"/>
      <c r="M216" s="473"/>
      <c r="N216" s="473"/>
      <c r="O216" s="473"/>
      <c r="P216" s="473"/>
      <c r="Q216" s="473"/>
      <c r="R216" s="473"/>
      <c r="S216" s="473"/>
      <c r="T216" s="474"/>
      <c r="U216" s="475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510"/>
      <c r="AH216" s="495"/>
      <c r="AI216" s="495"/>
      <c r="AJ216" s="495"/>
      <c r="AK216" s="495"/>
      <c r="AL216" s="495"/>
      <c r="AM216" s="495"/>
      <c r="AN216" s="495"/>
      <c r="AO216" s="495"/>
      <c r="AP216" s="495"/>
      <c r="AQ216" s="495"/>
      <c r="AR216" s="497"/>
      <c r="AS216" s="509"/>
      <c r="AT216" s="495"/>
      <c r="AU216" s="495"/>
      <c r="AV216" s="480"/>
      <c r="AW216" s="496"/>
      <c r="AX216" s="495"/>
      <c r="AY216" s="495"/>
      <c r="AZ216" s="496"/>
      <c r="BA216" s="496"/>
      <c r="BB216" s="496"/>
      <c r="BC216" s="496"/>
      <c r="BD216" s="511"/>
      <c r="BE216" s="482">
        <f t="shared" si="23"/>
        <v>0</v>
      </c>
      <c r="BF216" s="482">
        <f>SUM($U216:V216)</f>
        <v>0</v>
      </c>
      <c r="BG216" s="482">
        <f>SUM($U216:W216)</f>
        <v>0</v>
      </c>
      <c r="BH216" s="482">
        <f>SUM($U216:X216)</f>
        <v>0</v>
      </c>
      <c r="BI216" s="482">
        <f>SUM($U216:Y216)</f>
        <v>0</v>
      </c>
      <c r="BJ216" s="482">
        <f>SUM($U216:Z216)</f>
        <v>0</v>
      </c>
      <c r="BK216" s="482">
        <f>SUM($U216:AA216)</f>
        <v>0</v>
      </c>
      <c r="BL216" s="482">
        <f>SUM($U216:AB216)</f>
        <v>0</v>
      </c>
      <c r="BM216" s="482">
        <f>SUM($U216:AC216)</f>
        <v>0</v>
      </c>
      <c r="BN216" s="482">
        <f>SUM($U216:AD216)</f>
        <v>0</v>
      </c>
      <c r="BO216" s="482">
        <f>SUM($U216:AE216)</f>
        <v>0</v>
      </c>
      <c r="BP216" s="483">
        <f>SUM($U216:AF216)</f>
        <v>0</v>
      </c>
      <c r="BQ216" s="484">
        <f t="shared" si="24"/>
        <v>0</v>
      </c>
      <c r="BR216" s="482">
        <f>SUM($AS216:AT216)</f>
        <v>0</v>
      </c>
      <c r="BS216" s="482">
        <f>SUM($AS216:AU216)</f>
        <v>0</v>
      </c>
      <c r="BT216" s="482">
        <f>SUM($AS216:AV216)</f>
        <v>0</v>
      </c>
      <c r="BU216" s="482">
        <f>SUM($AS216:AW216)</f>
        <v>0</v>
      </c>
      <c r="BV216" s="482">
        <f>SUM($AS216:AX216)</f>
        <v>0</v>
      </c>
      <c r="BW216" s="482">
        <f>SUM($AS216:AY216)</f>
        <v>0</v>
      </c>
      <c r="BX216" s="482">
        <f>SUM($AS216:AZ216)</f>
        <v>0</v>
      </c>
      <c r="BY216" s="482">
        <f>SUM($AS216:BA216)</f>
        <v>0</v>
      </c>
      <c r="BZ216" s="482">
        <f>SUM($AS216:BB216)</f>
        <v>0</v>
      </c>
      <c r="CA216" s="482">
        <f>SUM($AS216:BC216)</f>
        <v>0</v>
      </c>
      <c r="CB216" s="483">
        <f>SUM($AS216:BD216)</f>
        <v>0</v>
      </c>
    </row>
    <row r="217" spans="1:80" s="471" customFormat="1" ht="12.75" hidden="1" customHeight="1">
      <c r="A217" s="471">
        <f t="shared" si="22"/>
        <v>208</v>
      </c>
      <c r="B217" s="628"/>
      <c r="C217" s="533"/>
      <c r="D217" s="533"/>
      <c r="E217" s="427"/>
      <c r="F217" s="586"/>
      <c r="G217" s="629"/>
      <c r="H217" s="582">
        <f t="shared" si="19"/>
        <v>210</v>
      </c>
      <c r="I217" s="524"/>
      <c r="J217" s="473"/>
      <c r="K217" s="473"/>
      <c r="L217" s="473"/>
      <c r="M217" s="473"/>
      <c r="N217" s="473"/>
      <c r="O217" s="473"/>
      <c r="P217" s="473"/>
      <c r="Q217" s="473"/>
      <c r="R217" s="473"/>
      <c r="S217" s="473"/>
      <c r="T217" s="474"/>
      <c r="U217" s="475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510"/>
      <c r="AH217" s="495"/>
      <c r="AI217" s="495"/>
      <c r="AJ217" s="495"/>
      <c r="AK217" s="495"/>
      <c r="AL217" s="495"/>
      <c r="AM217" s="495"/>
      <c r="AN217" s="495"/>
      <c r="AO217" s="495"/>
      <c r="AP217" s="495"/>
      <c r="AQ217" s="495"/>
      <c r="AR217" s="497"/>
      <c r="AS217" s="509"/>
      <c r="AT217" s="495"/>
      <c r="AU217" s="495"/>
      <c r="AV217" s="480"/>
      <c r="AW217" s="496"/>
      <c r="AX217" s="495"/>
      <c r="AY217" s="495"/>
      <c r="AZ217" s="496"/>
      <c r="BA217" s="496"/>
      <c r="BB217" s="496"/>
      <c r="BC217" s="496"/>
      <c r="BD217" s="511"/>
      <c r="BE217" s="482">
        <f t="shared" si="23"/>
        <v>0</v>
      </c>
      <c r="BF217" s="482">
        <f>SUM($U217:V217)</f>
        <v>0</v>
      </c>
      <c r="BG217" s="482">
        <f>SUM($U217:W217)</f>
        <v>0</v>
      </c>
      <c r="BH217" s="482">
        <f>SUM($U217:X217)</f>
        <v>0</v>
      </c>
      <c r="BI217" s="482">
        <f>SUM($U217:Y217)</f>
        <v>0</v>
      </c>
      <c r="BJ217" s="482">
        <f>SUM($U217:Z217)</f>
        <v>0</v>
      </c>
      <c r="BK217" s="482">
        <f>SUM($U217:AA217)</f>
        <v>0</v>
      </c>
      <c r="BL217" s="482">
        <f>SUM($U217:AB217)</f>
        <v>0</v>
      </c>
      <c r="BM217" s="482">
        <f>SUM($U217:AC217)</f>
        <v>0</v>
      </c>
      <c r="BN217" s="482">
        <f>SUM($U217:AD217)</f>
        <v>0</v>
      </c>
      <c r="BO217" s="482">
        <f>SUM($U217:AE217)</f>
        <v>0</v>
      </c>
      <c r="BP217" s="483">
        <f>SUM($U217:AF217)</f>
        <v>0</v>
      </c>
      <c r="BQ217" s="484">
        <f t="shared" si="24"/>
        <v>0</v>
      </c>
      <c r="BR217" s="482">
        <f>SUM($AS217:AT217)</f>
        <v>0</v>
      </c>
      <c r="BS217" s="482">
        <f>SUM($AS217:AU217)</f>
        <v>0</v>
      </c>
      <c r="BT217" s="482">
        <f>SUM($AS217:AV217)</f>
        <v>0</v>
      </c>
      <c r="BU217" s="482">
        <f>SUM($AS217:AW217)</f>
        <v>0</v>
      </c>
      <c r="BV217" s="482">
        <f>SUM($AS217:AX217)</f>
        <v>0</v>
      </c>
      <c r="BW217" s="482">
        <f>SUM($AS217:AY217)</f>
        <v>0</v>
      </c>
      <c r="BX217" s="482">
        <f>SUM($AS217:AZ217)</f>
        <v>0</v>
      </c>
      <c r="BY217" s="482">
        <f>SUM($AS217:BA217)</f>
        <v>0</v>
      </c>
      <c r="BZ217" s="482">
        <f>SUM($AS217:BB217)</f>
        <v>0</v>
      </c>
      <c r="CA217" s="482">
        <f>SUM($AS217:BC217)</f>
        <v>0</v>
      </c>
      <c r="CB217" s="483">
        <f>SUM($AS217:BD217)</f>
        <v>0</v>
      </c>
    </row>
    <row r="218" spans="1:80" s="471" customFormat="1" ht="12.75" hidden="1" customHeight="1">
      <c r="A218" s="471">
        <f t="shared" si="22"/>
        <v>209</v>
      </c>
      <c r="B218" s="628"/>
      <c r="C218" s="533"/>
      <c r="D218" s="533"/>
      <c r="E218" s="427"/>
      <c r="F218" s="586"/>
      <c r="G218" s="629"/>
      <c r="H218" s="582">
        <f t="shared" si="19"/>
        <v>211</v>
      </c>
      <c r="I218" s="524"/>
      <c r="J218" s="473"/>
      <c r="K218" s="473"/>
      <c r="L218" s="473"/>
      <c r="M218" s="473"/>
      <c r="N218" s="473"/>
      <c r="O218" s="473"/>
      <c r="P218" s="473"/>
      <c r="Q218" s="473"/>
      <c r="R218" s="473"/>
      <c r="S218" s="473"/>
      <c r="T218" s="474"/>
      <c r="U218" s="475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510"/>
      <c r="AH218" s="495"/>
      <c r="AI218" s="495"/>
      <c r="AJ218" s="495"/>
      <c r="AK218" s="495"/>
      <c r="AL218" s="495"/>
      <c r="AM218" s="495"/>
      <c r="AN218" s="495"/>
      <c r="AO218" s="495"/>
      <c r="AP218" s="495"/>
      <c r="AQ218" s="495"/>
      <c r="AR218" s="497"/>
      <c r="AS218" s="509"/>
      <c r="AT218" s="495"/>
      <c r="AU218" s="495"/>
      <c r="AV218" s="480"/>
      <c r="AW218" s="496"/>
      <c r="AX218" s="495"/>
      <c r="AY218" s="495"/>
      <c r="AZ218" s="496"/>
      <c r="BA218" s="496"/>
      <c r="BB218" s="496"/>
      <c r="BC218" s="496"/>
      <c r="BD218" s="511"/>
      <c r="BE218" s="482">
        <f t="shared" si="23"/>
        <v>0</v>
      </c>
      <c r="BF218" s="482">
        <f>SUM($U218:V218)</f>
        <v>0</v>
      </c>
      <c r="BG218" s="482">
        <f>SUM($U218:W218)</f>
        <v>0</v>
      </c>
      <c r="BH218" s="482">
        <f>SUM($U218:X218)</f>
        <v>0</v>
      </c>
      <c r="BI218" s="482">
        <f>SUM($U218:Y218)</f>
        <v>0</v>
      </c>
      <c r="BJ218" s="482">
        <f>SUM($U218:Z218)</f>
        <v>0</v>
      </c>
      <c r="BK218" s="482">
        <f>SUM($U218:AA218)</f>
        <v>0</v>
      </c>
      <c r="BL218" s="482">
        <f>SUM($U218:AB218)</f>
        <v>0</v>
      </c>
      <c r="BM218" s="482">
        <f>SUM($U218:AC218)</f>
        <v>0</v>
      </c>
      <c r="BN218" s="482">
        <f>SUM($U218:AD218)</f>
        <v>0</v>
      </c>
      <c r="BO218" s="482">
        <f>SUM($U218:AE218)</f>
        <v>0</v>
      </c>
      <c r="BP218" s="483">
        <f>SUM($U218:AF218)</f>
        <v>0</v>
      </c>
      <c r="BQ218" s="484">
        <f t="shared" si="24"/>
        <v>0</v>
      </c>
      <c r="BR218" s="482">
        <f>SUM($AS218:AT218)</f>
        <v>0</v>
      </c>
      <c r="BS218" s="482">
        <f>SUM($AS218:AU218)</f>
        <v>0</v>
      </c>
      <c r="BT218" s="482">
        <f>SUM($AS218:AV218)</f>
        <v>0</v>
      </c>
      <c r="BU218" s="482">
        <f>SUM($AS218:AW218)</f>
        <v>0</v>
      </c>
      <c r="BV218" s="482">
        <f>SUM($AS218:AX218)</f>
        <v>0</v>
      </c>
      <c r="BW218" s="482">
        <f>SUM($AS218:AY218)</f>
        <v>0</v>
      </c>
      <c r="BX218" s="482">
        <f>SUM($AS218:AZ218)</f>
        <v>0</v>
      </c>
      <c r="BY218" s="482">
        <f>SUM($AS218:BA218)</f>
        <v>0</v>
      </c>
      <c r="BZ218" s="482">
        <f>SUM($AS218:BB218)</f>
        <v>0</v>
      </c>
      <c r="CA218" s="482">
        <f>SUM($AS218:BC218)</f>
        <v>0</v>
      </c>
      <c r="CB218" s="483">
        <f>SUM($AS218:BD218)</f>
        <v>0</v>
      </c>
    </row>
    <row r="219" spans="1:80" s="471" customFormat="1" ht="12.75" hidden="1" customHeight="1">
      <c r="A219" s="471">
        <f t="shared" si="22"/>
        <v>210</v>
      </c>
      <c r="B219" s="628"/>
      <c r="C219" s="533"/>
      <c r="D219" s="533"/>
      <c r="E219" s="427"/>
      <c r="F219" s="586"/>
      <c r="G219" s="629"/>
      <c r="H219" s="582">
        <f t="shared" si="19"/>
        <v>212</v>
      </c>
      <c r="I219" s="524"/>
      <c r="J219" s="473"/>
      <c r="K219" s="473"/>
      <c r="L219" s="473"/>
      <c r="M219" s="473"/>
      <c r="N219" s="473"/>
      <c r="O219" s="473"/>
      <c r="P219" s="473"/>
      <c r="Q219" s="473"/>
      <c r="R219" s="473"/>
      <c r="S219" s="473"/>
      <c r="T219" s="474"/>
      <c r="U219" s="475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510"/>
      <c r="AH219" s="495"/>
      <c r="AI219" s="495"/>
      <c r="AJ219" s="495"/>
      <c r="AK219" s="495"/>
      <c r="AL219" s="495"/>
      <c r="AM219" s="495"/>
      <c r="AN219" s="495"/>
      <c r="AO219" s="495"/>
      <c r="AP219" s="495"/>
      <c r="AQ219" s="495"/>
      <c r="AR219" s="497"/>
      <c r="AS219" s="509"/>
      <c r="AT219" s="495"/>
      <c r="AU219" s="495"/>
      <c r="AV219" s="480"/>
      <c r="AW219" s="496"/>
      <c r="AX219" s="495"/>
      <c r="AY219" s="495"/>
      <c r="AZ219" s="496"/>
      <c r="BA219" s="496"/>
      <c r="BB219" s="496"/>
      <c r="BC219" s="496"/>
      <c r="BD219" s="511"/>
      <c r="BE219" s="482">
        <f t="shared" si="23"/>
        <v>0</v>
      </c>
      <c r="BF219" s="482">
        <f>SUM($U219:V219)</f>
        <v>0</v>
      </c>
      <c r="BG219" s="482">
        <f>SUM($U219:W219)</f>
        <v>0</v>
      </c>
      <c r="BH219" s="482">
        <f>SUM($U219:X219)</f>
        <v>0</v>
      </c>
      <c r="BI219" s="482">
        <f>SUM($U219:Y219)</f>
        <v>0</v>
      </c>
      <c r="BJ219" s="482">
        <f>SUM($U219:Z219)</f>
        <v>0</v>
      </c>
      <c r="BK219" s="482">
        <f>SUM($U219:AA219)</f>
        <v>0</v>
      </c>
      <c r="BL219" s="482">
        <f>SUM($U219:AB219)</f>
        <v>0</v>
      </c>
      <c r="BM219" s="482">
        <f>SUM($U219:AC219)</f>
        <v>0</v>
      </c>
      <c r="BN219" s="482">
        <f>SUM($U219:AD219)</f>
        <v>0</v>
      </c>
      <c r="BO219" s="482">
        <f>SUM($U219:AE219)</f>
        <v>0</v>
      </c>
      <c r="BP219" s="483">
        <f>SUM($U219:AF219)</f>
        <v>0</v>
      </c>
      <c r="BQ219" s="484">
        <f t="shared" si="24"/>
        <v>0</v>
      </c>
      <c r="BR219" s="482">
        <f>SUM($AS219:AT219)</f>
        <v>0</v>
      </c>
      <c r="BS219" s="482">
        <f>SUM($AS219:AU219)</f>
        <v>0</v>
      </c>
      <c r="BT219" s="482">
        <f>SUM($AS219:AV219)</f>
        <v>0</v>
      </c>
      <c r="BU219" s="482">
        <f>SUM($AS219:AW219)</f>
        <v>0</v>
      </c>
      <c r="BV219" s="482">
        <f>SUM($AS219:AX219)</f>
        <v>0</v>
      </c>
      <c r="BW219" s="482">
        <f>SUM($AS219:AY219)</f>
        <v>0</v>
      </c>
      <c r="BX219" s="482">
        <f>SUM($AS219:AZ219)</f>
        <v>0</v>
      </c>
      <c r="BY219" s="482">
        <f>SUM($AS219:BA219)</f>
        <v>0</v>
      </c>
      <c r="BZ219" s="482">
        <f>SUM($AS219:BB219)</f>
        <v>0</v>
      </c>
      <c r="CA219" s="482">
        <f>SUM($AS219:BC219)</f>
        <v>0</v>
      </c>
      <c r="CB219" s="483">
        <f>SUM($AS219:BD219)</f>
        <v>0</v>
      </c>
    </row>
    <row r="220" spans="1:80" s="471" customFormat="1" ht="12.75" hidden="1" customHeight="1">
      <c r="A220" s="471">
        <f t="shared" si="22"/>
        <v>211</v>
      </c>
      <c r="B220" s="628"/>
      <c r="C220" s="533"/>
      <c r="D220" s="533"/>
      <c r="E220" s="427"/>
      <c r="F220" s="586"/>
      <c r="G220" s="629"/>
      <c r="H220" s="582">
        <f t="shared" si="19"/>
        <v>213</v>
      </c>
      <c r="I220" s="524"/>
      <c r="J220" s="473"/>
      <c r="K220" s="473"/>
      <c r="L220" s="473"/>
      <c r="M220" s="473"/>
      <c r="N220" s="473"/>
      <c r="O220" s="473"/>
      <c r="P220" s="473"/>
      <c r="Q220" s="473"/>
      <c r="R220" s="473"/>
      <c r="S220" s="473"/>
      <c r="T220" s="474"/>
      <c r="U220" s="475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510"/>
      <c r="AH220" s="495"/>
      <c r="AI220" s="495"/>
      <c r="AJ220" s="495"/>
      <c r="AK220" s="495"/>
      <c r="AL220" s="495"/>
      <c r="AM220" s="495"/>
      <c r="AN220" s="495"/>
      <c r="AO220" s="495"/>
      <c r="AP220" s="495"/>
      <c r="AQ220" s="495"/>
      <c r="AR220" s="497"/>
      <c r="AS220" s="509"/>
      <c r="AT220" s="495"/>
      <c r="AU220" s="495"/>
      <c r="AV220" s="480"/>
      <c r="AW220" s="496"/>
      <c r="AX220" s="495"/>
      <c r="AY220" s="495"/>
      <c r="AZ220" s="496"/>
      <c r="BA220" s="496"/>
      <c r="BB220" s="496"/>
      <c r="BC220" s="496"/>
      <c r="BD220" s="511"/>
      <c r="BE220" s="482">
        <f t="shared" si="23"/>
        <v>0</v>
      </c>
      <c r="BF220" s="482">
        <f>SUM($U220:V220)</f>
        <v>0</v>
      </c>
      <c r="BG220" s="482">
        <f>SUM($U220:W220)</f>
        <v>0</v>
      </c>
      <c r="BH220" s="482">
        <f>SUM($U220:X220)</f>
        <v>0</v>
      </c>
      <c r="BI220" s="482">
        <f>SUM($U220:Y220)</f>
        <v>0</v>
      </c>
      <c r="BJ220" s="482">
        <f>SUM($U220:Z220)</f>
        <v>0</v>
      </c>
      <c r="BK220" s="482">
        <f>SUM($U220:AA220)</f>
        <v>0</v>
      </c>
      <c r="BL220" s="482">
        <f>SUM($U220:AB220)</f>
        <v>0</v>
      </c>
      <c r="BM220" s="482">
        <f>SUM($U220:AC220)</f>
        <v>0</v>
      </c>
      <c r="BN220" s="482">
        <f>SUM($U220:AD220)</f>
        <v>0</v>
      </c>
      <c r="BO220" s="482">
        <f>SUM($U220:AE220)</f>
        <v>0</v>
      </c>
      <c r="BP220" s="483">
        <f>SUM($U220:AF220)</f>
        <v>0</v>
      </c>
      <c r="BQ220" s="484">
        <f t="shared" si="24"/>
        <v>0</v>
      </c>
      <c r="BR220" s="482">
        <f>SUM($AS220:AT220)</f>
        <v>0</v>
      </c>
      <c r="BS220" s="482">
        <f>SUM($AS220:AU220)</f>
        <v>0</v>
      </c>
      <c r="BT220" s="482">
        <f>SUM($AS220:AV220)</f>
        <v>0</v>
      </c>
      <c r="BU220" s="482">
        <f>SUM($AS220:AW220)</f>
        <v>0</v>
      </c>
      <c r="BV220" s="482">
        <f>SUM($AS220:AX220)</f>
        <v>0</v>
      </c>
      <c r="BW220" s="482">
        <f>SUM($AS220:AY220)</f>
        <v>0</v>
      </c>
      <c r="BX220" s="482">
        <f>SUM($AS220:AZ220)</f>
        <v>0</v>
      </c>
      <c r="BY220" s="482">
        <f>SUM($AS220:BA220)</f>
        <v>0</v>
      </c>
      <c r="BZ220" s="482">
        <f>SUM($AS220:BB220)</f>
        <v>0</v>
      </c>
      <c r="CA220" s="482">
        <f>SUM($AS220:BC220)</f>
        <v>0</v>
      </c>
      <c r="CB220" s="483">
        <f>SUM($AS220:BD220)</f>
        <v>0</v>
      </c>
    </row>
    <row r="221" spans="1:80" s="471" customFormat="1" ht="12.75" hidden="1" customHeight="1">
      <c r="A221" s="471">
        <f t="shared" si="22"/>
        <v>212</v>
      </c>
      <c r="B221" s="628"/>
      <c r="C221" s="533"/>
      <c r="D221" s="533"/>
      <c r="E221" s="427"/>
      <c r="F221" s="586"/>
      <c r="G221" s="629"/>
      <c r="H221" s="582">
        <f t="shared" si="19"/>
        <v>214</v>
      </c>
      <c r="I221" s="524"/>
      <c r="J221" s="473"/>
      <c r="K221" s="473"/>
      <c r="L221" s="473"/>
      <c r="M221" s="473"/>
      <c r="N221" s="473"/>
      <c r="O221" s="473"/>
      <c r="P221" s="473"/>
      <c r="Q221" s="473"/>
      <c r="R221" s="473"/>
      <c r="S221" s="473"/>
      <c r="T221" s="474"/>
      <c r="U221" s="475"/>
      <c r="V221" s="473"/>
      <c r="W221" s="473"/>
      <c r="X221" s="473"/>
      <c r="Y221" s="473"/>
      <c r="Z221" s="473"/>
      <c r="AA221" s="473"/>
      <c r="AB221" s="473"/>
      <c r="AC221" s="473"/>
      <c r="AD221" s="473"/>
      <c r="AE221" s="473"/>
      <c r="AF221" s="473"/>
      <c r="AG221" s="510"/>
      <c r="AH221" s="495"/>
      <c r="AI221" s="495"/>
      <c r="AJ221" s="495"/>
      <c r="AK221" s="495"/>
      <c r="AL221" s="495"/>
      <c r="AM221" s="495"/>
      <c r="AN221" s="495"/>
      <c r="AO221" s="495"/>
      <c r="AP221" s="495"/>
      <c r="AQ221" s="495"/>
      <c r="AR221" s="497"/>
      <c r="AS221" s="509"/>
      <c r="AT221" s="495"/>
      <c r="AU221" s="495"/>
      <c r="AV221" s="480"/>
      <c r="AW221" s="496"/>
      <c r="AX221" s="495"/>
      <c r="AY221" s="495"/>
      <c r="AZ221" s="496"/>
      <c r="BA221" s="496"/>
      <c r="BB221" s="496"/>
      <c r="BC221" s="496"/>
      <c r="BD221" s="511"/>
      <c r="BE221" s="482">
        <f t="shared" si="23"/>
        <v>0</v>
      </c>
      <c r="BF221" s="482">
        <f>SUM($U221:V221)</f>
        <v>0</v>
      </c>
      <c r="BG221" s="482">
        <f>SUM($U221:W221)</f>
        <v>0</v>
      </c>
      <c r="BH221" s="482">
        <f>SUM($U221:X221)</f>
        <v>0</v>
      </c>
      <c r="BI221" s="482">
        <f>SUM($U221:Y221)</f>
        <v>0</v>
      </c>
      <c r="BJ221" s="482">
        <f>SUM($U221:Z221)</f>
        <v>0</v>
      </c>
      <c r="BK221" s="482">
        <f>SUM($U221:AA221)</f>
        <v>0</v>
      </c>
      <c r="BL221" s="482">
        <f>SUM($U221:AB221)</f>
        <v>0</v>
      </c>
      <c r="BM221" s="482">
        <f>SUM($U221:AC221)</f>
        <v>0</v>
      </c>
      <c r="BN221" s="482">
        <f>SUM($U221:AD221)</f>
        <v>0</v>
      </c>
      <c r="BO221" s="482">
        <f>SUM($U221:AE221)</f>
        <v>0</v>
      </c>
      <c r="BP221" s="483">
        <f>SUM($U221:AF221)</f>
        <v>0</v>
      </c>
      <c r="BQ221" s="484">
        <f t="shared" si="24"/>
        <v>0</v>
      </c>
      <c r="BR221" s="482">
        <f>SUM($AS221:AT221)</f>
        <v>0</v>
      </c>
      <c r="BS221" s="482">
        <f>SUM($AS221:AU221)</f>
        <v>0</v>
      </c>
      <c r="BT221" s="482">
        <f>SUM($AS221:AV221)</f>
        <v>0</v>
      </c>
      <c r="BU221" s="482">
        <f>SUM($AS221:AW221)</f>
        <v>0</v>
      </c>
      <c r="BV221" s="482">
        <f>SUM($AS221:AX221)</f>
        <v>0</v>
      </c>
      <c r="BW221" s="482">
        <f>SUM($AS221:AY221)</f>
        <v>0</v>
      </c>
      <c r="BX221" s="482">
        <f>SUM($AS221:AZ221)</f>
        <v>0</v>
      </c>
      <c r="BY221" s="482">
        <f>SUM($AS221:BA221)</f>
        <v>0</v>
      </c>
      <c r="BZ221" s="482">
        <f>SUM($AS221:BB221)</f>
        <v>0</v>
      </c>
      <c r="CA221" s="482">
        <f>SUM($AS221:BC221)</f>
        <v>0</v>
      </c>
      <c r="CB221" s="483">
        <f>SUM($AS221:BD221)</f>
        <v>0</v>
      </c>
    </row>
    <row r="222" spans="1:80" s="471" customFormat="1" ht="12.75" hidden="1" customHeight="1">
      <c r="A222" s="471">
        <f t="shared" si="22"/>
        <v>213</v>
      </c>
      <c r="B222" s="628"/>
      <c r="C222" s="533"/>
      <c r="D222" s="533"/>
      <c r="E222" s="427"/>
      <c r="F222" s="586"/>
      <c r="G222" s="629"/>
      <c r="H222" s="582">
        <f t="shared" si="19"/>
        <v>215</v>
      </c>
      <c r="I222" s="524"/>
      <c r="J222" s="473"/>
      <c r="K222" s="473"/>
      <c r="L222" s="473"/>
      <c r="M222" s="473"/>
      <c r="N222" s="473"/>
      <c r="O222" s="473"/>
      <c r="P222" s="473"/>
      <c r="Q222" s="473"/>
      <c r="R222" s="473"/>
      <c r="S222" s="473"/>
      <c r="T222" s="474"/>
      <c r="U222" s="475"/>
      <c r="V222" s="473"/>
      <c r="W222" s="473"/>
      <c r="X222" s="473"/>
      <c r="Y222" s="473"/>
      <c r="Z222" s="473"/>
      <c r="AA222" s="473"/>
      <c r="AB222" s="473"/>
      <c r="AC222" s="473"/>
      <c r="AD222" s="473"/>
      <c r="AE222" s="473"/>
      <c r="AF222" s="473"/>
      <c r="AG222" s="510"/>
      <c r="AH222" s="495"/>
      <c r="AI222" s="495"/>
      <c r="AJ222" s="495"/>
      <c r="AK222" s="495"/>
      <c r="AL222" s="495"/>
      <c r="AM222" s="495"/>
      <c r="AN222" s="495"/>
      <c r="AO222" s="495"/>
      <c r="AP222" s="495"/>
      <c r="AQ222" s="495"/>
      <c r="AR222" s="497"/>
      <c r="AS222" s="509"/>
      <c r="AT222" s="495"/>
      <c r="AU222" s="495"/>
      <c r="AV222" s="480"/>
      <c r="AW222" s="496"/>
      <c r="AX222" s="495"/>
      <c r="AY222" s="495"/>
      <c r="AZ222" s="496"/>
      <c r="BA222" s="496"/>
      <c r="BB222" s="496"/>
      <c r="BC222" s="496"/>
      <c r="BD222" s="511"/>
      <c r="BE222" s="482">
        <f t="shared" si="23"/>
        <v>0</v>
      </c>
      <c r="BF222" s="482">
        <f>SUM($U222:V222)</f>
        <v>0</v>
      </c>
      <c r="BG222" s="482">
        <f>SUM($U222:W222)</f>
        <v>0</v>
      </c>
      <c r="BH222" s="482">
        <f>SUM($U222:X222)</f>
        <v>0</v>
      </c>
      <c r="BI222" s="482">
        <f>SUM($U222:Y222)</f>
        <v>0</v>
      </c>
      <c r="BJ222" s="482">
        <f>SUM($U222:Z222)</f>
        <v>0</v>
      </c>
      <c r="BK222" s="482">
        <f>SUM($U222:AA222)</f>
        <v>0</v>
      </c>
      <c r="BL222" s="482">
        <f>SUM($U222:AB222)</f>
        <v>0</v>
      </c>
      <c r="BM222" s="482">
        <f>SUM($U222:AC222)</f>
        <v>0</v>
      </c>
      <c r="BN222" s="482">
        <f>SUM($U222:AD222)</f>
        <v>0</v>
      </c>
      <c r="BO222" s="482">
        <f>SUM($U222:AE222)</f>
        <v>0</v>
      </c>
      <c r="BP222" s="483">
        <f>SUM($U222:AF222)</f>
        <v>0</v>
      </c>
      <c r="BQ222" s="484">
        <f t="shared" si="24"/>
        <v>0</v>
      </c>
      <c r="BR222" s="482">
        <f>SUM($AS222:AT222)</f>
        <v>0</v>
      </c>
      <c r="BS222" s="482">
        <f>SUM($AS222:AU222)</f>
        <v>0</v>
      </c>
      <c r="BT222" s="482">
        <f>SUM($AS222:AV222)</f>
        <v>0</v>
      </c>
      <c r="BU222" s="482">
        <f>SUM($AS222:AW222)</f>
        <v>0</v>
      </c>
      <c r="BV222" s="482">
        <f>SUM($AS222:AX222)</f>
        <v>0</v>
      </c>
      <c r="BW222" s="482">
        <f>SUM($AS222:AY222)</f>
        <v>0</v>
      </c>
      <c r="BX222" s="482">
        <f>SUM($AS222:AZ222)</f>
        <v>0</v>
      </c>
      <c r="BY222" s="482">
        <f>SUM($AS222:BA222)</f>
        <v>0</v>
      </c>
      <c r="BZ222" s="482">
        <f>SUM($AS222:BB222)</f>
        <v>0</v>
      </c>
      <c r="CA222" s="482">
        <f>SUM($AS222:BC222)</f>
        <v>0</v>
      </c>
      <c r="CB222" s="483">
        <f>SUM($AS222:BD222)</f>
        <v>0</v>
      </c>
    </row>
    <row r="223" spans="1:80" s="471" customFormat="1" ht="12.75" hidden="1" customHeight="1">
      <c r="A223" s="471">
        <f t="shared" si="22"/>
        <v>214</v>
      </c>
      <c r="B223" s="628"/>
      <c r="C223" s="533"/>
      <c r="D223" s="533"/>
      <c r="E223" s="427"/>
      <c r="F223" s="586"/>
      <c r="G223" s="629"/>
      <c r="H223" s="582">
        <f t="shared" si="19"/>
        <v>216</v>
      </c>
      <c r="I223" s="524"/>
      <c r="J223" s="473"/>
      <c r="K223" s="473"/>
      <c r="L223" s="473"/>
      <c r="M223" s="473"/>
      <c r="N223" s="473"/>
      <c r="O223" s="473"/>
      <c r="P223" s="473"/>
      <c r="Q223" s="473"/>
      <c r="R223" s="473"/>
      <c r="S223" s="473"/>
      <c r="T223" s="474"/>
      <c r="U223" s="475"/>
      <c r="V223" s="473"/>
      <c r="W223" s="473"/>
      <c r="X223" s="473"/>
      <c r="Y223" s="473"/>
      <c r="Z223" s="473"/>
      <c r="AA223" s="473"/>
      <c r="AB223" s="473"/>
      <c r="AC223" s="473"/>
      <c r="AD223" s="473"/>
      <c r="AE223" s="473"/>
      <c r="AF223" s="473"/>
      <c r="AG223" s="510"/>
      <c r="AH223" s="495"/>
      <c r="AI223" s="495"/>
      <c r="AJ223" s="495"/>
      <c r="AK223" s="495"/>
      <c r="AL223" s="495"/>
      <c r="AM223" s="495"/>
      <c r="AN223" s="495"/>
      <c r="AO223" s="495"/>
      <c r="AP223" s="495"/>
      <c r="AQ223" s="495"/>
      <c r="AR223" s="497"/>
      <c r="AS223" s="509"/>
      <c r="AT223" s="495"/>
      <c r="AU223" s="495"/>
      <c r="AV223" s="480"/>
      <c r="AW223" s="496"/>
      <c r="AX223" s="495"/>
      <c r="AY223" s="495"/>
      <c r="AZ223" s="496"/>
      <c r="BA223" s="496"/>
      <c r="BB223" s="496"/>
      <c r="BC223" s="496"/>
      <c r="BD223" s="511"/>
      <c r="BE223" s="482">
        <f t="shared" si="23"/>
        <v>0</v>
      </c>
      <c r="BF223" s="482">
        <f>SUM($U223:V223)</f>
        <v>0</v>
      </c>
      <c r="BG223" s="482">
        <f>SUM($U223:W223)</f>
        <v>0</v>
      </c>
      <c r="BH223" s="482">
        <f>SUM($U223:X223)</f>
        <v>0</v>
      </c>
      <c r="BI223" s="482">
        <f>SUM($U223:Y223)</f>
        <v>0</v>
      </c>
      <c r="BJ223" s="482">
        <f>SUM($U223:Z223)</f>
        <v>0</v>
      </c>
      <c r="BK223" s="482">
        <f>SUM($U223:AA223)</f>
        <v>0</v>
      </c>
      <c r="BL223" s="482">
        <f>SUM($U223:AB223)</f>
        <v>0</v>
      </c>
      <c r="BM223" s="482">
        <f>SUM($U223:AC223)</f>
        <v>0</v>
      </c>
      <c r="BN223" s="482">
        <f>SUM($U223:AD223)</f>
        <v>0</v>
      </c>
      <c r="BO223" s="482">
        <f>SUM($U223:AE223)</f>
        <v>0</v>
      </c>
      <c r="BP223" s="483">
        <f>SUM($U223:AF223)</f>
        <v>0</v>
      </c>
      <c r="BQ223" s="484">
        <f t="shared" si="24"/>
        <v>0</v>
      </c>
      <c r="BR223" s="482">
        <f>SUM($AS223:AT223)</f>
        <v>0</v>
      </c>
      <c r="BS223" s="482">
        <f>SUM($AS223:AU223)</f>
        <v>0</v>
      </c>
      <c r="BT223" s="482">
        <f>SUM($AS223:AV223)</f>
        <v>0</v>
      </c>
      <c r="BU223" s="482">
        <f>SUM($AS223:AW223)</f>
        <v>0</v>
      </c>
      <c r="BV223" s="482">
        <f>SUM($AS223:AX223)</f>
        <v>0</v>
      </c>
      <c r="BW223" s="482">
        <f>SUM($AS223:AY223)</f>
        <v>0</v>
      </c>
      <c r="BX223" s="482">
        <f>SUM($AS223:AZ223)</f>
        <v>0</v>
      </c>
      <c r="BY223" s="482">
        <f>SUM($AS223:BA223)</f>
        <v>0</v>
      </c>
      <c r="BZ223" s="482">
        <f>SUM($AS223:BB223)</f>
        <v>0</v>
      </c>
      <c r="CA223" s="482">
        <f>SUM($AS223:BC223)</f>
        <v>0</v>
      </c>
      <c r="CB223" s="483">
        <f>SUM($AS223:BD223)</f>
        <v>0</v>
      </c>
    </row>
    <row r="224" spans="1:80" s="471" customFormat="1" ht="12.75" hidden="1" customHeight="1">
      <c r="A224" s="471">
        <f t="shared" si="22"/>
        <v>215</v>
      </c>
      <c r="B224" s="628"/>
      <c r="C224" s="533"/>
      <c r="D224" s="533"/>
      <c r="E224" s="427"/>
      <c r="F224" s="586"/>
      <c r="G224" s="629"/>
      <c r="H224" s="582">
        <f t="shared" si="19"/>
        <v>217</v>
      </c>
      <c r="I224" s="524"/>
      <c r="J224" s="473"/>
      <c r="K224" s="473"/>
      <c r="L224" s="473"/>
      <c r="M224" s="473"/>
      <c r="N224" s="473"/>
      <c r="O224" s="473"/>
      <c r="P224" s="473"/>
      <c r="Q224" s="473"/>
      <c r="R224" s="473"/>
      <c r="S224" s="473"/>
      <c r="T224" s="474"/>
      <c r="U224" s="475"/>
      <c r="V224" s="473"/>
      <c r="W224" s="473"/>
      <c r="X224" s="473"/>
      <c r="Y224" s="473"/>
      <c r="Z224" s="473"/>
      <c r="AA224" s="473"/>
      <c r="AB224" s="473"/>
      <c r="AC224" s="473"/>
      <c r="AD224" s="473"/>
      <c r="AE224" s="473"/>
      <c r="AF224" s="473"/>
      <c r="AG224" s="510"/>
      <c r="AH224" s="495"/>
      <c r="AI224" s="495"/>
      <c r="AJ224" s="495"/>
      <c r="AK224" s="495"/>
      <c r="AL224" s="495"/>
      <c r="AM224" s="495"/>
      <c r="AN224" s="495"/>
      <c r="AO224" s="495"/>
      <c r="AP224" s="495"/>
      <c r="AQ224" s="495"/>
      <c r="AR224" s="497"/>
      <c r="AS224" s="509"/>
      <c r="AT224" s="495"/>
      <c r="AU224" s="495"/>
      <c r="AV224" s="480"/>
      <c r="AW224" s="496"/>
      <c r="AX224" s="495"/>
      <c r="AY224" s="495"/>
      <c r="AZ224" s="496"/>
      <c r="BA224" s="496"/>
      <c r="BB224" s="496"/>
      <c r="BC224" s="496"/>
      <c r="BD224" s="511"/>
      <c r="BE224" s="482">
        <f t="shared" si="23"/>
        <v>0</v>
      </c>
      <c r="BF224" s="482">
        <f>SUM($U224:V224)</f>
        <v>0</v>
      </c>
      <c r="BG224" s="482">
        <f>SUM($U224:W224)</f>
        <v>0</v>
      </c>
      <c r="BH224" s="482">
        <f>SUM($U224:X224)</f>
        <v>0</v>
      </c>
      <c r="BI224" s="482">
        <f>SUM($U224:Y224)</f>
        <v>0</v>
      </c>
      <c r="BJ224" s="482">
        <f>SUM($U224:Z224)</f>
        <v>0</v>
      </c>
      <c r="BK224" s="482">
        <f>SUM($U224:AA224)</f>
        <v>0</v>
      </c>
      <c r="BL224" s="482">
        <f>SUM($U224:AB224)</f>
        <v>0</v>
      </c>
      <c r="BM224" s="482">
        <f>SUM($U224:AC224)</f>
        <v>0</v>
      </c>
      <c r="BN224" s="482">
        <f>SUM($U224:AD224)</f>
        <v>0</v>
      </c>
      <c r="BO224" s="482">
        <f>SUM($U224:AE224)</f>
        <v>0</v>
      </c>
      <c r="BP224" s="483">
        <f>SUM($U224:AF224)</f>
        <v>0</v>
      </c>
      <c r="BQ224" s="484">
        <f t="shared" si="24"/>
        <v>0</v>
      </c>
      <c r="BR224" s="482">
        <f>SUM($AS224:AT224)</f>
        <v>0</v>
      </c>
      <c r="BS224" s="482">
        <f>SUM($AS224:AU224)</f>
        <v>0</v>
      </c>
      <c r="BT224" s="482">
        <f>SUM($AS224:AV224)</f>
        <v>0</v>
      </c>
      <c r="BU224" s="482">
        <f>SUM($AS224:AW224)</f>
        <v>0</v>
      </c>
      <c r="BV224" s="482">
        <f>SUM($AS224:AX224)</f>
        <v>0</v>
      </c>
      <c r="BW224" s="482">
        <f>SUM($AS224:AY224)</f>
        <v>0</v>
      </c>
      <c r="BX224" s="482">
        <f>SUM($AS224:AZ224)</f>
        <v>0</v>
      </c>
      <c r="BY224" s="482">
        <f>SUM($AS224:BA224)</f>
        <v>0</v>
      </c>
      <c r="BZ224" s="482">
        <f>SUM($AS224:BB224)</f>
        <v>0</v>
      </c>
      <c r="CA224" s="482">
        <f>SUM($AS224:BC224)</f>
        <v>0</v>
      </c>
      <c r="CB224" s="483">
        <f>SUM($AS224:BD224)</f>
        <v>0</v>
      </c>
    </row>
    <row r="225" spans="1:80" s="471" customFormat="1" ht="12.75" hidden="1" customHeight="1">
      <c r="A225" s="471">
        <f t="shared" si="22"/>
        <v>216</v>
      </c>
      <c r="B225" s="628"/>
      <c r="C225" s="533"/>
      <c r="D225" s="533"/>
      <c r="E225" s="427"/>
      <c r="F225" s="586"/>
      <c r="G225" s="629"/>
      <c r="H225" s="582">
        <f t="shared" si="19"/>
        <v>218</v>
      </c>
      <c r="I225" s="524"/>
      <c r="J225" s="473"/>
      <c r="K225" s="473"/>
      <c r="L225" s="473"/>
      <c r="M225" s="473"/>
      <c r="N225" s="473"/>
      <c r="O225" s="473"/>
      <c r="P225" s="473"/>
      <c r="Q225" s="473"/>
      <c r="R225" s="473"/>
      <c r="S225" s="473"/>
      <c r="T225" s="474"/>
      <c r="U225" s="475"/>
      <c r="V225" s="473"/>
      <c r="W225" s="473"/>
      <c r="X225" s="473"/>
      <c r="Y225" s="473"/>
      <c r="Z225" s="473"/>
      <c r="AA225" s="473"/>
      <c r="AB225" s="473"/>
      <c r="AC225" s="473"/>
      <c r="AD225" s="473"/>
      <c r="AE225" s="473"/>
      <c r="AF225" s="473"/>
      <c r="AG225" s="510"/>
      <c r="AH225" s="495"/>
      <c r="AI225" s="495"/>
      <c r="AJ225" s="495"/>
      <c r="AK225" s="495"/>
      <c r="AL225" s="495"/>
      <c r="AM225" s="495"/>
      <c r="AN225" s="495"/>
      <c r="AO225" s="495"/>
      <c r="AP225" s="495"/>
      <c r="AQ225" s="495"/>
      <c r="AR225" s="497"/>
      <c r="AS225" s="509"/>
      <c r="AT225" s="495"/>
      <c r="AU225" s="495"/>
      <c r="AV225" s="480"/>
      <c r="AW225" s="496"/>
      <c r="AX225" s="495"/>
      <c r="AY225" s="495"/>
      <c r="AZ225" s="496"/>
      <c r="BA225" s="496"/>
      <c r="BB225" s="496"/>
      <c r="BC225" s="496"/>
      <c r="BD225" s="511"/>
      <c r="BE225" s="482">
        <f t="shared" si="23"/>
        <v>0</v>
      </c>
      <c r="BF225" s="482">
        <f>SUM($U225:V225)</f>
        <v>0</v>
      </c>
      <c r="BG225" s="482">
        <f>SUM($U225:W225)</f>
        <v>0</v>
      </c>
      <c r="BH225" s="482">
        <f>SUM($U225:X225)</f>
        <v>0</v>
      </c>
      <c r="BI225" s="482">
        <f>SUM($U225:Y225)</f>
        <v>0</v>
      </c>
      <c r="BJ225" s="482">
        <f>SUM($U225:Z225)</f>
        <v>0</v>
      </c>
      <c r="BK225" s="482">
        <f>SUM($U225:AA225)</f>
        <v>0</v>
      </c>
      <c r="BL225" s="482">
        <f>SUM($U225:AB225)</f>
        <v>0</v>
      </c>
      <c r="BM225" s="482">
        <f>SUM($U225:AC225)</f>
        <v>0</v>
      </c>
      <c r="BN225" s="482">
        <f>SUM($U225:AD225)</f>
        <v>0</v>
      </c>
      <c r="BO225" s="482">
        <f>SUM($U225:AE225)</f>
        <v>0</v>
      </c>
      <c r="BP225" s="483">
        <f>SUM($U225:AF225)</f>
        <v>0</v>
      </c>
      <c r="BQ225" s="484">
        <f t="shared" si="24"/>
        <v>0</v>
      </c>
      <c r="BR225" s="482">
        <f>SUM($AS225:AT225)</f>
        <v>0</v>
      </c>
      <c r="BS225" s="482">
        <f>SUM($AS225:AU225)</f>
        <v>0</v>
      </c>
      <c r="BT225" s="482">
        <f>SUM($AS225:AV225)</f>
        <v>0</v>
      </c>
      <c r="BU225" s="482">
        <f>SUM($AS225:AW225)</f>
        <v>0</v>
      </c>
      <c r="BV225" s="482">
        <f>SUM($AS225:AX225)</f>
        <v>0</v>
      </c>
      <c r="BW225" s="482">
        <f>SUM($AS225:AY225)</f>
        <v>0</v>
      </c>
      <c r="BX225" s="482">
        <f>SUM($AS225:AZ225)</f>
        <v>0</v>
      </c>
      <c r="BY225" s="482">
        <f>SUM($AS225:BA225)</f>
        <v>0</v>
      </c>
      <c r="BZ225" s="482">
        <f>SUM($AS225:BB225)</f>
        <v>0</v>
      </c>
      <c r="CA225" s="482">
        <f>SUM($AS225:BC225)</f>
        <v>0</v>
      </c>
      <c r="CB225" s="483">
        <f>SUM($AS225:BD225)</f>
        <v>0</v>
      </c>
    </row>
    <row r="226" spans="1:80" s="471" customFormat="1" ht="12.75" hidden="1" customHeight="1">
      <c r="A226" s="471">
        <f t="shared" si="22"/>
        <v>217</v>
      </c>
      <c r="B226" s="628"/>
      <c r="C226" s="533"/>
      <c r="D226" s="533"/>
      <c r="E226" s="427"/>
      <c r="F226" s="586"/>
      <c r="G226" s="629"/>
      <c r="H226" s="582">
        <f t="shared" si="19"/>
        <v>219</v>
      </c>
      <c r="I226" s="524"/>
      <c r="J226" s="473"/>
      <c r="K226" s="473"/>
      <c r="L226" s="473"/>
      <c r="M226" s="473"/>
      <c r="N226" s="473"/>
      <c r="O226" s="473"/>
      <c r="P226" s="473"/>
      <c r="Q226" s="473"/>
      <c r="R226" s="473"/>
      <c r="S226" s="473"/>
      <c r="T226" s="474"/>
      <c r="U226" s="475"/>
      <c r="V226" s="473"/>
      <c r="W226" s="473"/>
      <c r="X226" s="473"/>
      <c r="Y226" s="473"/>
      <c r="Z226" s="473"/>
      <c r="AA226" s="473"/>
      <c r="AB226" s="473"/>
      <c r="AC226" s="473"/>
      <c r="AD226" s="473"/>
      <c r="AE226" s="473"/>
      <c r="AF226" s="473"/>
      <c r="AG226" s="510"/>
      <c r="AH226" s="495"/>
      <c r="AI226" s="495"/>
      <c r="AJ226" s="495"/>
      <c r="AK226" s="495"/>
      <c r="AL226" s="495"/>
      <c r="AM226" s="495"/>
      <c r="AN226" s="495"/>
      <c r="AO226" s="495"/>
      <c r="AP226" s="495"/>
      <c r="AQ226" s="495"/>
      <c r="AR226" s="497"/>
      <c r="AS226" s="509"/>
      <c r="AT226" s="495"/>
      <c r="AU226" s="495"/>
      <c r="AV226" s="480"/>
      <c r="AW226" s="496"/>
      <c r="AX226" s="495"/>
      <c r="AY226" s="495"/>
      <c r="AZ226" s="496"/>
      <c r="BA226" s="496"/>
      <c r="BB226" s="496"/>
      <c r="BC226" s="496"/>
      <c r="BD226" s="511"/>
      <c r="BE226" s="482">
        <f t="shared" si="23"/>
        <v>0</v>
      </c>
      <c r="BF226" s="482">
        <f>SUM($U226:V226)</f>
        <v>0</v>
      </c>
      <c r="BG226" s="482">
        <f>SUM($U226:W226)</f>
        <v>0</v>
      </c>
      <c r="BH226" s="482">
        <f>SUM($U226:X226)</f>
        <v>0</v>
      </c>
      <c r="BI226" s="482">
        <f>SUM($U226:Y226)</f>
        <v>0</v>
      </c>
      <c r="BJ226" s="482">
        <f>SUM($U226:Z226)</f>
        <v>0</v>
      </c>
      <c r="BK226" s="482">
        <f>SUM($U226:AA226)</f>
        <v>0</v>
      </c>
      <c r="BL226" s="482">
        <f>SUM($U226:AB226)</f>
        <v>0</v>
      </c>
      <c r="BM226" s="482">
        <f>SUM($U226:AC226)</f>
        <v>0</v>
      </c>
      <c r="BN226" s="482">
        <f>SUM($U226:AD226)</f>
        <v>0</v>
      </c>
      <c r="BO226" s="482">
        <f>SUM($U226:AE226)</f>
        <v>0</v>
      </c>
      <c r="BP226" s="483">
        <f>SUM($U226:AF226)</f>
        <v>0</v>
      </c>
      <c r="BQ226" s="484">
        <f t="shared" si="24"/>
        <v>0</v>
      </c>
      <c r="BR226" s="482">
        <f>SUM($AS226:AT226)</f>
        <v>0</v>
      </c>
      <c r="BS226" s="482">
        <f>SUM($AS226:AU226)</f>
        <v>0</v>
      </c>
      <c r="BT226" s="482">
        <f>SUM($AS226:AV226)</f>
        <v>0</v>
      </c>
      <c r="BU226" s="482">
        <f>SUM($AS226:AW226)</f>
        <v>0</v>
      </c>
      <c r="BV226" s="482">
        <f>SUM($AS226:AX226)</f>
        <v>0</v>
      </c>
      <c r="BW226" s="482">
        <f>SUM($AS226:AY226)</f>
        <v>0</v>
      </c>
      <c r="BX226" s="482">
        <f>SUM($AS226:AZ226)</f>
        <v>0</v>
      </c>
      <c r="BY226" s="482">
        <f>SUM($AS226:BA226)</f>
        <v>0</v>
      </c>
      <c r="BZ226" s="482">
        <f>SUM($AS226:BB226)</f>
        <v>0</v>
      </c>
      <c r="CA226" s="482">
        <f>SUM($AS226:BC226)</f>
        <v>0</v>
      </c>
      <c r="CB226" s="483">
        <f>SUM($AS226:BD226)</f>
        <v>0</v>
      </c>
    </row>
    <row r="227" spans="1:80" s="471" customFormat="1" ht="12.75" hidden="1" customHeight="1">
      <c r="A227" s="471">
        <f t="shared" si="22"/>
        <v>218</v>
      </c>
      <c r="B227" s="628"/>
      <c r="C227" s="533"/>
      <c r="D227" s="533"/>
      <c r="E227" s="427"/>
      <c r="F227" s="586"/>
      <c r="G227" s="629"/>
      <c r="H227" s="582">
        <f t="shared" si="19"/>
        <v>220</v>
      </c>
      <c r="I227" s="524"/>
      <c r="J227" s="473"/>
      <c r="K227" s="473"/>
      <c r="L227" s="473"/>
      <c r="M227" s="473"/>
      <c r="N227" s="473"/>
      <c r="O227" s="473"/>
      <c r="P227" s="473"/>
      <c r="Q227" s="473"/>
      <c r="R227" s="473"/>
      <c r="S227" s="473"/>
      <c r="T227" s="474"/>
      <c r="U227" s="475"/>
      <c r="V227" s="473"/>
      <c r="W227" s="473"/>
      <c r="X227" s="473"/>
      <c r="Y227" s="473"/>
      <c r="Z227" s="473"/>
      <c r="AA227" s="473"/>
      <c r="AB227" s="473"/>
      <c r="AC227" s="473"/>
      <c r="AD227" s="473"/>
      <c r="AE227" s="473"/>
      <c r="AF227" s="473"/>
      <c r="AG227" s="510"/>
      <c r="AH227" s="495"/>
      <c r="AI227" s="495"/>
      <c r="AJ227" s="495"/>
      <c r="AK227" s="495"/>
      <c r="AL227" s="495"/>
      <c r="AM227" s="495"/>
      <c r="AN227" s="495"/>
      <c r="AO227" s="495"/>
      <c r="AP227" s="495"/>
      <c r="AQ227" s="495"/>
      <c r="AR227" s="497"/>
      <c r="AS227" s="509"/>
      <c r="AT227" s="495"/>
      <c r="AU227" s="495"/>
      <c r="AV227" s="480"/>
      <c r="AW227" s="496"/>
      <c r="AX227" s="495"/>
      <c r="AY227" s="495"/>
      <c r="AZ227" s="496"/>
      <c r="BA227" s="496"/>
      <c r="BB227" s="496"/>
      <c r="BC227" s="496"/>
      <c r="BD227" s="511"/>
      <c r="BE227" s="482">
        <f t="shared" si="23"/>
        <v>0</v>
      </c>
      <c r="BF227" s="482">
        <f>SUM($U227:V227)</f>
        <v>0</v>
      </c>
      <c r="BG227" s="482">
        <f>SUM($U227:W227)</f>
        <v>0</v>
      </c>
      <c r="BH227" s="482">
        <f>SUM($U227:X227)</f>
        <v>0</v>
      </c>
      <c r="BI227" s="482">
        <f>SUM($U227:Y227)</f>
        <v>0</v>
      </c>
      <c r="BJ227" s="482">
        <f>SUM($U227:Z227)</f>
        <v>0</v>
      </c>
      <c r="BK227" s="482">
        <f>SUM($U227:AA227)</f>
        <v>0</v>
      </c>
      <c r="BL227" s="482">
        <f>SUM($U227:AB227)</f>
        <v>0</v>
      </c>
      <c r="BM227" s="482">
        <f>SUM($U227:AC227)</f>
        <v>0</v>
      </c>
      <c r="BN227" s="482">
        <f>SUM($U227:AD227)</f>
        <v>0</v>
      </c>
      <c r="BO227" s="482">
        <f>SUM($U227:AE227)</f>
        <v>0</v>
      </c>
      <c r="BP227" s="483">
        <f>SUM($U227:AF227)</f>
        <v>0</v>
      </c>
      <c r="BQ227" s="484">
        <f t="shared" si="24"/>
        <v>0</v>
      </c>
      <c r="BR227" s="482">
        <f>SUM($AS227:AT227)</f>
        <v>0</v>
      </c>
      <c r="BS227" s="482">
        <f>SUM($AS227:AU227)</f>
        <v>0</v>
      </c>
      <c r="BT227" s="482">
        <f>SUM($AS227:AV227)</f>
        <v>0</v>
      </c>
      <c r="BU227" s="482">
        <f>SUM($AS227:AW227)</f>
        <v>0</v>
      </c>
      <c r="BV227" s="482">
        <f>SUM($AS227:AX227)</f>
        <v>0</v>
      </c>
      <c r="BW227" s="482">
        <f>SUM($AS227:AY227)</f>
        <v>0</v>
      </c>
      <c r="BX227" s="482">
        <f>SUM($AS227:AZ227)</f>
        <v>0</v>
      </c>
      <c r="BY227" s="482">
        <f>SUM($AS227:BA227)</f>
        <v>0</v>
      </c>
      <c r="BZ227" s="482">
        <f>SUM($AS227:BB227)</f>
        <v>0</v>
      </c>
      <c r="CA227" s="482">
        <f>SUM($AS227:BC227)</f>
        <v>0</v>
      </c>
      <c r="CB227" s="483">
        <f>SUM($AS227:BD227)</f>
        <v>0</v>
      </c>
    </row>
    <row r="228" spans="1:80" s="471" customFormat="1" ht="12.75" hidden="1" customHeight="1">
      <c r="A228" s="471">
        <f t="shared" si="22"/>
        <v>219</v>
      </c>
      <c r="B228" s="628"/>
      <c r="C228" s="533"/>
      <c r="D228" s="533"/>
      <c r="E228" s="427"/>
      <c r="F228" s="586"/>
      <c r="G228" s="629"/>
      <c r="H228" s="582">
        <f t="shared" si="19"/>
        <v>221</v>
      </c>
      <c r="I228" s="524"/>
      <c r="J228" s="473"/>
      <c r="K228" s="473"/>
      <c r="L228" s="473"/>
      <c r="M228" s="473"/>
      <c r="N228" s="473"/>
      <c r="O228" s="473"/>
      <c r="P228" s="473"/>
      <c r="Q228" s="473"/>
      <c r="R228" s="473"/>
      <c r="S228" s="473"/>
      <c r="T228" s="474"/>
      <c r="U228" s="475"/>
      <c r="V228" s="473"/>
      <c r="W228" s="473"/>
      <c r="X228" s="473"/>
      <c r="Y228" s="473"/>
      <c r="Z228" s="473"/>
      <c r="AA228" s="473"/>
      <c r="AB228" s="473"/>
      <c r="AC228" s="473"/>
      <c r="AD228" s="473"/>
      <c r="AE228" s="473"/>
      <c r="AF228" s="473"/>
      <c r="AG228" s="510"/>
      <c r="AH228" s="495"/>
      <c r="AI228" s="495"/>
      <c r="AJ228" s="495"/>
      <c r="AK228" s="495"/>
      <c r="AL228" s="495"/>
      <c r="AM228" s="495"/>
      <c r="AN228" s="495"/>
      <c r="AO228" s="495"/>
      <c r="AP228" s="495"/>
      <c r="AQ228" s="495"/>
      <c r="AR228" s="497"/>
      <c r="AS228" s="509"/>
      <c r="AT228" s="495"/>
      <c r="AU228" s="495"/>
      <c r="AV228" s="480"/>
      <c r="AW228" s="496"/>
      <c r="AX228" s="495"/>
      <c r="AY228" s="495"/>
      <c r="AZ228" s="496"/>
      <c r="BA228" s="496"/>
      <c r="BB228" s="496"/>
      <c r="BC228" s="496"/>
      <c r="BD228" s="511"/>
      <c r="BE228" s="482">
        <f t="shared" si="23"/>
        <v>0</v>
      </c>
      <c r="BF228" s="482">
        <f>SUM($U228:V228)</f>
        <v>0</v>
      </c>
      <c r="BG228" s="482">
        <f>SUM($U228:W228)</f>
        <v>0</v>
      </c>
      <c r="BH228" s="482">
        <f>SUM($U228:X228)</f>
        <v>0</v>
      </c>
      <c r="BI228" s="482">
        <f>SUM($U228:Y228)</f>
        <v>0</v>
      </c>
      <c r="BJ228" s="482">
        <f>SUM($U228:Z228)</f>
        <v>0</v>
      </c>
      <c r="BK228" s="482">
        <f>SUM($U228:AA228)</f>
        <v>0</v>
      </c>
      <c r="BL228" s="482">
        <f>SUM($U228:AB228)</f>
        <v>0</v>
      </c>
      <c r="BM228" s="482">
        <f>SUM($U228:AC228)</f>
        <v>0</v>
      </c>
      <c r="BN228" s="482">
        <f>SUM($U228:AD228)</f>
        <v>0</v>
      </c>
      <c r="BO228" s="482">
        <f>SUM($U228:AE228)</f>
        <v>0</v>
      </c>
      <c r="BP228" s="483">
        <f>SUM($U228:AF228)</f>
        <v>0</v>
      </c>
      <c r="BQ228" s="484">
        <f t="shared" si="24"/>
        <v>0</v>
      </c>
      <c r="BR228" s="482">
        <f>SUM($AS228:AT228)</f>
        <v>0</v>
      </c>
      <c r="BS228" s="482">
        <f>SUM($AS228:AU228)</f>
        <v>0</v>
      </c>
      <c r="BT228" s="482">
        <f>SUM($AS228:AV228)</f>
        <v>0</v>
      </c>
      <c r="BU228" s="482">
        <f>SUM($AS228:AW228)</f>
        <v>0</v>
      </c>
      <c r="BV228" s="482">
        <f>SUM($AS228:AX228)</f>
        <v>0</v>
      </c>
      <c r="BW228" s="482">
        <f>SUM($AS228:AY228)</f>
        <v>0</v>
      </c>
      <c r="BX228" s="482">
        <f>SUM($AS228:AZ228)</f>
        <v>0</v>
      </c>
      <c r="BY228" s="482">
        <f>SUM($AS228:BA228)</f>
        <v>0</v>
      </c>
      <c r="BZ228" s="482">
        <f>SUM($AS228:BB228)</f>
        <v>0</v>
      </c>
      <c r="CA228" s="482">
        <f>SUM($AS228:BC228)</f>
        <v>0</v>
      </c>
      <c r="CB228" s="483">
        <f>SUM($AS228:BD228)</f>
        <v>0</v>
      </c>
    </row>
    <row r="229" spans="1:80" s="471" customFormat="1" ht="12.75" hidden="1" customHeight="1">
      <c r="A229" s="471">
        <f t="shared" si="22"/>
        <v>220</v>
      </c>
      <c r="B229" s="628"/>
      <c r="C229" s="533"/>
      <c r="D229" s="533"/>
      <c r="E229" s="427"/>
      <c r="F229" s="586"/>
      <c r="G229" s="629"/>
      <c r="H229" s="582">
        <f t="shared" si="19"/>
        <v>222</v>
      </c>
      <c r="I229" s="524"/>
      <c r="J229" s="473"/>
      <c r="K229" s="473"/>
      <c r="L229" s="473"/>
      <c r="M229" s="473"/>
      <c r="N229" s="473"/>
      <c r="O229" s="473"/>
      <c r="P229" s="473"/>
      <c r="Q229" s="473"/>
      <c r="R229" s="473"/>
      <c r="S229" s="473"/>
      <c r="T229" s="474"/>
      <c r="U229" s="475"/>
      <c r="V229" s="473"/>
      <c r="W229" s="473"/>
      <c r="X229" s="473"/>
      <c r="Y229" s="473"/>
      <c r="Z229" s="473"/>
      <c r="AA229" s="473"/>
      <c r="AB229" s="473"/>
      <c r="AC229" s="473"/>
      <c r="AD229" s="473"/>
      <c r="AE229" s="473"/>
      <c r="AF229" s="473"/>
      <c r="AG229" s="510"/>
      <c r="AH229" s="495"/>
      <c r="AI229" s="495"/>
      <c r="AJ229" s="495"/>
      <c r="AK229" s="495"/>
      <c r="AL229" s="495"/>
      <c r="AM229" s="495"/>
      <c r="AN229" s="495"/>
      <c r="AO229" s="495"/>
      <c r="AP229" s="495"/>
      <c r="AQ229" s="495"/>
      <c r="AR229" s="497"/>
      <c r="AS229" s="509"/>
      <c r="AT229" s="495"/>
      <c r="AU229" s="495"/>
      <c r="AV229" s="480"/>
      <c r="AW229" s="496"/>
      <c r="AX229" s="495"/>
      <c r="AY229" s="495"/>
      <c r="AZ229" s="496"/>
      <c r="BA229" s="496"/>
      <c r="BB229" s="496"/>
      <c r="BC229" s="496"/>
      <c r="BD229" s="511"/>
      <c r="BE229" s="482">
        <f t="shared" si="23"/>
        <v>0</v>
      </c>
      <c r="BF229" s="482">
        <f>SUM($U229:V229)</f>
        <v>0</v>
      </c>
      <c r="BG229" s="482">
        <f>SUM($U229:W229)</f>
        <v>0</v>
      </c>
      <c r="BH229" s="482">
        <f>SUM($U229:X229)</f>
        <v>0</v>
      </c>
      <c r="BI229" s="482">
        <f>SUM($U229:Y229)</f>
        <v>0</v>
      </c>
      <c r="BJ229" s="482">
        <f>SUM($U229:Z229)</f>
        <v>0</v>
      </c>
      <c r="BK229" s="482">
        <f>SUM($U229:AA229)</f>
        <v>0</v>
      </c>
      <c r="BL229" s="482">
        <f>SUM($U229:AB229)</f>
        <v>0</v>
      </c>
      <c r="BM229" s="482">
        <f>SUM($U229:AC229)</f>
        <v>0</v>
      </c>
      <c r="BN229" s="482">
        <f>SUM($U229:AD229)</f>
        <v>0</v>
      </c>
      <c r="BO229" s="482">
        <f>SUM($U229:AE229)</f>
        <v>0</v>
      </c>
      <c r="BP229" s="483">
        <f>SUM($U229:AF229)</f>
        <v>0</v>
      </c>
      <c r="BQ229" s="484">
        <f t="shared" si="24"/>
        <v>0</v>
      </c>
      <c r="BR229" s="482">
        <f>SUM($AS229:AT229)</f>
        <v>0</v>
      </c>
      <c r="BS229" s="482">
        <f>SUM($AS229:AU229)</f>
        <v>0</v>
      </c>
      <c r="BT229" s="482">
        <f>SUM($AS229:AV229)</f>
        <v>0</v>
      </c>
      <c r="BU229" s="482">
        <f>SUM($AS229:AW229)</f>
        <v>0</v>
      </c>
      <c r="BV229" s="482">
        <f>SUM($AS229:AX229)</f>
        <v>0</v>
      </c>
      <c r="BW229" s="482">
        <f>SUM($AS229:AY229)</f>
        <v>0</v>
      </c>
      <c r="BX229" s="482">
        <f>SUM($AS229:AZ229)</f>
        <v>0</v>
      </c>
      <c r="BY229" s="482">
        <f>SUM($AS229:BA229)</f>
        <v>0</v>
      </c>
      <c r="BZ229" s="482">
        <f>SUM($AS229:BB229)</f>
        <v>0</v>
      </c>
      <c r="CA229" s="482">
        <f>SUM($AS229:BC229)</f>
        <v>0</v>
      </c>
      <c r="CB229" s="483">
        <f>SUM($AS229:BD229)</f>
        <v>0</v>
      </c>
    </row>
    <row r="230" spans="1:80" s="471" customFormat="1" ht="12.75" hidden="1" customHeight="1">
      <c r="A230" s="471">
        <f t="shared" si="22"/>
        <v>221</v>
      </c>
      <c r="B230" s="628"/>
      <c r="C230" s="533"/>
      <c r="D230" s="533"/>
      <c r="E230" s="427"/>
      <c r="F230" s="586"/>
      <c r="G230" s="629"/>
      <c r="H230" s="582">
        <f t="shared" ref="H230:H293" si="25">1+H229</f>
        <v>223</v>
      </c>
      <c r="I230" s="524"/>
      <c r="J230" s="473"/>
      <c r="K230" s="473"/>
      <c r="L230" s="473"/>
      <c r="M230" s="473"/>
      <c r="N230" s="473"/>
      <c r="O230" s="473"/>
      <c r="P230" s="473"/>
      <c r="Q230" s="473"/>
      <c r="R230" s="473"/>
      <c r="S230" s="473"/>
      <c r="T230" s="474"/>
      <c r="U230" s="475"/>
      <c r="V230" s="473"/>
      <c r="W230" s="473"/>
      <c r="X230" s="473"/>
      <c r="Y230" s="473"/>
      <c r="Z230" s="473"/>
      <c r="AA230" s="473"/>
      <c r="AB230" s="473"/>
      <c r="AC230" s="473"/>
      <c r="AD230" s="473"/>
      <c r="AE230" s="473"/>
      <c r="AF230" s="473"/>
      <c r="AG230" s="510"/>
      <c r="AH230" s="495"/>
      <c r="AI230" s="495"/>
      <c r="AJ230" s="495"/>
      <c r="AK230" s="495"/>
      <c r="AL230" s="495"/>
      <c r="AM230" s="495"/>
      <c r="AN230" s="495"/>
      <c r="AO230" s="495"/>
      <c r="AP230" s="495"/>
      <c r="AQ230" s="495"/>
      <c r="AR230" s="497"/>
      <c r="AS230" s="509"/>
      <c r="AT230" s="495"/>
      <c r="AU230" s="495"/>
      <c r="AV230" s="480"/>
      <c r="AW230" s="496"/>
      <c r="AX230" s="495"/>
      <c r="AY230" s="495"/>
      <c r="AZ230" s="496"/>
      <c r="BA230" s="496"/>
      <c r="BB230" s="496"/>
      <c r="BC230" s="496"/>
      <c r="BD230" s="511"/>
      <c r="BE230" s="482">
        <f t="shared" si="23"/>
        <v>0</v>
      </c>
      <c r="BF230" s="482">
        <f>SUM($U230:V230)</f>
        <v>0</v>
      </c>
      <c r="BG230" s="482">
        <f>SUM($U230:W230)</f>
        <v>0</v>
      </c>
      <c r="BH230" s="482">
        <f>SUM($U230:X230)</f>
        <v>0</v>
      </c>
      <c r="BI230" s="482">
        <f>SUM($U230:Y230)</f>
        <v>0</v>
      </c>
      <c r="BJ230" s="482">
        <f>SUM($U230:Z230)</f>
        <v>0</v>
      </c>
      <c r="BK230" s="482">
        <f>SUM($U230:AA230)</f>
        <v>0</v>
      </c>
      <c r="BL230" s="482">
        <f>SUM($U230:AB230)</f>
        <v>0</v>
      </c>
      <c r="BM230" s="482">
        <f>SUM($U230:AC230)</f>
        <v>0</v>
      </c>
      <c r="BN230" s="482">
        <f>SUM($U230:AD230)</f>
        <v>0</v>
      </c>
      <c r="BO230" s="482">
        <f>SUM($U230:AE230)</f>
        <v>0</v>
      </c>
      <c r="BP230" s="483">
        <f>SUM($U230:AF230)</f>
        <v>0</v>
      </c>
      <c r="BQ230" s="484">
        <f t="shared" si="24"/>
        <v>0</v>
      </c>
      <c r="BR230" s="482">
        <f>SUM($AS230:AT230)</f>
        <v>0</v>
      </c>
      <c r="BS230" s="482">
        <f>SUM($AS230:AU230)</f>
        <v>0</v>
      </c>
      <c r="BT230" s="482">
        <f>SUM($AS230:AV230)</f>
        <v>0</v>
      </c>
      <c r="BU230" s="482">
        <f>SUM($AS230:AW230)</f>
        <v>0</v>
      </c>
      <c r="BV230" s="482">
        <f>SUM($AS230:AX230)</f>
        <v>0</v>
      </c>
      <c r="BW230" s="482">
        <f>SUM($AS230:AY230)</f>
        <v>0</v>
      </c>
      <c r="BX230" s="482">
        <f>SUM($AS230:AZ230)</f>
        <v>0</v>
      </c>
      <c r="BY230" s="482">
        <f>SUM($AS230:BA230)</f>
        <v>0</v>
      </c>
      <c r="BZ230" s="482">
        <f>SUM($AS230:BB230)</f>
        <v>0</v>
      </c>
      <c r="CA230" s="482">
        <f>SUM($AS230:BC230)</f>
        <v>0</v>
      </c>
      <c r="CB230" s="483">
        <f>SUM($AS230:BD230)</f>
        <v>0</v>
      </c>
    </row>
    <row r="231" spans="1:80" s="471" customFormat="1" ht="12.75" hidden="1" customHeight="1">
      <c r="A231" s="471">
        <f t="shared" si="22"/>
        <v>222</v>
      </c>
      <c r="B231" s="628"/>
      <c r="C231" s="533"/>
      <c r="D231" s="533"/>
      <c r="E231" s="427"/>
      <c r="F231" s="586"/>
      <c r="G231" s="629"/>
      <c r="H231" s="582">
        <f t="shared" si="25"/>
        <v>224</v>
      </c>
      <c r="I231" s="524"/>
      <c r="J231" s="473"/>
      <c r="K231" s="473"/>
      <c r="L231" s="473"/>
      <c r="M231" s="473"/>
      <c r="N231" s="473"/>
      <c r="O231" s="473"/>
      <c r="P231" s="473"/>
      <c r="Q231" s="473"/>
      <c r="R231" s="473"/>
      <c r="S231" s="473"/>
      <c r="T231" s="474"/>
      <c r="U231" s="475"/>
      <c r="V231" s="473"/>
      <c r="W231" s="473"/>
      <c r="X231" s="473"/>
      <c r="Y231" s="473"/>
      <c r="Z231" s="473"/>
      <c r="AA231" s="473"/>
      <c r="AB231" s="473"/>
      <c r="AC231" s="473"/>
      <c r="AD231" s="473"/>
      <c r="AE231" s="473"/>
      <c r="AF231" s="473"/>
      <c r="AG231" s="510"/>
      <c r="AH231" s="495"/>
      <c r="AI231" s="495"/>
      <c r="AJ231" s="495"/>
      <c r="AK231" s="495"/>
      <c r="AL231" s="495"/>
      <c r="AM231" s="495"/>
      <c r="AN231" s="495"/>
      <c r="AO231" s="495"/>
      <c r="AP231" s="495"/>
      <c r="AQ231" s="495"/>
      <c r="AR231" s="497"/>
      <c r="AS231" s="509"/>
      <c r="AT231" s="495"/>
      <c r="AU231" s="495"/>
      <c r="AV231" s="480"/>
      <c r="AW231" s="496"/>
      <c r="AX231" s="495"/>
      <c r="AY231" s="495"/>
      <c r="AZ231" s="496"/>
      <c r="BA231" s="496"/>
      <c r="BB231" s="496"/>
      <c r="BC231" s="496"/>
      <c r="BD231" s="511"/>
      <c r="BE231" s="482">
        <f t="shared" si="23"/>
        <v>0</v>
      </c>
      <c r="BF231" s="482">
        <f>SUM($U231:V231)</f>
        <v>0</v>
      </c>
      <c r="BG231" s="482">
        <f>SUM($U231:W231)</f>
        <v>0</v>
      </c>
      <c r="BH231" s="482">
        <f>SUM($U231:X231)</f>
        <v>0</v>
      </c>
      <c r="BI231" s="482">
        <f>SUM($U231:Y231)</f>
        <v>0</v>
      </c>
      <c r="BJ231" s="482">
        <f>SUM($U231:Z231)</f>
        <v>0</v>
      </c>
      <c r="BK231" s="482">
        <f>SUM($U231:AA231)</f>
        <v>0</v>
      </c>
      <c r="BL231" s="482">
        <f>SUM($U231:AB231)</f>
        <v>0</v>
      </c>
      <c r="BM231" s="482">
        <f>SUM($U231:AC231)</f>
        <v>0</v>
      </c>
      <c r="BN231" s="482">
        <f>SUM($U231:AD231)</f>
        <v>0</v>
      </c>
      <c r="BO231" s="482">
        <f>SUM($U231:AE231)</f>
        <v>0</v>
      </c>
      <c r="BP231" s="483">
        <f>SUM($U231:AF231)</f>
        <v>0</v>
      </c>
      <c r="BQ231" s="484">
        <f t="shared" si="24"/>
        <v>0</v>
      </c>
      <c r="BR231" s="482">
        <f>SUM($AS231:AT231)</f>
        <v>0</v>
      </c>
      <c r="BS231" s="482">
        <f>SUM($AS231:AU231)</f>
        <v>0</v>
      </c>
      <c r="BT231" s="482">
        <f>SUM($AS231:AV231)</f>
        <v>0</v>
      </c>
      <c r="BU231" s="482">
        <f>SUM($AS231:AW231)</f>
        <v>0</v>
      </c>
      <c r="BV231" s="482">
        <f>SUM($AS231:AX231)</f>
        <v>0</v>
      </c>
      <c r="BW231" s="482">
        <f>SUM($AS231:AY231)</f>
        <v>0</v>
      </c>
      <c r="BX231" s="482">
        <f>SUM($AS231:AZ231)</f>
        <v>0</v>
      </c>
      <c r="BY231" s="482">
        <f>SUM($AS231:BA231)</f>
        <v>0</v>
      </c>
      <c r="BZ231" s="482">
        <f>SUM($AS231:BB231)</f>
        <v>0</v>
      </c>
      <c r="CA231" s="482">
        <f>SUM($AS231:BC231)</f>
        <v>0</v>
      </c>
      <c r="CB231" s="483">
        <f>SUM($AS231:BD231)</f>
        <v>0</v>
      </c>
    </row>
    <row r="232" spans="1:80" s="471" customFormat="1" ht="12.75" hidden="1" customHeight="1">
      <c r="A232" s="471">
        <f t="shared" si="22"/>
        <v>223</v>
      </c>
      <c r="B232" s="628"/>
      <c r="C232" s="533"/>
      <c r="D232" s="533"/>
      <c r="E232" s="427"/>
      <c r="F232" s="586"/>
      <c r="G232" s="629"/>
      <c r="H232" s="582">
        <f t="shared" si="25"/>
        <v>225</v>
      </c>
      <c r="I232" s="524"/>
      <c r="J232" s="473"/>
      <c r="K232" s="473"/>
      <c r="L232" s="473"/>
      <c r="M232" s="473"/>
      <c r="N232" s="473"/>
      <c r="O232" s="473"/>
      <c r="P232" s="473"/>
      <c r="Q232" s="473"/>
      <c r="R232" s="473"/>
      <c r="S232" s="473"/>
      <c r="T232" s="474"/>
      <c r="U232" s="475"/>
      <c r="V232" s="473"/>
      <c r="W232" s="473"/>
      <c r="X232" s="473"/>
      <c r="Y232" s="473"/>
      <c r="Z232" s="473"/>
      <c r="AA232" s="473"/>
      <c r="AB232" s="473"/>
      <c r="AC232" s="473"/>
      <c r="AD232" s="473"/>
      <c r="AE232" s="473"/>
      <c r="AF232" s="473"/>
      <c r="AG232" s="510"/>
      <c r="AH232" s="495"/>
      <c r="AI232" s="495"/>
      <c r="AJ232" s="495"/>
      <c r="AK232" s="495"/>
      <c r="AL232" s="495"/>
      <c r="AM232" s="495"/>
      <c r="AN232" s="495"/>
      <c r="AO232" s="495"/>
      <c r="AP232" s="495"/>
      <c r="AQ232" s="495"/>
      <c r="AR232" s="497"/>
      <c r="AS232" s="509"/>
      <c r="AT232" s="495"/>
      <c r="AU232" s="495"/>
      <c r="AV232" s="480"/>
      <c r="AW232" s="496"/>
      <c r="AX232" s="495"/>
      <c r="AY232" s="495"/>
      <c r="AZ232" s="496"/>
      <c r="BA232" s="496"/>
      <c r="BB232" s="496"/>
      <c r="BC232" s="496"/>
      <c r="BD232" s="511"/>
      <c r="BE232" s="482">
        <f t="shared" si="23"/>
        <v>0</v>
      </c>
      <c r="BF232" s="482">
        <f>SUM($U232:V232)</f>
        <v>0</v>
      </c>
      <c r="BG232" s="482">
        <f>SUM($U232:W232)</f>
        <v>0</v>
      </c>
      <c r="BH232" s="482">
        <f>SUM($U232:X232)</f>
        <v>0</v>
      </c>
      <c r="BI232" s="482">
        <f>SUM($U232:Y232)</f>
        <v>0</v>
      </c>
      <c r="BJ232" s="482">
        <f>SUM($U232:Z232)</f>
        <v>0</v>
      </c>
      <c r="BK232" s="482">
        <f>SUM($U232:AA232)</f>
        <v>0</v>
      </c>
      <c r="BL232" s="482">
        <f>SUM($U232:AB232)</f>
        <v>0</v>
      </c>
      <c r="BM232" s="482">
        <f>SUM($U232:AC232)</f>
        <v>0</v>
      </c>
      <c r="BN232" s="482">
        <f>SUM($U232:AD232)</f>
        <v>0</v>
      </c>
      <c r="BO232" s="482">
        <f>SUM($U232:AE232)</f>
        <v>0</v>
      </c>
      <c r="BP232" s="483">
        <f>SUM($U232:AF232)</f>
        <v>0</v>
      </c>
      <c r="BQ232" s="484">
        <f t="shared" si="24"/>
        <v>0</v>
      </c>
      <c r="BR232" s="482">
        <f>SUM($AS232:AT232)</f>
        <v>0</v>
      </c>
      <c r="BS232" s="482">
        <f>SUM($AS232:AU232)</f>
        <v>0</v>
      </c>
      <c r="BT232" s="482">
        <f>SUM($AS232:AV232)</f>
        <v>0</v>
      </c>
      <c r="BU232" s="482">
        <f>SUM($AS232:AW232)</f>
        <v>0</v>
      </c>
      <c r="BV232" s="482">
        <f>SUM($AS232:AX232)</f>
        <v>0</v>
      </c>
      <c r="BW232" s="482">
        <f>SUM($AS232:AY232)</f>
        <v>0</v>
      </c>
      <c r="BX232" s="482">
        <f>SUM($AS232:AZ232)</f>
        <v>0</v>
      </c>
      <c r="BY232" s="482">
        <f>SUM($AS232:BA232)</f>
        <v>0</v>
      </c>
      <c r="BZ232" s="482">
        <f>SUM($AS232:BB232)</f>
        <v>0</v>
      </c>
      <c r="CA232" s="482">
        <f>SUM($AS232:BC232)</f>
        <v>0</v>
      </c>
      <c r="CB232" s="483">
        <f>SUM($AS232:BD232)</f>
        <v>0</v>
      </c>
    </row>
    <row r="233" spans="1:80" s="471" customFormat="1" ht="12.75" hidden="1" customHeight="1">
      <c r="A233" s="471">
        <f t="shared" si="22"/>
        <v>224</v>
      </c>
      <c r="B233" s="628"/>
      <c r="C233" s="533"/>
      <c r="D233" s="533"/>
      <c r="E233" s="427"/>
      <c r="F233" s="586"/>
      <c r="G233" s="629"/>
      <c r="H233" s="582">
        <f t="shared" si="25"/>
        <v>226</v>
      </c>
      <c r="I233" s="524"/>
      <c r="J233" s="473"/>
      <c r="K233" s="473"/>
      <c r="L233" s="473"/>
      <c r="M233" s="473"/>
      <c r="N233" s="473"/>
      <c r="O233" s="473"/>
      <c r="P233" s="473"/>
      <c r="Q233" s="473"/>
      <c r="R233" s="473"/>
      <c r="S233" s="473"/>
      <c r="T233" s="474"/>
      <c r="U233" s="475"/>
      <c r="V233" s="473"/>
      <c r="W233" s="473"/>
      <c r="X233" s="473"/>
      <c r="Y233" s="473"/>
      <c r="Z233" s="473"/>
      <c r="AA233" s="473"/>
      <c r="AB233" s="473"/>
      <c r="AC233" s="473"/>
      <c r="AD233" s="473"/>
      <c r="AE233" s="473"/>
      <c r="AF233" s="473"/>
      <c r="AG233" s="510"/>
      <c r="AH233" s="495"/>
      <c r="AI233" s="495"/>
      <c r="AJ233" s="495"/>
      <c r="AK233" s="495"/>
      <c r="AL233" s="495"/>
      <c r="AM233" s="495"/>
      <c r="AN233" s="495"/>
      <c r="AO233" s="495"/>
      <c r="AP233" s="495"/>
      <c r="AQ233" s="495"/>
      <c r="AR233" s="497"/>
      <c r="AS233" s="509"/>
      <c r="AT233" s="495"/>
      <c r="AU233" s="495"/>
      <c r="AV233" s="480"/>
      <c r="AW233" s="496"/>
      <c r="AX233" s="495"/>
      <c r="AY233" s="495"/>
      <c r="AZ233" s="496"/>
      <c r="BA233" s="496"/>
      <c r="BB233" s="496"/>
      <c r="BC233" s="496"/>
      <c r="BD233" s="511"/>
      <c r="BE233" s="482">
        <f t="shared" si="23"/>
        <v>0</v>
      </c>
      <c r="BF233" s="482">
        <f>SUM($U233:V233)</f>
        <v>0</v>
      </c>
      <c r="BG233" s="482">
        <f>SUM($U233:W233)</f>
        <v>0</v>
      </c>
      <c r="BH233" s="482">
        <f>SUM($U233:X233)</f>
        <v>0</v>
      </c>
      <c r="BI233" s="482">
        <f>SUM($U233:Y233)</f>
        <v>0</v>
      </c>
      <c r="BJ233" s="482">
        <f>SUM($U233:Z233)</f>
        <v>0</v>
      </c>
      <c r="BK233" s="482">
        <f>SUM($U233:AA233)</f>
        <v>0</v>
      </c>
      <c r="BL233" s="482">
        <f>SUM($U233:AB233)</f>
        <v>0</v>
      </c>
      <c r="BM233" s="482">
        <f>SUM($U233:AC233)</f>
        <v>0</v>
      </c>
      <c r="BN233" s="482">
        <f>SUM($U233:AD233)</f>
        <v>0</v>
      </c>
      <c r="BO233" s="482">
        <f>SUM($U233:AE233)</f>
        <v>0</v>
      </c>
      <c r="BP233" s="483">
        <f>SUM($U233:AF233)</f>
        <v>0</v>
      </c>
      <c r="BQ233" s="484">
        <f t="shared" si="24"/>
        <v>0</v>
      </c>
      <c r="BR233" s="482">
        <f>SUM($AS233:AT233)</f>
        <v>0</v>
      </c>
      <c r="BS233" s="482">
        <f>SUM($AS233:AU233)</f>
        <v>0</v>
      </c>
      <c r="BT233" s="482">
        <f>SUM($AS233:AV233)</f>
        <v>0</v>
      </c>
      <c r="BU233" s="482">
        <f>SUM($AS233:AW233)</f>
        <v>0</v>
      </c>
      <c r="BV233" s="482">
        <f>SUM($AS233:AX233)</f>
        <v>0</v>
      </c>
      <c r="BW233" s="482">
        <f>SUM($AS233:AY233)</f>
        <v>0</v>
      </c>
      <c r="BX233" s="482">
        <f>SUM($AS233:AZ233)</f>
        <v>0</v>
      </c>
      <c r="BY233" s="482">
        <f>SUM($AS233:BA233)</f>
        <v>0</v>
      </c>
      <c r="BZ233" s="482">
        <f>SUM($AS233:BB233)</f>
        <v>0</v>
      </c>
      <c r="CA233" s="482">
        <f>SUM($AS233:BC233)</f>
        <v>0</v>
      </c>
      <c r="CB233" s="483">
        <f>SUM($AS233:BD233)</f>
        <v>0</v>
      </c>
    </row>
    <row r="234" spans="1:80" s="471" customFormat="1" ht="12.75" hidden="1" customHeight="1">
      <c r="A234" s="471">
        <f t="shared" si="22"/>
        <v>225</v>
      </c>
      <c r="B234" s="628"/>
      <c r="C234" s="533"/>
      <c r="D234" s="533"/>
      <c r="E234" s="427"/>
      <c r="F234" s="586"/>
      <c r="G234" s="629"/>
      <c r="H234" s="582">
        <f t="shared" si="25"/>
        <v>227</v>
      </c>
      <c r="I234" s="524"/>
      <c r="J234" s="473"/>
      <c r="K234" s="473"/>
      <c r="L234" s="473"/>
      <c r="M234" s="473"/>
      <c r="N234" s="473"/>
      <c r="O234" s="473"/>
      <c r="P234" s="473"/>
      <c r="Q234" s="473"/>
      <c r="R234" s="473"/>
      <c r="S234" s="473"/>
      <c r="T234" s="474"/>
      <c r="U234" s="475"/>
      <c r="V234" s="473"/>
      <c r="W234" s="473"/>
      <c r="X234" s="473"/>
      <c r="Y234" s="473"/>
      <c r="Z234" s="473"/>
      <c r="AA234" s="473"/>
      <c r="AB234" s="473"/>
      <c r="AC234" s="473"/>
      <c r="AD234" s="473"/>
      <c r="AE234" s="473"/>
      <c r="AF234" s="473"/>
      <c r="AG234" s="510"/>
      <c r="AH234" s="495"/>
      <c r="AI234" s="495"/>
      <c r="AJ234" s="495"/>
      <c r="AK234" s="495"/>
      <c r="AL234" s="495"/>
      <c r="AM234" s="495"/>
      <c r="AN234" s="495"/>
      <c r="AO234" s="495"/>
      <c r="AP234" s="495"/>
      <c r="AQ234" s="495"/>
      <c r="AR234" s="497"/>
      <c r="AS234" s="509"/>
      <c r="AT234" s="495"/>
      <c r="AU234" s="495"/>
      <c r="AV234" s="480"/>
      <c r="AW234" s="496"/>
      <c r="AX234" s="495"/>
      <c r="AY234" s="495"/>
      <c r="AZ234" s="496"/>
      <c r="BA234" s="496"/>
      <c r="BB234" s="496"/>
      <c r="BC234" s="496"/>
      <c r="BD234" s="511"/>
      <c r="BE234" s="482">
        <f t="shared" si="23"/>
        <v>0</v>
      </c>
      <c r="BF234" s="482">
        <f>SUM($U234:V234)</f>
        <v>0</v>
      </c>
      <c r="BG234" s="482">
        <f>SUM($U234:W234)</f>
        <v>0</v>
      </c>
      <c r="BH234" s="482">
        <f>SUM($U234:X234)</f>
        <v>0</v>
      </c>
      <c r="BI234" s="482">
        <f>SUM($U234:Y234)</f>
        <v>0</v>
      </c>
      <c r="BJ234" s="482">
        <f>SUM($U234:Z234)</f>
        <v>0</v>
      </c>
      <c r="BK234" s="482">
        <f>SUM($U234:AA234)</f>
        <v>0</v>
      </c>
      <c r="BL234" s="482">
        <f>SUM($U234:AB234)</f>
        <v>0</v>
      </c>
      <c r="BM234" s="482">
        <f>SUM($U234:AC234)</f>
        <v>0</v>
      </c>
      <c r="BN234" s="482">
        <f>SUM($U234:AD234)</f>
        <v>0</v>
      </c>
      <c r="BO234" s="482">
        <f>SUM($U234:AE234)</f>
        <v>0</v>
      </c>
      <c r="BP234" s="483">
        <f>SUM($U234:AF234)</f>
        <v>0</v>
      </c>
      <c r="BQ234" s="484">
        <f t="shared" si="24"/>
        <v>0</v>
      </c>
      <c r="BR234" s="482">
        <f>SUM($AS234:AT234)</f>
        <v>0</v>
      </c>
      <c r="BS234" s="482">
        <f>SUM($AS234:AU234)</f>
        <v>0</v>
      </c>
      <c r="BT234" s="482">
        <f>SUM($AS234:AV234)</f>
        <v>0</v>
      </c>
      <c r="BU234" s="482">
        <f>SUM($AS234:AW234)</f>
        <v>0</v>
      </c>
      <c r="BV234" s="482">
        <f>SUM($AS234:AX234)</f>
        <v>0</v>
      </c>
      <c r="BW234" s="482">
        <f>SUM($AS234:AY234)</f>
        <v>0</v>
      </c>
      <c r="BX234" s="482">
        <f>SUM($AS234:AZ234)</f>
        <v>0</v>
      </c>
      <c r="BY234" s="482">
        <f>SUM($AS234:BA234)</f>
        <v>0</v>
      </c>
      <c r="BZ234" s="482">
        <f>SUM($AS234:BB234)</f>
        <v>0</v>
      </c>
      <c r="CA234" s="482">
        <f>SUM($AS234:BC234)</f>
        <v>0</v>
      </c>
      <c r="CB234" s="483">
        <f>SUM($AS234:BD234)</f>
        <v>0</v>
      </c>
    </row>
    <row r="235" spans="1:80" s="471" customFormat="1" ht="12.75" hidden="1" customHeight="1">
      <c r="A235" s="471">
        <f t="shared" si="22"/>
        <v>226</v>
      </c>
      <c r="B235" s="628"/>
      <c r="C235" s="533"/>
      <c r="D235" s="533"/>
      <c r="E235" s="427"/>
      <c r="F235" s="586"/>
      <c r="G235" s="629"/>
      <c r="H235" s="582">
        <f t="shared" si="25"/>
        <v>228</v>
      </c>
      <c r="I235" s="524"/>
      <c r="J235" s="473"/>
      <c r="K235" s="473"/>
      <c r="L235" s="473"/>
      <c r="M235" s="473"/>
      <c r="N235" s="473"/>
      <c r="O235" s="473"/>
      <c r="P235" s="473"/>
      <c r="Q235" s="473"/>
      <c r="R235" s="473"/>
      <c r="S235" s="473"/>
      <c r="T235" s="474"/>
      <c r="U235" s="475"/>
      <c r="V235" s="473"/>
      <c r="W235" s="473"/>
      <c r="X235" s="473"/>
      <c r="Y235" s="473"/>
      <c r="Z235" s="473"/>
      <c r="AA235" s="473"/>
      <c r="AB235" s="473"/>
      <c r="AC235" s="473"/>
      <c r="AD235" s="473"/>
      <c r="AE235" s="473"/>
      <c r="AF235" s="473"/>
      <c r="AG235" s="510"/>
      <c r="AH235" s="495"/>
      <c r="AI235" s="495"/>
      <c r="AJ235" s="495"/>
      <c r="AK235" s="495"/>
      <c r="AL235" s="495"/>
      <c r="AM235" s="495"/>
      <c r="AN235" s="495"/>
      <c r="AO235" s="495"/>
      <c r="AP235" s="495"/>
      <c r="AQ235" s="495"/>
      <c r="AR235" s="497"/>
      <c r="AS235" s="509"/>
      <c r="AT235" s="495"/>
      <c r="AU235" s="495"/>
      <c r="AV235" s="480"/>
      <c r="AW235" s="496"/>
      <c r="AX235" s="495"/>
      <c r="AY235" s="495"/>
      <c r="AZ235" s="496"/>
      <c r="BA235" s="496"/>
      <c r="BB235" s="496"/>
      <c r="BC235" s="496"/>
      <c r="BD235" s="511"/>
      <c r="BE235" s="482">
        <f t="shared" si="23"/>
        <v>0</v>
      </c>
      <c r="BF235" s="482">
        <f>SUM($U235:V235)</f>
        <v>0</v>
      </c>
      <c r="BG235" s="482">
        <f>SUM($U235:W235)</f>
        <v>0</v>
      </c>
      <c r="BH235" s="482">
        <f>SUM($U235:X235)</f>
        <v>0</v>
      </c>
      <c r="BI235" s="482">
        <f>SUM($U235:Y235)</f>
        <v>0</v>
      </c>
      <c r="BJ235" s="482">
        <f>SUM($U235:Z235)</f>
        <v>0</v>
      </c>
      <c r="BK235" s="482">
        <f>SUM($U235:AA235)</f>
        <v>0</v>
      </c>
      <c r="BL235" s="482">
        <f>SUM($U235:AB235)</f>
        <v>0</v>
      </c>
      <c r="BM235" s="482">
        <f>SUM($U235:AC235)</f>
        <v>0</v>
      </c>
      <c r="BN235" s="482">
        <f>SUM($U235:AD235)</f>
        <v>0</v>
      </c>
      <c r="BO235" s="482">
        <f>SUM($U235:AE235)</f>
        <v>0</v>
      </c>
      <c r="BP235" s="483">
        <f>SUM($U235:AF235)</f>
        <v>0</v>
      </c>
      <c r="BQ235" s="484">
        <f t="shared" si="24"/>
        <v>0</v>
      </c>
      <c r="BR235" s="482">
        <f>SUM($AS235:AT235)</f>
        <v>0</v>
      </c>
      <c r="BS235" s="482">
        <f>SUM($AS235:AU235)</f>
        <v>0</v>
      </c>
      <c r="BT235" s="482">
        <f>SUM($AS235:AV235)</f>
        <v>0</v>
      </c>
      <c r="BU235" s="482">
        <f>SUM($AS235:AW235)</f>
        <v>0</v>
      </c>
      <c r="BV235" s="482">
        <f>SUM($AS235:AX235)</f>
        <v>0</v>
      </c>
      <c r="BW235" s="482">
        <f>SUM($AS235:AY235)</f>
        <v>0</v>
      </c>
      <c r="BX235" s="482">
        <f>SUM($AS235:AZ235)</f>
        <v>0</v>
      </c>
      <c r="BY235" s="482">
        <f>SUM($AS235:BA235)</f>
        <v>0</v>
      </c>
      <c r="BZ235" s="482">
        <f>SUM($AS235:BB235)</f>
        <v>0</v>
      </c>
      <c r="CA235" s="482">
        <f>SUM($AS235:BC235)</f>
        <v>0</v>
      </c>
      <c r="CB235" s="483">
        <f>SUM($AS235:BD235)</f>
        <v>0</v>
      </c>
    </row>
    <row r="236" spans="1:80" s="471" customFormat="1" ht="12.75" hidden="1" customHeight="1">
      <c r="A236" s="471">
        <f t="shared" si="22"/>
        <v>227</v>
      </c>
      <c r="B236" s="628"/>
      <c r="C236" s="533"/>
      <c r="D236" s="533"/>
      <c r="E236" s="427"/>
      <c r="F236" s="586"/>
      <c r="G236" s="629"/>
      <c r="H236" s="582">
        <f t="shared" si="25"/>
        <v>229</v>
      </c>
      <c r="I236" s="524"/>
      <c r="J236" s="473"/>
      <c r="K236" s="473"/>
      <c r="L236" s="473"/>
      <c r="M236" s="473"/>
      <c r="N236" s="473"/>
      <c r="O236" s="473"/>
      <c r="P236" s="473"/>
      <c r="Q236" s="473"/>
      <c r="R236" s="473"/>
      <c r="S236" s="473"/>
      <c r="T236" s="474"/>
      <c r="U236" s="475"/>
      <c r="V236" s="473"/>
      <c r="W236" s="473"/>
      <c r="X236" s="473"/>
      <c r="Y236" s="473"/>
      <c r="Z236" s="473"/>
      <c r="AA236" s="473"/>
      <c r="AB236" s="473"/>
      <c r="AC236" s="473"/>
      <c r="AD236" s="473"/>
      <c r="AE236" s="473"/>
      <c r="AF236" s="473"/>
      <c r="AG236" s="510"/>
      <c r="AH236" s="495"/>
      <c r="AI236" s="495"/>
      <c r="AJ236" s="495"/>
      <c r="AK236" s="495"/>
      <c r="AL236" s="495"/>
      <c r="AM236" s="495"/>
      <c r="AN236" s="495"/>
      <c r="AO236" s="495"/>
      <c r="AP236" s="495"/>
      <c r="AQ236" s="495"/>
      <c r="AR236" s="497"/>
      <c r="AS236" s="509"/>
      <c r="AT236" s="495"/>
      <c r="AU236" s="495"/>
      <c r="AV236" s="480"/>
      <c r="AW236" s="496"/>
      <c r="AX236" s="495"/>
      <c r="AY236" s="495"/>
      <c r="AZ236" s="496"/>
      <c r="BA236" s="496"/>
      <c r="BB236" s="496"/>
      <c r="BC236" s="496"/>
      <c r="BD236" s="511"/>
      <c r="BE236" s="482">
        <f t="shared" si="23"/>
        <v>0</v>
      </c>
      <c r="BF236" s="482">
        <f>SUM($U236:V236)</f>
        <v>0</v>
      </c>
      <c r="BG236" s="482">
        <f>SUM($U236:W236)</f>
        <v>0</v>
      </c>
      <c r="BH236" s="482">
        <f>SUM($U236:X236)</f>
        <v>0</v>
      </c>
      <c r="BI236" s="482">
        <f>SUM($U236:Y236)</f>
        <v>0</v>
      </c>
      <c r="BJ236" s="482">
        <f>SUM($U236:Z236)</f>
        <v>0</v>
      </c>
      <c r="BK236" s="482">
        <f>SUM($U236:AA236)</f>
        <v>0</v>
      </c>
      <c r="BL236" s="482">
        <f>SUM($U236:AB236)</f>
        <v>0</v>
      </c>
      <c r="BM236" s="482">
        <f>SUM($U236:AC236)</f>
        <v>0</v>
      </c>
      <c r="BN236" s="482">
        <f>SUM($U236:AD236)</f>
        <v>0</v>
      </c>
      <c r="BO236" s="482">
        <f>SUM($U236:AE236)</f>
        <v>0</v>
      </c>
      <c r="BP236" s="483">
        <f>SUM($U236:AF236)</f>
        <v>0</v>
      </c>
      <c r="BQ236" s="484">
        <f t="shared" si="24"/>
        <v>0</v>
      </c>
      <c r="BR236" s="482">
        <f>SUM($AS236:AT236)</f>
        <v>0</v>
      </c>
      <c r="BS236" s="482">
        <f>SUM($AS236:AU236)</f>
        <v>0</v>
      </c>
      <c r="BT236" s="482">
        <f>SUM($AS236:AV236)</f>
        <v>0</v>
      </c>
      <c r="BU236" s="482">
        <f>SUM($AS236:AW236)</f>
        <v>0</v>
      </c>
      <c r="BV236" s="482">
        <f>SUM($AS236:AX236)</f>
        <v>0</v>
      </c>
      <c r="BW236" s="482">
        <f>SUM($AS236:AY236)</f>
        <v>0</v>
      </c>
      <c r="BX236" s="482">
        <f>SUM($AS236:AZ236)</f>
        <v>0</v>
      </c>
      <c r="BY236" s="482">
        <f>SUM($AS236:BA236)</f>
        <v>0</v>
      </c>
      <c r="BZ236" s="482">
        <f>SUM($AS236:BB236)</f>
        <v>0</v>
      </c>
      <c r="CA236" s="482">
        <f>SUM($AS236:BC236)</f>
        <v>0</v>
      </c>
      <c r="CB236" s="483">
        <f>SUM($AS236:BD236)</f>
        <v>0</v>
      </c>
    </row>
    <row r="237" spans="1:80" s="471" customFormat="1" ht="12.75" hidden="1" customHeight="1">
      <c r="A237" s="471">
        <f t="shared" si="22"/>
        <v>228</v>
      </c>
      <c r="B237" s="628"/>
      <c r="C237" s="533"/>
      <c r="D237" s="533"/>
      <c r="E237" s="427"/>
      <c r="F237" s="586"/>
      <c r="G237" s="629"/>
      <c r="H237" s="582">
        <f t="shared" si="25"/>
        <v>230</v>
      </c>
      <c r="I237" s="524"/>
      <c r="J237" s="473"/>
      <c r="K237" s="473"/>
      <c r="L237" s="473"/>
      <c r="M237" s="473"/>
      <c r="N237" s="473"/>
      <c r="O237" s="473"/>
      <c r="P237" s="473"/>
      <c r="Q237" s="473"/>
      <c r="R237" s="473"/>
      <c r="S237" s="473"/>
      <c r="T237" s="474"/>
      <c r="U237" s="475"/>
      <c r="V237" s="473"/>
      <c r="W237" s="473"/>
      <c r="X237" s="473"/>
      <c r="Y237" s="473"/>
      <c r="Z237" s="473"/>
      <c r="AA237" s="473"/>
      <c r="AB237" s="473"/>
      <c r="AC237" s="473"/>
      <c r="AD237" s="473"/>
      <c r="AE237" s="473"/>
      <c r="AF237" s="473"/>
      <c r="AG237" s="510"/>
      <c r="AH237" s="495"/>
      <c r="AI237" s="495"/>
      <c r="AJ237" s="495"/>
      <c r="AK237" s="495"/>
      <c r="AL237" s="495"/>
      <c r="AM237" s="495"/>
      <c r="AN237" s="495"/>
      <c r="AO237" s="495"/>
      <c r="AP237" s="495"/>
      <c r="AQ237" s="495"/>
      <c r="AR237" s="497"/>
      <c r="AS237" s="509"/>
      <c r="AT237" s="495"/>
      <c r="AU237" s="495"/>
      <c r="AV237" s="480"/>
      <c r="AW237" s="496"/>
      <c r="AX237" s="495"/>
      <c r="AY237" s="495"/>
      <c r="AZ237" s="496"/>
      <c r="BA237" s="496"/>
      <c r="BB237" s="496"/>
      <c r="BC237" s="496"/>
      <c r="BD237" s="511"/>
      <c r="BE237" s="482">
        <f t="shared" si="23"/>
        <v>0</v>
      </c>
      <c r="BF237" s="482">
        <f>SUM($U237:V237)</f>
        <v>0</v>
      </c>
      <c r="BG237" s="482">
        <f>SUM($U237:W237)</f>
        <v>0</v>
      </c>
      <c r="BH237" s="482">
        <f>SUM($U237:X237)</f>
        <v>0</v>
      </c>
      <c r="BI237" s="482">
        <f>SUM($U237:Y237)</f>
        <v>0</v>
      </c>
      <c r="BJ237" s="482">
        <f>SUM($U237:Z237)</f>
        <v>0</v>
      </c>
      <c r="BK237" s="482">
        <f>SUM($U237:AA237)</f>
        <v>0</v>
      </c>
      <c r="BL237" s="482">
        <f>SUM($U237:AB237)</f>
        <v>0</v>
      </c>
      <c r="BM237" s="482">
        <f>SUM($U237:AC237)</f>
        <v>0</v>
      </c>
      <c r="BN237" s="482">
        <f>SUM($U237:AD237)</f>
        <v>0</v>
      </c>
      <c r="BO237" s="482">
        <f>SUM($U237:AE237)</f>
        <v>0</v>
      </c>
      <c r="BP237" s="483">
        <f>SUM($U237:AF237)</f>
        <v>0</v>
      </c>
      <c r="BQ237" s="484">
        <f t="shared" si="24"/>
        <v>0</v>
      </c>
      <c r="BR237" s="482">
        <f>SUM($AS237:AT237)</f>
        <v>0</v>
      </c>
      <c r="BS237" s="482">
        <f>SUM($AS237:AU237)</f>
        <v>0</v>
      </c>
      <c r="BT237" s="482">
        <f>SUM($AS237:AV237)</f>
        <v>0</v>
      </c>
      <c r="BU237" s="482">
        <f>SUM($AS237:AW237)</f>
        <v>0</v>
      </c>
      <c r="BV237" s="482">
        <f>SUM($AS237:AX237)</f>
        <v>0</v>
      </c>
      <c r="BW237" s="482">
        <f>SUM($AS237:AY237)</f>
        <v>0</v>
      </c>
      <c r="BX237" s="482">
        <f>SUM($AS237:AZ237)</f>
        <v>0</v>
      </c>
      <c r="BY237" s="482">
        <f>SUM($AS237:BA237)</f>
        <v>0</v>
      </c>
      <c r="BZ237" s="482">
        <f>SUM($AS237:BB237)</f>
        <v>0</v>
      </c>
      <c r="CA237" s="482">
        <f>SUM($AS237:BC237)</f>
        <v>0</v>
      </c>
      <c r="CB237" s="483">
        <f>SUM($AS237:BD237)</f>
        <v>0</v>
      </c>
    </row>
    <row r="238" spans="1:80" s="471" customFormat="1" ht="12.75" hidden="1" customHeight="1">
      <c r="A238" s="471">
        <f t="shared" si="22"/>
        <v>229</v>
      </c>
      <c r="B238" s="628"/>
      <c r="C238" s="533"/>
      <c r="D238" s="533"/>
      <c r="E238" s="427"/>
      <c r="F238" s="586"/>
      <c r="G238" s="629"/>
      <c r="H238" s="582">
        <f t="shared" si="25"/>
        <v>231</v>
      </c>
      <c r="I238" s="524"/>
      <c r="J238" s="473"/>
      <c r="K238" s="473"/>
      <c r="L238" s="473"/>
      <c r="M238" s="473"/>
      <c r="N238" s="473"/>
      <c r="O238" s="473"/>
      <c r="P238" s="473"/>
      <c r="Q238" s="473"/>
      <c r="R238" s="473"/>
      <c r="S238" s="473"/>
      <c r="T238" s="474"/>
      <c r="U238" s="475"/>
      <c r="V238" s="473"/>
      <c r="W238" s="473"/>
      <c r="X238" s="473"/>
      <c r="Y238" s="473"/>
      <c r="Z238" s="473"/>
      <c r="AA238" s="473"/>
      <c r="AB238" s="473"/>
      <c r="AC238" s="473"/>
      <c r="AD238" s="473"/>
      <c r="AE238" s="473"/>
      <c r="AF238" s="473"/>
      <c r="AG238" s="510"/>
      <c r="AH238" s="495"/>
      <c r="AI238" s="495"/>
      <c r="AJ238" s="495"/>
      <c r="AK238" s="495"/>
      <c r="AL238" s="495"/>
      <c r="AM238" s="495"/>
      <c r="AN238" s="495"/>
      <c r="AO238" s="495"/>
      <c r="AP238" s="495"/>
      <c r="AQ238" s="495"/>
      <c r="AR238" s="497"/>
      <c r="AS238" s="509"/>
      <c r="AT238" s="495"/>
      <c r="AU238" s="495"/>
      <c r="AV238" s="480"/>
      <c r="AW238" s="496"/>
      <c r="AX238" s="495"/>
      <c r="AY238" s="495"/>
      <c r="AZ238" s="496"/>
      <c r="BA238" s="496"/>
      <c r="BB238" s="496"/>
      <c r="BC238" s="496"/>
      <c r="BD238" s="511"/>
      <c r="BE238" s="482">
        <f t="shared" si="23"/>
        <v>0</v>
      </c>
      <c r="BF238" s="482">
        <f>SUM($U238:V238)</f>
        <v>0</v>
      </c>
      <c r="BG238" s="482">
        <f>SUM($U238:W238)</f>
        <v>0</v>
      </c>
      <c r="BH238" s="482">
        <f>SUM($U238:X238)</f>
        <v>0</v>
      </c>
      <c r="BI238" s="482">
        <f>SUM($U238:Y238)</f>
        <v>0</v>
      </c>
      <c r="BJ238" s="482">
        <f>SUM($U238:Z238)</f>
        <v>0</v>
      </c>
      <c r="BK238" s="482">
        <f>SUM($U238:AA238)</f>
        <v>0</v>
      </c>
      <c r="BL238" s="482">
        <f>SUM($U238:AB238)</f>
        <v>0</v>
      </c>
      <c r="BM238" s="482">
        <f>SUM($U238:AC238)</f>
        <v>0</v>
      </c>
      <c r="BN238" s="482">
        <f>SUM($U238:AD238)</f>
        <v>0</v>
      </c>
      <c r="BO238" s="482">
        <f>SUM($U238:AE238)</f>
        <v>0</v>
      </c>
      <c r="BP238" s="483">
        <f>SUM($U238:AF238)</f>
        <v>0</v>
      </c>
      <c r="BQ238" s="484">
        <f t="shared" si="24"/>
        <v>0</v>
      </c>
      <c r="BR238" s="482">
        <f>SUM($AS238:AT238)</f>
        <v>0</v>
      </c>
      <c r="BS238" s="482">
        <f>SUM($AS238:AU238)</f>
        <v>0</v>
      </c>
      <c r="BT238" s="482">
        <f>SUM($AS238:AV238)</f>
        <v>0</v>
      </c>
      <c r="BU238" s="482">
        <f>SUM($AS238:AW238)</f>
        <v>0</v>
      </c>
      <c r="BV238" s="482">
        <f>SUM($AS238:AX238)</f>
        <v>0</v>
      </c>
      <c r="BW238" s="482">
        <f>SUM($AS238:AY238)</f>
        <v>0</v>
      </c>
      <c r="BX238" s="482">
        <f>SUM($AS238:AZ238)</f>
        <v>0</v>
      </c>
      <c r="BY238" s="482">
        <f>SUM($AS238:BA238)</f>
        <v>0</v>
      </c>
      <c r="BZ238" s="482">
        <f>SUM($AS238:BB238)</f>
        <v>0</v>
      </c>
      <c r="CA238" s="482">
        <f>SUM($AS238:BC238)</f>
        <v>0</v>
      </c>
      <c r="CB238" s="483">
        <f>SUM($AS238:BD238)</f>
        <v>0</v>
      </c>
    </row>
    <row r="239" spans="1:80" s="471" customFormat="1" ht="12.75" hidden="1" customHeight="1">
      <c r="A239" s="471">
        <f t="shared" si="22"/>
        <v>230</v>
      </c>
      <c r="B239" s="628"/>
      <c r="C239" s="533"/>
      <c r="D239" s="533"/>
      <c r="E239" s="427"/>
      <c r="F239" s="586"/>
      <c r="G239" s="629"/>
      <c r="H239" s="582">
        <f t="shared" si="25"/>
        <v>232</v>
      </c>
      <c r="I239" s="524"/>
      <c r="J239" s="473"/>
      <c r="K239" s="473"/>
      <c r="L239" s="473"/>
      <c r="M239" s="473"/>
      <c r="N239" s="473"/>
      <c r="O239" s="473"/>
      <c r="P239" s="473"/>
      <c r="Q239" s="473"/>
      <c r="R239" s="473"/>
      <c r="S239" s="473"/>
      <c r="T239" s="474"/>
      <c r="U239" s="475"/>
      <c r="V239" s="473"/>
      <c r="W239" s="473"/>
      <c r="X239" s="473"/>
      <c r="Y239" s="473"/>
      <c r="Z239" s="473"/>
      <c r="AA239" s="473"/>
      <c r="AB239" s="473"/>
      <c r="AC239" s="473"/>
      <c r="AD239" s="473"/>
      <c r="AE239" s="473"/>
      <c r="AF239" s="473"/>
      <c r="AG239" s="510"/>
      <c r="AH239" s="495"/>
      <c r="AI239" s="495"/>
      <c r="AJ239" s="495"/>
      <c r="AK239" s="495"/>
      <c r="AL239" s="495"/>
      <c r="AM239" s="495"/>
      <c r="AN239" s="495"/>
      <c r="AO239" s="495"/>
      <c r="AP239" s="495"/>
      <c r="AQ239" s="495"/>
      <c r="AR239" s="497"/>
      <c r="AS239" s="509"/>
      <c r="AT239" s="495"/>
      <c r="AU239" s="495"/>
      <c r="AV239" s="480"/>
      <c r="AW239" s="496"/>
      <c r="AX239" s="495"/>
      <c r="AY239" s="495"/>
      <c r="AZ239" s="496"/>
      <c r="BA239" s="496"/>
      <c r="BB239" s="496"/>
      <c r="BC239" s="496"/>
      <c r="BD239" s="511"/>
      <c r="BE239" s="482">
        <f t="shared" si="23"/>
        <v>0</v>
      </c>
      <c r="BF239" s="482">
        <f>SUM($U239:V239)</f>
        <v>0</v>
      </c>
      <c r="BG239" s="482">
        <f>SUM($U239:W239)</f>
        <v>0</v>
      </c>
      <c r="BH239" s="482">
        <f>SUM($U239:X239)</f>
        <v>0</v>
      </c>
      <c r="BI239" s="482">
        <f>SUM($U239:Y239)</f>
        <v>0</v>
      </c>
      <c r="BJ239" s="482">
        <f>SUM($U239:Z239)</f>
        <v>0</v>
      </c>
      <c r="BK239" s="482">
        <f>SUM($U239:AA239)</f>
        <v>0</v>
      </c>
      <c r="BL239" s="482">
        <f>SUM($U239:AB239)</f>
        <v>0</v>
      </c>
      <c r="BM239" s="482">
        <f>SUM($U239:AC239)</f>
        <v>0</v>
      </c>
      <c r="BN239" s="482">
        <f>SUM($U239:AD239)</f>
        <v>0</v>
      </c>
      <c r="BO239" s="482">
        <f>SUM($U239:AE239)</f>
        <v>0</v>
      </c>
      <c r="BP239" s="483">
        <f>SUM($U239:AF239)</f>
        <v>0</v>
      </c>
      <c r="BQ239" s="484">
        <f t="shared" si="24"/>
        <v>0</v>
      </c>
      <c r="BR239" s="482">
        <f>SUM($AS239:AT239)</f>
        <v>0</v>
      </c>
      <c r="BS239" s="482">
        <f>SUM($AS239:AU239)</f>
        <v>0</v>
      </c>
      <c r="BT239" s="482">
        <f>SUM($AS239:AV239)</f>
        <v>0</v>
      </c>
      <c r="BU239" s="482">
        <f>SUM($AS239:AW239)</f>
        <v>0</v>
      </c>
      <c r="BV239" s="482">
        <f>SUM($AS239:AX239)</f>
        <v>0</v>
      </c>
      <c r="BW239" s="482">
        <f>SUM($AS239:AY239)</f>
        <v>0</v>
      </c>
      <c r="BX239" s="482">
        <f>SUM($AS239:AZ239)</f>
        <v>0</v>
      </c>
      <c r="BY239" s="482">
        <f>SUM($AS239:BA239)</f>
        <v>0</v>
      </c>
      <c r="BZ239" s="482">
        <f>SUM($AS239:BB239)</f>
        <v>0</v>
      </c>
      <c r="CA239" s="482">
        <f>SUM($AS239:BC239)</f>
        <v>0</v>
      </c>
      <c r="CB239" s="483">
        <f>SUM($AS239:BD239)</f>
        <v>0</v>
      </c>
    </row>
    <row r="240" spans="1:80" s="471" customFormat="1" ht="12.75" hidden="1" customHeight="1">
      <c r="A240" s="471">
        <f t="shared" si="22"/>
        <v>231</v>
      </c>
      <c r="B240" s="628"/>
      <c r="C240" s="533"/>
      <c r="D240" s="533"/>
      <c r="E240" s="427"/>
      <c r="F240" s="586"/>
      <c r="G240" s="629"/>
      <c r="H240" s="582">
        <f t="shared" si="25"/>
        <v>233</v>
      </c>
      <c r="I240" s="524"/>
      <c r="J240" s="473"/>
      <c r="K240" s="473"/>
      <c r="L240" s="473"/>
      <c r="M240" s="473"/>
      <c r="N240" s="473"/>
      <c r="O240" s="473"/>
      <c r="P240" s="473"/>
      <c r="Q240" s="473"/>
      <c r="R240" s="473"/>
      <c r="S240" s="473"/>
      <c r="T240" s="474"/>
      <c r="U240" s="475"/>
      <c r="V240" s="473"/>
      <c r="W240" s="473"/>
      <c r="X240" s="473"/>
      <c r="Y240" s="473"/>
      <c r="Z240" s="473"/>
      <c r="AA240" s="473"/>
      <c r="AB240" s="473"/>
      <c r="AC240" s="473"/>
      <c r="AD240" s="473"/>
      <c r="AE240" s="473"/>
      <c r="AF240" s="473"/>
      <c r="AG240" s="510"/>
      <c r="AH240" s="495"/>
      <c r="AI240" s="495"/>
      <c r="AJ240" s="495"/>
      <c r="AK240" s="495"/>
      <c r="AL240" s="495"/>
      <c r="AM240" s="495"/>
      <c r="AN240" s="495"/>
      <c r="AO240" s="495"/>
      <c r="AP240" s="495"/>
      <c r="AQ240" s="495"/>
      <c r="AR240" s="497"/>
      <c r="AS240" s="509"/>
      <c r="AT240" s="495"/>
      <c r="AU240" s="495"/>
      <c r="AV240" s="480"/>
      <c r="AW240" s="496"/>
      <c r="AX240" s="495"/>
      <c r="AY240" s="495"/>
      <c r="AZ240" s="496"/>
      <c r="BA240" s="496"/>
      <c r="BB240" s="496"/>
      <c r="BC240" s="496"/>
      <c r="BD240" s="511"/>
      <c r="BE240" s="482">
        <f t="shared" si="23"/>
        <v>0</v>
      </c>
      <c r="BF240" s="482">
        <f>SUM($U240:V240)</f>
        <v>0</v>
      </c>
      <c r="BG240" s="482">
        <f>SUM($U240:W240)</f>
        <v>0</v>
      </c>
      <c r="BH240" s="482">
        <f>SUM($U240:X240)</f>
        <v>0</v>
      </c>
      <c r="BI240" s="482">
        <f>SUM($U240:Y240)</f>
        <v>0</v>
      </c>
      <c r="BJ240" s="482">
        <f>SUM($U240:Z240)</f>
        <v>0</v>
      </c>
      <c r="BK240" s="482">
        <f>SUM($U240:AA240)</f>
        <v>0</v>
      </c>
      <c r="BL240" s="482">
        <f>SUM($U240:AB240)</f>
        <v>0</v>
      </c>
      <c r="BM240" s="482">
        <f>SUM($U240:AC240)</f>
        <v>0</v>
      </c>
      <c r="BN240" s="482">
        <f>SUM($U240:AD240)</f>
        <v>0</v>
      </c>
      <c r="BO240" s="482">
        <f>SUM($U240:AE240)</f>
        <v>0</v>
      </c>
      <c r="BP240" s="483">
        <f>SUM($U240:AF240)</f>
        <v>0</v>
      </c>
      <c r="BQ240" s="484">
        <f t="shared" si="24"/>
        <v>0</v>
      </c>
      <c r="BR240" s="482">
        <f>SUM($AS240:AT240)</f>
        <v>0</v>
      </c>
      <c r="BS240" s="482">
        <f>SUM($AS240:AU240)</f>
        <v>0</v>
      </c>
      <c r="BT240" s="482">
        <f>SUM($AS240:AV240)</f>
        <v>0</v>
      </c>
      <c r="BU240" s="482">
        <f>SUM($AS240:AW240)</f>
        <v>0</v>
      </c>
      <c r="BV240" s="482">
        <f>SUM($AS240:AX240)</f>
        <v>0</v>
      </c>
      <c r="BW240" s="482">
        <f>SUM($AS240:AY240)</f>
        <v>0</v>
      </c>
      <c r="BX240" s="482">
        <f>SUM($AS240:AZ240)</f>
        <v>0</v>
      </c>
      <c r="BY240" s="482">
        <f>SUM($AS240:BA240)</f>
        <v>0</v>
      </c>
      <c r="BZ240" s="482">
        <f>SUM($AS240:BB240)</f>
        <v>0</v>
      </c>
      <c r="CA240" s="482">
        <f>SUM($AS240:BC240)</f>
        <v>0</v>
      </c>
      <c r="CB240" s="483">
        <f>SUM($AS240:BD240)</f>
        <v>0</v>
      </c>
    </row>
    <row r="241" spans="1:80" s="471" customFormat="1" ht="12.75" hidden="1" customHeight="1">
      <c r="A241" s="471">
        <f t="shared" si="22"/>
        <v>232</v>
      </c>
      <c r="B241" s="628"/>
      <c r="C241" s="533"/>
      <c r="D241" s="533"/>
      <c r="E241" s="427"/>
      <c r="F241" s="586"/>
      <c r="G241" s="629"/>
      <c r="H241" s="582">
        <f t="shared" si="25"/>
        <v>234</v>
      </c>
      <c r="I241" s="524"/>
      <c r="J241" s="473"/>
      <c r="K241" s="473"/>
      <c r="L241" s="473"/>
      <c r="M241" s="473"/>
      <c r="N241" s="473"/>
      <c r="O241" s="473"/>
      <c r="P241" s="473"/>
      <c r="Q241" s="473"/>
      <c r="R241" s="473"/>
      <c r="S241" s="473"/>
      <c r="T241" s="474"/>
      <c r="U241" s="475"/>
      <c r="V241" s="473"/>
      <c r="W241" s="473"/>
      <c r="X241" s="473"/>
      <c r="Y241" s="473"/>
      <c r="Z241" s="473"/>
      <c r="AA241" s="473"/>
      <c r="AB241" s="473"/>
      <c r="AC241" s="473"/>
      <c r="AD241" s="473"/>
      <c r="AE241" s="473"/>
      <c r="AF241" s="473"/>
      <c r="AG241" s="510"/>
      <c r="AH241" s="495"/>
      <c r="AI241" s="495"/>
      <c r="AJ241" s="495"/>
      <c r="AK241" s="495"/>
      <c r="AL241" s="495"/>
      <c r="AM241" s="495"/>
      <c r="AN241" s="495"/>
      <c r="AO241" s="495"/>
      <c r="AP241" s="495"/>
      <c r="AQ241" s="495"/>
      <c r="AR241" s="497"/>
      <c r="AS241" s="509"/>
      <c r="AT241" s="495"/>
      <c r="AU241" s="495"/>
      <c r="AV241" s="480"/>
      <c r="AW241" s="496"/>
      <c r="AX241" s="495"/>
      <c r="AY241" s="495"/>
      <c r="AZ241" s="496"/>
      <c r="BA241" s="496"/>
      <c r="BB241" s="496"/>
      <c r="BC241" s="496"/>
      <c r="BD241" s="511"/>
      <c r="BE241" s="482">
        <f t="shared" ref="BE241:BE272" si="26">(U241)</f>
        <v>0</v>
      </c>
      <c r="BF241" s="482">
        <f>SUM($U241:V241)</f>
        <v>0</v>
      </c>
      <c r="BG241" s="482">
        <f>SUM($U241:W241)</f>
        <v>0</v>
      </c>
      <c r="BH241" s="482">
        <f>SUM($U241:X241)</f>
        <v>0</v>
      </c>
      <c r="BI241" s="482">
        <f>SUM($U241:Y241)</f>
        <v>0</v>
      </c>
      <c r="BJ241" s="482">
        <f>SUM($U241:Z241)</f>
        <v>0</v>
      </c>
      <c r="BK241" s="482">
        <f>SUM($U241:AA241)</f>
        <v>0</v>
      </c>
      <c r="BL241" s="482">
        <f>SUM($U241:AB241)</f>
        <v>0</v>
      </c>
      <c r="BM241" s="482">
        <f>SUM($U241:AC241)</f>
        <v>0</v>
      </c>
      <c r="BN241" s="482">
        <f>SUM($U241:AD241)</f>
        <v>0</v>
      </c>
      <c r="BO241" s="482">
        <f>SUM($U241:AE241)</f>
        <v>0</v>
      </c>
      <c r="BP241" s="483">
        <f>SUM($U241:AF241)</f>
        <v>0</v>
      </c>
      <c r="BQ241" s="484">
        <f t="shared" ref="BQ241:BQ272" si="27">(AS241)</f>
        <v>0</v>
      </c>
      <c r="BR241" s="482">
        <f>SUM($AS241:AT241)</f>
        <v>0</v>
      </c>
      <c r="BS241" s="482">
        <f>SUM($AS241:AU241)</f>
        <v>0</v>
      </c>
      <c r="BT241" s="482">
        <f>SUM($AS241:AV241)</f>
        <v>0</v>
      </c>
      <c r="BU241" s="482">
        <f>SUM($AS241:AW241)</f>
        <v>0</v>
      </c>
      <c r="BV241" s="482">
        <f>SUM($AS241:AX241)</f>
        <v>0</v>
      </c>
      <c r="BW241" s="482">
        <f>SUM($AS241:AY241)</f>
        <v>0</v>
      </c>
      <c r="BX241" s="482">
        <f>SUM($AS241:AZ241)</f>
        <v>0</v>
      </c>
      <c r="BY241" s="482">
        <f>SUM($AS241:BA241)</f>
        <v>0</v>
      </c>
      <c r="BZ241" s="482">
        <f>SUM($AS241:BB241)</f>
        <v>0</v>
      </c>
      <c r="CA241" s="482">
        <f>SUM($AS241:BC241)</f>
        <v>0</v>
      </c>
      <c r="CB241" s="483">
        <f>SUM($AS241:BD241)</f>
        <v>0</v>
      </c>
    </row>
    <row r="242" spans="1:80" s="471" customFormat="1" ht="12.75" hidden="1" customHeight="1">
      <c r="A242" s="471">
        <f t="shared" si="22"/>
        <v>233</v>
      </c>
      <c r="B242" s="628"/>
      <c r="C242" s="533"/>
      <c r="D242" s="533"/>
      <c r="E242" s="427"/>
      <c r="F242" s="586"/>
      <c r="G242" s="629"/>
      <c r="H242" s="582">
        <f t="shared" si="25"/>
        <v>235</v>
      </c>
      <c r="I242" s="524"/>
      <c r="J242" s="473"/>
      <c r="K242" s="473"/>
      <c r="L242" s="473"/>
      <c r="M242" s="473"/>
      <c r="N242" s="473"/>
      <c r="O242" s="473"/>
      <c r="P242" s="473"/>
      <c r="Q242" s="473"/>
      <c r="R242" s="473"/>
      <c r="S242" s="473"/>
      <c r="T242" s="474"/>
      <c r="U242" s="475"/>
      <c r="V242" s="473"/>
      <c r="W242" s="473"/>
      <c r="X242" s="473"/>
      <c r="Y242" s="473"/>
      <c r="Z242" s="473"/>
      <c r="AA242" s="473"/>
      <c r="AB242" s="473"/>
      <c r="AC242" s="473"/>
      <c r="AD242" s="473"/>
      <c r="AE242" s="473"/>
      <c r="AF242" s="473"/>
      <c r="AG242" s="510"/>
      <c r="AH242" s="495"/>
      <c r="AI242" s="495"/>
      <c r="AJ242" s="495"/>
      <c r="AK242" s="495"/>
      <c r="AL242" s="495"/>
      <c r="AM242" s="495"/>
      <c r="AN242" s="495"/>
      <c r="AO242" s="495"/>
      <c r="AP242" s="495"/>
      <c r="AQ242" s="495"/>
      <c r="AR242" s="497"/>
      <c r="AS242" s="509"/>
      <c r="AT242" s="495"/>
      <c r="AU242" s="495"/>
      <c r="AV242" s="480"/>
      <c r="AW242" s="496"/>
      <c r="AX242" s="495"/>
      <c r="AY242" s="495"/>
      <c r="AZ242" s="496"/>
      <c r="BA242" s="496"/>
      <c r="BB242" s="496"/>
      <c r="BC242" s="496"/>
      <c r="BD242" s="511"/>
      <c r="BE242" s="482">
        <f t="shared" si="26"/>
        <v>0</v>
      </c>
      <c r="BF242" s="482">
        <f>SUM($U242:V242)</f>
        <v>0</v>
      </c>
      <c r="BG242" s="482">
        <f>SUM($U242:W242)</f>
        <v>0</v>
      </c>
      <c r="BH242" s="482">
        <f>SUM($U242:X242)</f>
        <v>0</v>
      </c>
      <c r="BI242" s="482">
        <f>SUM($U242:Y242)</f>
        <v>0</v>
      </c>
      <c r="BJ242" s="482">
        <f>SUM($U242:Z242)</f>
        <v>0</v>
      </c>
      <c r="BK242" s="482">
        <f>SUM($U242:AA242)</f>
        <v>0</v>
      </c>
      <c r="BL242" s="482">
        <f>SUM($U242:AB242)</f>
        <v>0</v>
      </c>
      <c r="BM242" s="482">
        <f>SUM($U242:AC242)</f>
        <v>0</v>
      </c>
      <c r="BN242" s="482">
        <f>SUM($U242:AD242)</f>
        <v>0</v>
      </c>
      <c r="BO242" s="482">
        <f>SUM($U242:AE242)</f>
        <v>0</v>
      </c>
      <c r="BP242" s="483">
        <f>SUM($U242:AF242)</f>
        <v>0</v>
      </c>
      <c r="BQ242" s="484">
        <f t="shared" si="27"/>
        <v>0</v>
      </c>
      <c r="BR242" s="482">
        <f>SUM($AS242:AT242)</f>
        <v>0</v>
      </c>
      <c r="BS242" s="482">
        <f>SUM($AS242:AU242)</f>
        <v>0</v>
      </c>
      <c r="BT242" s="482">
        <f>SUM($AS242:AV242)</f>
        <v>0</v>
      </c>
      <c r="BU242" s="482">
        <f>SUM($AS242:AW242)</f>
        <v>0</v>
      </c>
      <c r="BV242" s="482">
        <f>SUM($AS242:AX242)</f>
        <v>0</v>
      </c>
      <c r="BW242" s="482">
        <f>SUM($AS242:AY242)</f>
        <v>0</v>
      </c>
      <c r="BX242" s="482">
        <f>SUM($AS242:AZ242)</f>
        <v>0</v>
      </c>
      <c r="BY242" s="482">
        <f>SUM($AS242:BA242)</f>
        <v>0</v>
      </c>
      <c r="BZ242" s="482">
        <f>SUM($AS242:BB242)</f>
        <v>0</v>
      </c>
      <c r="CA242" s="482">
        <f>SUM($AS242:BC242)</f>
        <v>0</v>
      </c>
      <c r="CB242" s="483">
        <f>SUM($AS242:BD242)</f>
        <v>0</v>
      </c>
    </row>
    <row r="243" spans="1:80" s="471" customFormat="1" ht="12.75" hidden="1" customHeight="1">
      <c r="A243" s="471">
        <f t="shared" si="22"/>
        <v>234</v>
      </c>
      <c r="B243" s="628"/>
      <c r="C243" s="533"/>
      <c r="D243" s="533"/>
      <c r="E243" s="427"/>
      <c r="F243" s="586"/>
      <c r="G243" s="629"/>
      <c r="H243" s="582">
        <f t="shared" si="25"/>
        <v>236</v>
      </c>
      <c r="I243" s="524"/>
      <c r="J243" s="473"/>
      <c r="K243" s="473"/>
      <c r="L243" s="473"/>
      <c r="M243" s="473"/>
      <c r="N243" s="473"/>
      <c r="O243" s="473"/>
      <c r="P243" s="473"/>
      <c r="Q243" s="473"/>
      <c r="R243" s="473"/>
      <c r="S243" s="473"/>
      <c r="T243" s="474"/>
      <c r="U243" s="475"/>
      <c r="V243" s="473"/>
      <c r="W243" s="473"/>
      <c r="X243" s="473"/>
      <c r="Y243" s="473"/>
      <c r="Z243" s="473"/>
      <c r="AA243" s="473"/>
      <c r="AB243" s="473"/>
      <c r="AC243" s="473"/>
      <c r="AD243" s="473"/>
      <c r="AE243" s="473"/>
      <c r="AF243" s="473"/>
      <c r="AG243" s="510"/>
      <c r="AH243" s="495"/>
      <c r="AI243" s="495"/>
      <c r="AJ243" s="495"/>
      <c r="AK243" s="495"/>
      <c r="AL243" s="495"/>
      <c r="AM243" s="495"/>
      <c r="AN243" s="495"/>
      <c r="AO243" s="495"/>
      <c r="AP243" s="495"/>
      <c r="AQ243" s="495"/>
      <c r="AR243" s="497"/>
      <c r="AS243" s="509"/>
      <c r="AT243" s="495"/>
      <c r="AU243" s="495"/>
      <c r="AV243" s="480"/>
      <c r="AW243" s="496"/>
      <c r="AX243" s="495"/>
      <c r="AY243" s="495"/>
      <c r="AZ243" s="496"/>
      <c r="BA243" s="496"/>
      <c r="BB243" s="496"/>
      <c r="BC243" s="496"/>
      <c r="BD243" s="511"/>
      <c r="BE243" s="482">
        <f t="shared" si="26"/>
        <v>0</v>
      </c>
      <c r="BF243" s="482">
        <f>SUM($U243:V243)</f>
        <v>0</v>
      </c>
      <c r="BG243" s="482">
        <f>SUM($U243:W243)</f>
        <v>0</v>
      </c>
      <c r="BH243" s="482">
        <f>SUM($U243:X243)</f>
        <v>0</v>
      </c>
      <c r="BI243" s="482">
        <f>SUM($U243:Y243)</f>
        <v>0</v>
      </c>
      <c r="BJ243" s="482">
        <f>SUM($U243:Z243)</f>
        <v>0</v>
      </c>
      <c r="BK243" s="482">
        <f>SUM($U243:AA243)</f>
        <v>0</v>
      </c>
      <c r="BL243" s="482">
        <f>SUM($U243:AB243)</f>
        <v>0</v>
      </c>
      <c r="BM243" s="482">
        <f>SUM($U243:AC243)</f>
        <v>0</v>
      </c>
      <c r="BN243" s="482">
        <f>SUM($U243:AD243)</f>
        <v>0</v>
      </c>
      <c r="BO243" s="482">
        <f>SUM($U243:AE243)</f>
        <v>0</v>
      </c>
      <c r="BP243" s="483">
        <f>SUM($U243:AF243)</f>
        <v>0</v>
      </c>
      <c r="BQ243" s="484">
        <f t="shared" si="27"/>
        <v>0</v>
      </c>
      <c r="BR243" s="482">
        <f>SUM($AS243:AT243)</f>
        <v>0</v>
      </c>
      <c r="BS243" s="482">
        <f>SUM($AS243:AU243)</f>
        <v>0</v>
      </c>
      <c r="BT243" s="482">
        <f>SUM($AS243:AV243)</f>
        <v>0</v>
      </c>
      <c r="BU243" s="482">
        <f>SUM($AS243:AW243)</f>
        <v>0</v>
      </c>
      <c r="BV243" s="482">
        <f>SUM($AS243:AX243)</f>
        <v>0</v>
      </c>
      <c r="BW243" s="482">
        <f>SUM($AS243:AY243)</f>
        <v>0</v>
      </c>
      <c r="BX243" s="482">
        <f>SUM($AS243:AZ243)</f>
        <v>0</v>
      </c>
      <c r="BY243" s="482">
        <f>SUM($AS243:BA243)</f>
        <v>0</v>
      </c>
      <c r="BZ243" s="482">
        <f>SUM($AS243:BB243)</f>
        <v>0</v>
      </c>
      <c r="CA243" s="482">
        <f>SUM($AS243:BC243)</f>
        <v>0</v>
      </c>
      <c r="CB243" s="483">
        <f>SUM($AS243:BD243)</f>
        <v>0</v>
      </c>
    </row>
    <row r="244" spans="1:80" s="471" customFormat="1" ht="12.75" hidden="1" customHeight="1">
      <c r="A244" s="471">
        <f t="shared" si="22"/>
        <v>235</v>
      </c>
      <c r="B244" s="628"/>
      <c r="C244" s="533"/>
      <c r="D244" s="533"/>
      <c r="E244" s="427"/>
      <c r="F244" s="586"/>
      <c r="G244" s="629"/>
      <c r="H244" s="582">
        <f t="shared" si="25"/>
        <v>237</v>
      </c>
      <c r="I244" s="524"/>
      <c r="J244" s="473"/>
      <c r="K244" s="473"/>
      <c r="L244" s="473"/>
      <c r="M244" s="473"/>
      <c r="N244" s="473"/>
      <c r="O244" s="473"/>
      <c r="P244" s="473"/>
      <c r="Q244" s="473"/>
      <c r="R244" s="473"/>
      <c r="S244" s="473"/>
      <c r="T244" s="474"/>
      <c r="U244" s="475"/>
      <c r="V244" s="473"/>
      <c r="W244" s="473"/>
      <c r="X244" s="473"/>
      <c r="Y244" s="473"/>
      <c r="Z244" s="473"/>
      <c r="AA244" s="473"/>
      <c r="AB244" s="473"/>
      <c r="AC244" s="473"/>
      <c r="AD244" s="473"/>
      <c r="AE244" s="473"/>
      <c r="AF244" s="473"/>
      <c r="AG244" s="510"/>
      <c r="AH244" s="495"/>
      <c r="AI244" s="495"/>
      <c r="AJ244" s="495"/>
      <c r="AK244" s="495"/>
      <c r="AL244" s="495"/>
      <c r="AM244" s="495"/>
      <c r="AN244" s="495"/>
      <c r="AO244" s="495"/>
      <c r="AP244" s="495"/>
      <c r="AQ244" s="495"/>
      <c r="AR244" s="497"/>
      <c r="AS244" s="509"/>
      <c r="AT244" s="495"/>
      <c r="AU244" s="495"/>
      <c r="AV244" s="480"/>
      <c r="AW244" s="496"/>
      <c r="AX244" s="495"/>
      <c r="AY244" s="495"/>
      <c r="AZ244" s="496"/>
      <c r="BA244" s="496"/>
      <c r="BB244" s="496"/>
      <c r="BC244" s="496"/>
      <c r="BD244" s="511"/>
      <c r="BE244" s="482">
        <f t="shared" si="26"/>
        <v>0</v>
      </c>
      <c r="BF244" s="482">
        <f>SUM($U244:V244)</f>
        <v>0</v>
      </c>
      <c r="BG244" s="482">
        <f>SUM($U244:W244)</f>
        <v>0</v>
      </c>
      <c r="BH244" s="482">
        <f>SUM($U244:X244)</f>
        <v>0</v>
      </c>
      <c r="BI244" s="482">
        <f>SUM($U244:Y244)</f>
        <v>0</v>
      </c>
      <c r="BJ244" s="482">
        <f>SUM($U244:Z244)</f>
        <v>0</v>
      </c>
      <c r="BK244" s="482">
        <f>SUM($U244:AA244)</f>
        <v>0</v>
      </c>
      <c r="BL244" s="482">
        <f>SUM($U244:AB244)</f>
        <v>0</v>
      </c>
      <c r="BM244" s="482">
        <f>SUM($U244:AC244)</f>
        <v>0</v>
      </c>
      <c r="BN244" s="482">
        <f>SUM($U244:AD244)</f>
        <v>0</v>
      </c>
      <c r="BO244" s="482">
        <f>SUM($U244:AE244)</f>
        <v>0</v>
      </c>
      <c r="BP244" s="483">
        <f>SUM($U244:AF244)</f>
        <v>0</v>
      </c>
      <c r="BQ244" s="484">
        <f t="shared" si="27"/>
        <v>0</v>
      </c>
      <c r="BR244" s="482">
        <f>SUM($AS244:AT244)</f>
        <v>0</v>
      </c>
      <c r="BS244" s="482">
        <f>SUM($AS244:AU244)</f>
        <v>0</v>
      </c>
      <c r="BT244" s="482">
        <f>SUM($AS244:AV244)</f>
        <v>0</v>
      </c>
      <c r="BU244" s="482">
        <f>SUM($AS244:AW244)</f>
        <v>0</v>
      </c>
      <c r="BV244" s="482">
        <f>SUM($AS244:AX244)</f>
        <v>0</v>
      </c>
      <c r="BW244" s="482">
        <f>SUM($AS244:AY244)</f>
        <v>0</v>
      </c>
      <c r="BX244" s="482">
        <f>SUM($AS244:AZ244)</f>
        <v>0</v>
      </c>
      <c r="BY244" s="482">
        <f>SUM($AS244:BA244)</f>
        <v>0</v>
      </c>
      <c r="BZ244" s="482">
        <f>SUM($AS244:BB244)</f>
        <v>0</v>
      </c>
      <c r="CA244" s="482">
        <f>SUM($AS244:BC244)</f>
        <v>0</v>
      </c>
      <c r="CB244" s="483">
        <f>SUM($AS244:BD244)</f>
        <v>0</v>
      </c>
    </row>
    <row r="245" spans="1:80" s="471" customFormat="1" ht="12.75" hidden="1" customHeight="1">
      <c r="A245" s="471">
        <f t="shared" si="22"/>
        <v>236</v>
      </c>
      <c r="B245" s="628"/>
      <c r="C245" s="533"/>
      <c r="D245" s="533"/>
      <c r="E245" s="427"/>
      <c r="F245" s="586"/>
      <c r="G245" s="629"/>
      <c r="H245" s="582">
        <f t="shared" si="25"/>
        <v>238</v>
      </c>
      <c r="I245" s="524"/>
      <c r="J245" s="473"/>
      <c r="K245" s="473"/>
      <c r="L245" s="473"/>
      <c r="M245" s="473"/>
      <c r="N245" s="473"/>
      <c r="O245" s="473"/>
      <c r="P245" s="473"/>
      <c r="Q245" s="473"/>
      <c r="R245" s="473"/>
      <c r="S245" s="473"/>
      <c r="T245" s="474"/>
      <c r="U245" s="475"/>
      <c r="V245" s="473"/>
      <c r="W245" s="473"/>
      <c r="X245" s="473"/>
      <c r="Y245" s="473"/>
      <c r="Z245" s="473"/>
      <c r="AA245" s="473"/>
      <c r="AB245" s="473"/>
      <c r="AC245" s="473"/>
      <c r="AD245" s="473"/>
      <c r="AE245" s="473"/>
      <c r="AF245" s="473"/>
      <c r="AG245" s="510"/>
      <c r="AH245" s="495"/>
      <c r="AI245" s="495"/>
      <c r="AJ245" s="495"/>
      <c r="AK245" s="495"/>
      <c r="AL245" s="495"/>
      <c r="AM245" s="495"/>
      <c r="AN245" s="495"/>
      <c r="AO245" s="495"/>
      <c r="AP245" s="495"/>
      <c r="AQ245" s="495"/>
      <c r="AR245" s="497"/>
      <c r="AS245" s="509"/>
      <c r="AT245" s="495"/>
      <c r="AU245" s="495"/>
      <c r="AV245" s="480"/>
      <c r="AW245" s="496"/>
      <c r="AX245" s="495"/>
      <c r="AY245" s="495"/>
      <c r="AZ245" s="496"/>
      <c r="BA245" s="496"/>
      <c r="BB245" s="496"/>
      <c r="BC245" s="496"/>
      <c r="BD245" s="511"/>
      <c r="BE245" s="482">
        <f t="shared" si="26"/>
        <v>0</v>
      </c>
      <c r="BF245" s="482">
        <f>SUM($U245:V245)</f>
        <v>0</v>
      </c>
      <c r="BG245" s="482">
        <f>SUM($U245:W245)</f>
        <v>0</v>
      </c>
      <c r="BH245" s="482">
        <f>SUM($U245:X245)</f>
        <v>0</v>
      </c>
      <c r="BI245" s="482">
        <f>SUM($U245:Y245)</f>
        <v>0</v>
      </c>
      <c r="BJ245" s="482">
        <f>SUM($U245:Z245)</f>
        <v>0</v>
      </c>
      <c r="BK245" s="482">
        <f>SUM($U245:AA245)</f>
        <v>0</v>
      </c>
      <c r="BL245" s="482">
        <f>SUM($U245:AB245)</f>
        <v>0</v>
      </c>
      <c r="BM245" s="482">
        <f>SUM($U245:AC245)</f>
        <v>0</v>
      </c>
      <c r="BN245" s="482">
        <f>SUM($U245:AD245)</f>
        <v>0</v>
      </c>
      <c r="BO245" s="482">
        <f>SUM($U245:AE245)</f>
        <v>0</v>
      </c>
      <c r="BP245" s="483">
        <f>SUM($U245:AF245)</f>
        <v>0</v>
      </c>
      <c r="BQ245" s="484">
        <f t="shared" si="27"/>
        <v>0</v>
      </c>
      <c r="BR245" s="482">
        <f>SUM($AS245:AT245)</f>
        <v>0</v>
      </c>
      <c r="BS245" s="482">
        <f>SUM($AS245:AU245)</f>
        <v>0</v>
      </c>
      <c r="BT245" s="482">
        <f>SUM($AS245:AV245)</f>
        <v>0</v>
      </c>
      <c r="BU245" s="482">
        <f>SUM($AS245:AW245)</f>
        <v>0</v>
      </c>
      <c r="BV245" s="482">
        <f>SUM($AS245:AX245)</f>
        <v>0</v>
      </c>
      <c r="BW245" s="482">
        <f>SUM($AS245:AY245)</f>
        <v>0</v>
      </c>
      <c r="BX245" s="482">
        <f>SUM($AS245:AZ245)</f>
        <v>0</v>
      </c>
      <c r="BY245" s="482">
        <f>SUM($AS245:BA245)</f>
        <v>0</v>
      </c>
      <c r="BZ245" s="482">
        <f>SUM($AS245:BB245)</f>
        <v>0</v>
      </c>
      <c r="CA245" s="482">
        <f>SUM($AS245:BC245)</f>
        <v>0</v>
      </c>
      <c r="CB245" s="483">
        <f>SUM($AS245:BD245)</f>
        <v>0</v>
      </c>
    </row>
    <row r="246" spans="1:80" s="471" customFormat="1" ht="12.75" hidden="1" customHeight="1">
      <c r="A246" s="471">
        <f t="shared" si="22"/>
        <v>237</v>
      </c>
      <c r="B246" s="628"/>
      <c r="C246" s="533"/>
      <c r="D246" s="533"/>
      <c r="E246" s="427"/>
      <c r="F246" s="586"/>
      <c r="G246" s="629"/>
      <c r="H246" s="582">
        <f t="shared" si="25"/>
        <v>239</v>
      </c>
      <c r="I246" s="524"/>
      <c r="J246" s="473"/>
      <c r="K246" s="473"/>
      <c r="L246" s="473"/>
      <c r="M246" s="473"/>
      <c r="N246" s="473"/>
      <c r="O246" s="473"/>
      <c r="P246" s="473"/>
      <c r="Q246" s="473"/>
      <c r="R246" s="473"/>
      <c r="S246" s="473"/>
      <c r="T246" s="474"/>
      <c r="U246" s="475"/>
      <c r="V246" s="473"/>
      <c r="W246" s="473"/>
      <c r="X246" s="473"/>
      <c r="Y246" s="473"/>
      <c r="Z246" s="473"/>
      <c r="AA246" s="473"/>
      <c r="AB246" s="473"/>
      <c r="AC246" s="473"/>
      <c r="AD246" s="473"/>
      <c r="AE246" s="473"/>
      <c r="AF246" s="473"/>
      <c r="AG246" s="510"/>
      <c r="AH246" s="495"/>
      <c r="AI246" s="495"/>
      <c r="AJ246" s="495"/>
      <c r="AK246" s="495"/>
      <c r="AL246" s="495"/>
      <c r="AM246" s="495"/>
      <c r="AN246" s="495"/>
      <c r="AO246" s="495"/>
      <c r="AP246" s="495"/>
      <c r="AQ246" s="495"/>
      <c r="AR246" s="497"/>
      <c r="AS246" s="509"/>
      <c r="AT246" s="495"/>
      <c r="AU246" s="495"/>
      <c r="AV246" s="480"/>
      <c r="AW246" s="496"/>
      <c r="AX246" s="495"/>
      <c r="AY246" s="495"/>
      <c r="AZ246" s="496"/>
      <c r="BA246" s="496"/>
      <c r="BB246" s="496"/>
      <c r="BC246" s="496"/>
      <c r="BD246" s="511"/>
      <c r="BE246" s="482">
        <f t="shared" si="26"/>
        <v>0</v>
      </c>
      <c r="BF246" s="482">
        <f>SUM($U246:V246)</f>
        <v>0</v>
      </c>
      <c r="BG246" s="482">
        <f>SUM($U246:W246)</f>
        <v>0</v>
      </c>
      <c r="BH246" s="482">
        <f>SUM($U246:X246)</f>
        <v>0</v>
      </c>
      <c r="BI246" s="482">
        <f>SUM($U246:Y246)</f>
        <v>0</v>
      </c>
      <c r="BJ246" s="482">
        <f>SUM($U246:Z246)</f>
        <v>0</v>
      </c>
      <c r="BK246" s="482">
        <f>SUM($U246:AA246)</f>
        <v>0</v>
      </c>
      <c r="BL246" s="482">
        <f>SUM($U246:AB246)</f>
        <v>0</v>
      </c>
      <c r="BM246" s="482">
        <f>SUM($U246:AC246)</f>
        <v>0</v>
      </c>
      <c r="BN246" s="482">
        <f>SUM($U246:AD246)</f>
        <v>0</v>
      </c>
      <c r="BO246" s="482">
        <f>SUM($U246:AE246)</f>
        <v>0</v>
      </c>
      <c r="BP246" s="483">
        <f>SUM($U246:AF246)</f>
        <v>0</v>
      </c>
      <c r="BQ246" s="484">
        <f t="shared" si="27"/>
        <v>0</v>
      </c>
      <c r="BR246" s="482">
        <f>SUM($AS246:AT246)</f>
        <v>0</v>
      </c>
      <c r="BS246" s="482">
        <f>SUM($AS246:AU246)</f>
        <v>0</v>
      </c>
      <c r="BT246" s="482">
        <f>SUM($AS246:AV246)</f>
        <v>0</v>
      </c>
      <c r="BU246" s="482">
        <f>SUM($AS246:AW246)</f>
        <v>0</v>
      </c>
      <c r="BV246" s="482">
        <f>SUM($AS246:AX246)</f>
        <v>0</v>
      </c>
      <c r="BW246" s="482">
        <f>SUM($AS246:AY246)</f>
        <v>0</v>
      </c>
      <c r="BX246" s="482">
        <f>SUM($AS246:AZ246)</f>
        <v>0</v>
      </c>
      <c r="BY246" s="482">
        <f>SUM($AS246:BA246)</f>
        <v>0</v>
      </c>
      <c r="BZ246" s="482">
        <f>SUM($AS246:BB246)</f>
        <v>0</v>
      </c>
      <c r="CA246" s="482">
        <f>SUM($AS246:BC246)</f>
        <v>0</v>
      </c>
      <c r="CB246" s="483">
        <f>SUM($AS246:BD246)</f>
        <v>0</v>
      </c>
    </row>
    <row r="247" spans="1:80" s="471" customFormat="1" ht="12.75" hidden="1" customHeight="1">
      <c r="A247" s="471">
        <f t="shared" si="22"/>
        <v>238</v>
      </c>
      <c r="B247" s="628"/>
      <c r="C247" s="533"/>
      <c r="D247" s="533"/>
      <c r="E247" s="427"/>
      <c r="F247" s="586"/>
      <c r="G247" s="629"/>
      <c r="H247" s="582">
        <f t="shared" si="25"/>
        <v>240</v>
      </c>
      <c r="I247" s="524"/>
      <c r="J247" s="473"/>
      <c r="K247" s="473"/>
      <c r="L247" s="473"/>
      <c r="M247" s="473"/>
      <c r="N247" s="473"/>
      <c r="O247" s="473"/>
      <c r="P247" s="473"/>
      <c r="Q247" s="473"/>
      <c r="R247" s="473"/>
      <c r="S247" s="473"/>
      <c r="T247" s="474"/>
      <c r="U247" s="475"/>
      <c r="V247" s="473"/>
      <c r="W247" s="473"/>
      <c r="X247" s="473"/>
      <c r="Y247" s="473"/>
      <c r="Z247" s="473"/>
      <c r="AA247" s="473"/>
      <c r="AB247" s="473"/>
      <c r="AC247" s="473"/>
      <c r="AD247" s="473"/>
      <c r="AE247" s="473"/>
      <c r="AF247" s="473"/>
      <c r="AG247" s="510"/>
      <c r="AH247" s="495"/>
      <c r="AI247" s="495"/>
      <c r="AJ247" s="495"/>
      <c r="AK247" s="495"/>
      <c r="AL247" s="495"/>
      <c r="AM247" s="495"/>
      <c r="AN247" s="495"/>
      <c r="AO247" s="495"/>
      <c r="AP247" s="495"/>
      <c r="AQ247" s="495"/>
      <c r="AR247" s="497"/>
      <c r="AS247" s="509"/>
      <c r="AT247" s="495"/>
      <c r="AU247" s="495"/>
      <c r="AV247" s="480"/>
      <c r="AW247" s="496"/>
      <c r="AX247" s="495"/>
      <c r="AY247" s="495"/>
      <c r="AZ247" s="496"/>
      <c r="BA247" s="496"/>
      <c r="BB247" s="496"/>
      <c r="BC247" s="496"/>
      <c r="BD247" s="511"/>
      <c r="BE247" s="482">
        <f t="shared" si="26"/>
        <v>0</v>
      </c>
      <c r="BF247" s="482">
        <f>SUM($U247:V247)</f>
        <v>0</v>
      </c>
      <c r="BG247" s="482">
        <f>SUM($U247:W247)</f>
        <v>0</v>
      </c>
      <c r="BH247" s="482">
        <f>SUM($U247:X247)</f>
        <v>0</v>
      </c>
      <c r="BI247" s="482">
        <f>SUM($U247:Y247)</f>
        <v>0</v>
      </c>
      <c r="BJ247" s="482">
        <f>SUM($U247:Z247)</f>
        <v>0</v>
      </c>
      <c r="BK247" s="482">
        <f>SUM($U247:AA247)</f>
        <v>0</v>
      </c>
      <c r="BL247" s="482">
        <f>SUM($U247:AB247)</f>
        <v>0</v>
      </c>
      <c r="BM247" s="482">
        <f>SUM($U247:AC247)</f>
        <v>0</v>
      </c>
      <c r="BN247" s="482">
        <f>SUM($U247:AD247)</f>
        <v>0</v>
      </c>
      <c r="BO247" s="482">
        <f>SUM($U247:AE247)</f>
        <v>0</v>
      </c>
      <c r="BP247" s="483">
        <f>SUM($U247:AF247)</f>
        <v>0</v>
      </c>
      <c r="BQ247" s="484">
        <f t="shared" si="27"/>
        <v>0</v>
      </c>
      <c r="BR247" s="482">
        <f>SUM($AS247:AT247)</f>
        <v>0</v>
      </c>
      <c r="BS247" s="482">
        <f>SUM($AS247:AU247)</f>
        <v>0</v>
      </c>
      <c r="BT247" s="482">
        <f>SUM($AS247:AV247)</f>
        <v>0</v>
      </c>
      <c r="BU247" s="482">
        <f>SUM($AS247:AW247)</f>
        <v>0</v>
      </c>
      <c r="BV247" s="482">
        <f>SUM($AS247:AX247)</f>
        <v>0</v>
      </c>
      <c r="BW247" s="482">
        <f>SUM($AS247:AY247)</f>
        <v>0</v>
      </c>
      <c r="BX247" s="482">
        <f>SUM($AS247:AZ247)</f>
        <v>0</v>
      </c>
      <c r="BY247" s="482">
        <f>SUM($AS247:BA247)</f>
        <v>0</v>
      </c>
      <c r="BZ247" s="482">
        <f>SUM($AS247:BB247)</f>
        <v>0</v>
      </c>
      <c r="CA247" s="482">
        <f>SUM($AS247:BC247)</f>
        <v>0</v>
      </c>
      <c r="CB247" s="483">
        <f>SUM($AS247:BD247)</f>
        <v>0</v>
      </c>
    </row>
    <row r="248" spans="1:80" s="471" customFormat="1" ht="12.75" hidden="1" customHeight="1">
      <c r="A248" s="471">
        <f t="shared" si="22"/>
        <v>239</v>
      </c>
      <c r="B248" s="628"/>
      <c r="C248" s="533"/>
      <c r="D248" s="533"/>
      <c r="E248" s="427"/>
      <c r="F248" s="586"/>
      <c r="G248" s="629"/>
      <c r="H248" s="582">
        <f t="shared" si="25"/>
        <v>241</v>
      </c>
      <c r="I248" s="524"/>
      <c r="J248" s="473"/>
      <c r="K248" s="473"/>
      <c r="L248" s="473"/>
      <c r="M248" s="473"/>
      <c r="N248" s="473"/>
      <c r="O248" s="473"/>
      <c r="P248" s="473"/>
      <c r="Q248" s="473"/>
      <c r="R248" s="473"/>
      <c r="S248" s="473"/>
      <c r="T248" s="474"/>
      <c r="U248" s="475"/>
      <c r="V248" s="473"/>
      <c r="W248" s="473"/>
      <c r="X248" s="473"/>
      <c r="Y248" s="473"/>
      <c r="Z248" s="473"/>
      <c r="AA248" s="473"/>
      <c r="AB248" s="473"/>
      <c r="AC248" s="473"/>
      <c r="AD248" s="473"/>
      <c r="AE248" s="473"/>
      <c r="AF248" s="473"/>
      <c r="AG248" s="510"/>
      <c r="AH248" s="495"/>
      <c r="AI248" s="495"/>
      <c r="AJ248" s="495"/>
      <c r="AK248" s="495"/>
      <c r="AL248" s="495"/>
      <c r="AM248" s="495"/>
      <c r="AN248" s="495"/>
      <c r="AO248" s="495"/>
      <c r="AP248" s="495"/>
      <c r="AQ248" s="495"/>
      <c r="AR248" s="497"/>
      <c r="AS248" s="509"/>
      <c r="AT248" s="495"/>
      <c r="AU248" s="495"/>
      <c r="AV248" s="480"/>
      <c r="AW248" s="496"/>
      <c r="AX248" s="495"/>
      <c r="AY248" s="495"/>
      <c r="AZ248" s="496"/>
      <c r="BA248" s="496"/>
      <c r="BB248" s="496"/>
      <c r="BC248" s="496"/>
      <c r="BD248" s="511"/>
      <c r="BE248" s="482">
        <f t="shared" si="26"/>
        <v>0</v>
      </c>
      <c r="BF248" s="482">
        <f>SUM($U248:V248)</f>
        <v>0</v>
      </c>
      <c r="BG248" s="482">
        <f>SUM($U248:W248)</f>
        <v>0</v>
      </c>
      <c r="BH248" s="482">
        <f>SUM($U248:X248)</f>
        <v>0</v>
      </c>
      <c r="BI248" s="482">
        <f>SUM($U248:Y248)</f>
        <v>0</v>
      </c>
      <c r="BJ248" s="482">
        <f>SUM($U248:Z248)</f>
        <v>0</v>
      </c>
      <c r="BK248" s="482">
        <f>SUM($U248:AA248)</f>
        <v>0</v>
      </c>
      <c r="BL248" s="482">
        <f>SUM($U248:AB248)</f>
        <v>0</v>
      </c>
      <c r="BM248" s="482">
        <f>SUM($U248:AC248)</f>
        <v>0</v>
      </c>
      <c r="BN248" s="482">
        <f>SUM($U248:AD248)</f>
        <v>0</v>
      </c>
      <c r="BO248" s="482">
        <f>SUM($U248:AE248)</f>
        <v>0</v>
      </c>
      <c r="BP248" s="483">
        <f>SUM($U248:AF248)</f>
        <v>0</v>
      </c>
      <c r="BQ248" s="484">
        <f t="shared" si="27"/>
        <v>0</v>
      </c>
      <c r="BR248" s="482">
        <f>SUM($AS248:AT248)</f>
        <v>0</v>
      </c>
      <c r="BS248" s="482">
        <f>SUM($AS248:AU248)</f>
        <v>0</v>
      </c>
      <c r="BT248" s="482">
        <f>SUM($AS248:AV248)</f>
        <v>0</v>
      </c>
      <c r="BU248" s="482">
        <f>SUM($AS248:AW248)</f>
        <v>0</v>
      </c>
      <c r="BV248" s="482">
        <f>SUM($AS248:AX248)</f>
        <v>0</v>
      </c>
      <c r="BW248" s="482">
        <f>SUM($AS248:AY248)</f>
        <v>0</v>
      </c>
      <c r="BX248" s="482">
        <f>SUM($AS248:AZ248)</f>
        <v>0</v>
      </c>
      <c r="BY248" s="482">
        <f>SUM($AS248:BA248)</f>
        <v>0</v>
      </c>
      <c r="BZ248" s="482">
        <f>SUM($AS248:BB248)</f>
        <v>0</v>
      </c>
      <c r="CA248" s="482">
        <f>SUM($AS248:BC248)</f>
        <v>0</v>
      </c>
      <c r="CB248" s="483">
        <f>SUM($AS248:BD248)</f>
        <v>0</v>
      </c>
    </row>
    <row r="249" spans="1:80" s="471" customFormat="1" ht="12.75" hidden="1" customHeight="1">
      <c r="A249" s="471">
        <f t="shared" si="22"/>
        <v>240</v>
      </c>
      <c r="B249" s="628"/>
      <c r="C249" s="533"/>
      <c r="D249" s="533"/>
      <c r="E249" s="427"/>
      <c r="F249" s="586"/>
      <c r="G249" s="629"/>
      <c r="H249" s="582">
        <f t="shared" si="25"/>
        <v>242</v>
      </c>
      <c r="I249" s="524"/>
      <c r="J249" s="473"/>
      <c r="K249" s="473"/>
      <c r="L249" s="473"/>
      <c r="M249" s="473"/>
      <c r="N249" s="473"/>
      <c r="O249" s="473"/>
      <c r="P249" s="473"/>
      <c r="Q249" s="473"/>
      <c r="R249" s="473"/>
      <c r="S249" s="473"/>
      <c r="T249" s="474"/>
      <c r="U249" s="475"/>
      <c r="V249" s="473"/>
      <c r="W249" s="473"/>
      <c r="X249" s="473"/>
      <c r="Y249" s="473"/>
      <c r="Z249" s="473"/>
      <c r="AA249" s="473"/>
      <c r="AB249" s="473"/>
      <c r="AC249" s="473"/>
      <c r="AD249" s="473"/>
      <c r="AE249" s="473"/>
      <c r="AF249" s="473"/>
      <c r="AG249" s="510"/>
      <c r="AH249" s="495"/>
      <c r="AI249" s="495"/>
      <c r="AJ249" s="495"/>
      <c r="AK249" s="495"/>
      <c r="AL249" s="495"/>
      <c r="AM249" s="495"/>
      <c r="AN249" s="495"/>
      <c r="AO249" s="495"/>
      <c r="AP249" s="495"/>
      <c r="AQ249" s="495"/>
      <c r="AR249" s="497"/>
      <c r="AS249" s="509"/>
      <c r="AT249" s="495"/>
      <c r="AU249" s="495"/>
      <c r="AV249" s="480"/>
      <c r="AW249" s="496"/>
      <c r="AX249" s="495"/>
      <c r="AY249" s="495"/>
      <c r="AZ249" s="496"/>
      <c r="BA249" s="496"/>
      <c r="BB249" s="496"/>
      <c r="BC249" s="496"/>
      <c r="BD249" s="511"/>
      <c r="BE249" s="482">
        <f t="shared" si="26"/>
        <v>0</v>
      </c>
      <c r="BF249" s="482">
        <f>SUM($U249:V249)</f>
        <v>0</v>
      </c>
      <c r="BG249" s="482">
        <f>SUM($U249:W249)</f>
        <v>0</v>
      </c>
      <c r="BH249" s="482">
        <f>SUM($U249:X249)</f>
        <v>0</v>
      </c>
      <c r="BI249" s="482">
        <f>SUM($U249:Y249)</f>
        <v>0</v>
      </c>
      <c r="BJ249" s="482">
        <f>SUM($U249:Z249)</f>
        <v>0</v>
      </c>
      <c r="BK249" s="482">
        <f>SUM($U249:AA249)</f>
        <v>0</v>
      </c>
      <c r="BL249" s="482">
        <f>SUM($U249:AB249)</f>
        <v>0</v>
      </c>
      <c r="BM249" s="482">
        <f>SUM($U249:AC249)</f>
        <v>0</v>
      </c>
      <c r="BN249" s="482">
        <f>SUM($U249:AD249)</f>
        <v>0</v>
      </c>
      <c r="BO249" s="482">
        <f>SUM($U249:AE249)</f>
        <v>0</v>
      </c>
      <c r="BP249" s="483">
        <f>SUM($U249:AF249)</f>
        <v>0</v>
      </c>
      <c r="BQ249" s="484">
        <f t="shared" si="27"/>
        <v>0</v>
      </c>
      <c r="BR249" s="482">
        <f>SUM($AS249:AT249)</f>
        <v>0</v>
      </c>
      <c r="BS249" s="482">
        <f>SUM($AS249:AU249)</f>
        <v>0</v>
      </c>
      <c r="BT249" s="482">
        <f>SUM($AS249:AV249)</f>
        <v>0</v>
      </c>
      <c r="BU249" s="482">
        <f>SUM($AS249:AW249)</f>
        <v>0</v>
      </c>
      <c r="BV249" s="482">
        <f>SUM($AS249:AX249)</f>
        <v>0</v>
      </c>
      <c r="BW249" s="482">
        <f>SUM($AS249:AY249)</f>
        <v>0</v>
      </c>
      <c r="BX249" s="482">
        <f>SUM($AS249:AZ249)</f>
        <v>0</v>
      </c>
      <c r="BY249" s="482">
        <f>SUM($AS249:BA249)</f>
        <v>0</v>
      </c>
      <c r="BZ249" s="482">
        <f>SUM($AS249:BB249)</f>
        <v>0</v>
      </c>
      <c r="CA249" s="482">
        <f>SUM($AS249:BC249)</f>
        <v>0</v>
      </c>
      <c r="CB249" s="483">
        <f>SUM($AS249:BD249)</f>
        <v>0</v>
      </c>
    </row>
    <row r="250" spans="1:80" s="471" customFormat="1" ht="12.75" hidden="1" customHeight="1">
      <c r="A250" s="471">
        <f t="shared" si="22"/>
        <v>241</v>
      </c>
      <c r="B250" s="628"/>
      <c r="C250" s="533"/>
      <c r="D250" s="533"/>
      <c r="E250" s="427"/>
      <c r="F250" s="586"/>
      <c r="G250" s="629"/>
      <c r="H250" s="582">
        <f t="shared" si="25"/>
        <v>243</v>
      </c>
      <c r="I250" s="524"/>
      <c r="J250" s="473"/>
      <c r="K250" s="473"/>
      <c r="L250" s="473"/>
      <c r="M250" s="473"/>
      <c r="N250" s="473"/>
      <c r="O250" s="473"/>
      <c r="P250" s="473"/>
      <c r="Q250" s="473"/>
      <c r="R250" s="473"/>
      <c r="S250" s="473"/>
      <c r="T250" s="474"/>
      <c r="U250" s="475"/>
      <c r="V250" s="473"/>
      <c r="W250" s="473"/>
      <c r="X250" s="473"/>
      <c r="Y250" s="473"/>
      <c r="Z250" s="473"/>
      <c r="AA250" s="473"/>
      <c r="AB250" s="473"/>
      <c r="AC250" s="473"/>
      <c r="AD250" s="473"/>
      <c r="AE250" s="473"/>
      <c r="AF250" s="473"/>
      <c r="AG250" s="510"/>
      <c r="AH250" s="495"/>
      <c r="AI250" s="495"/>
      <c r="AJ250" s="495"/>
      <c r="AK250" s="495"/>
      <c r="AL250" s="495"/>
      <c r="AM250" s="495"/>
      <c r="AN250" s="495"/>
      <c r="AO250" s="495"/>
      <c r="AP250" s="495"/>
      <c r="AQ250" s="495"/>
      <c r="AR250" s="497"/>
      <c r="AS250" s="509"/>
      <c r="AT250" s="495"/>
      <c r="AU250" s="495"/>
      <c r="AV250" s="480"/>
      <c r="AW250" s="496"/>
      <c r="AX250" s="495"/>
      <c r="AY250" s="495"/>
      <c r="AZ250" s="496"/>
      <c r="BA250" s="496"/>
      <c r="BB250" s="496"/>
      <c r="BC250" s="496"/>
      <c r="BD250" s="511"/>
      <c r="BE250" s="482">
        <f t="shared" si="26"/>
        <v>0</v>
      </c>
      <c r="BF250" s="482">
        <f>SUM($U250:V250)</f>
        <v>0</v>
      </c>
      <c r="BG250" s="482">
        <f>SUM($U250:W250)</f>
        <v>0</v>
      </c>
      <c r="BH250" s="482">
        <f>SUM($U250:X250)</f>
        <v>0</v>
      </c>
      <c r="BI250" s="482">
        <f>SUM($U250:Y250)</f>
        <v>0</v>
      </c>
      <c r="BJ250" s="482">
        <f>SUM($U250:Z250)</f>
        <v>0</v>
      </c>
      <c r="BK250" s="482">
        <f>SUM($U250:AA250)</f>
        <v>0</v>
      </c>
      <c r="BL250" s="482">
        <f>SUM($U250:AB250)</f>
        <v>0</v>
      </c>
      <c r="BM250" s="482">
        <f>SUM($U250:AC250)</f>
        <v>0</v>
      </c>
      <c r="BN250" s="482">
        <f>SUM($U250:AD250)</f>
        <v>0</v>
      </c>
      <c r="BO250" s="482">
        <f>SUM($U250:AE250)</f>
        <v>0</v>
      </c>
      <c r="BP250" s="483">
        <f>SUM($U250:AF250)</f>
        <v>0</v>
      </c>
      <c r="BQ250" s="484">
        <f t="shared" si="27"/>
        <v>0</v>
      </c>
      <c r="BR250" s="482">
        <f>SUM($AS250:AT250)</f>
        <v>0</v>
      </c>
      <c r="BS250" s="482">
        <f>SUM($AS250:AU250)</f>
        <v>0</v>
      </c>
      <c r="BT250" s="482">
        <f>SUM($AS250:AV250)</f>
        <v>0</v>
      </c>
      <c r="BU250" s="482">
        <f>SUM($AS250:AW250)</f>
        <v>0</v>
      </c>
      <c r="BV250" s="482">
        <f>SUM($AS250:AX250)</f>
        <v>0</v>
      </c>
      <c r="BW250" s="482">
        <f>SUM($AS250:AY250)</f>
        <v>0</v>
      </c>
      <c r="BX250" s="482">
        <f>SUM($AS250:AZ250)</f>
        <v>0</v>
      </c>
      <c r="BY250" s="482">
        <f>SUM($AS250:BA250)</f>
        <v>0</v>
      </c>
      <c r="BZ250" s="482">
        <f>SUM($AS250:BB250)</f>
        <v>0</v>
      </c>
      <c r="CA250" s="482">
        <f>SUM($AS250:BC250)</f>
        <v>0</v>
      </c>
      <c r="CB250" s="483">
        <f>SUM($AS250:BD250)</f>
        <v>0</v>
      </c>
    </row>
    <row r="251" spans="1:80" s="471" customFormat="1" ht="12.75" hidden="1" customHeight="1">
      <c r="A251" s="471">
        <f t="shared" si="22"/>
        <v>242</v>
      </c>
      <c r="B251" s="628"/>
      <c r="C251" s="533"/>
      <c r="D251" s="533"/>
      <c r="E251" s="427"/>
      <c r="F251" s="586"/>
      <c r="G251" s="629"/>
      <c r="H251" s="582">
        <f t="shared" si="25"/>
        <v>244</v>
      </c>
      <c r="I251" s="524"/>
      <c r="J251" s="473"/>
      <c r="K251" s="473"/>
      <c r="L251" s="473"/>
      <c r="M251" s="473"/>
      <c r="N251" s="473"/>
      <c r="O251" s="473"/>
      <c r="P251" s="473"/>
      <c r="Q251" s="473"/>
      <c r="R251" s="473"/>
      <c r="S251" s="473"/>
      <c r="T251" s="474"/>
      <c r="U251" s="475"/>
      <c r="V251" s="473"/>
      <c r="W251" s="473"/>
      <c r="X251" s="473"/>
      <c r="Y251" s="473"/>
      <c r="Z251" s="473"/>
      <c r="AA251" s="473"/>
      <c r="AB251" s="473"/>
      <c r="AC251" s="473"/>
      <c r="AD251" s="473"/>
      <c r="AE251" s="473"/>
      <c r="AF251" s="473"/>
      <c r="AG251" s="510"/>
      <c r="AH251" s="495"/>
      <c r="AI251" s="495"/>
      <c r="AJ251" s="495"/>
      <c r="AK251" s="495"/>
      <c r="AL251" s="495"/>
      <c r="AM251" s="495"/>
      <c r="AN251" s="495"/>
      <c r="AO251" s="495"/>
      <c r="AP251" s="495"/>
      <c r="AQ251" s="495"/>
      <c r="AR251" s="497"/>
      <c r="AS251" s="509"/>
      <c r="AT251" s="495"/>
      <c r="AU251" s="495"/>
      <c r="AV251" s="480"/>
      <c r="AW251" s="496"/>
      <c r="AX251" s="495"/>
      <c r="AY251" s="495"/>
      <c r="AZ251" s="496"/>
      <c r="BA251" s="496"/>
      <c r="BB251" s="496"/>
      <c r="BC251" s="496"/>
      <c r="BD251" s="511"/>
      <c r="BE251" s="482">
        <f t="shared" si="26"/>
        <v>0</v>
      </c>
      <c r="BF251" s="482">
        <f>SUM($U251:V251)</f>
        <v>0</v>
      </c>
      <c r="BG251" s="482">
        <f>SUM($U251:W251)</f>
        <v>0</v>
      </c>
      <c r="BH251" s="482">
        <f>SUM($U251:X251)</f>
        <v>0</v>
      </c>
      <c r="BI251" s="482">
        <f>SUM($U251:Y251)</f>
        <v>0</v>
      </c>
      <c r="BJ251" s="482">
        <f>SUM($U251:Z251)</f>
        <v>0</v>
      </c>
      <c r="BK251" s="482">
        <f>SUM($U251:AA251)</f>
        <v>0</v>
      </c>
      <c r="BL251" s="482">
        <f>SUM($U251:AB251)</f>
        <v>0</v>
      </c>
      <c r="BM251" s="482">
        <f>SUM($U251:AC251)</f>
        <v>0</v>
      </c>
      <c r="BN251" s="482">
        <f>SUM($U251:AD251)</f>
        <v>0</v>
      </c>
      <c r="BO251" s="482">
        <f>SUM($U251:AE251)</f>
        <v>0</v>
      </c>
      <c r="BP251" s="483">
        <f>SUM($U251:AF251)</f>
        <v>0</v>
      </c>
      <c r="BQ251" s="484">
        <f t="shared" si="27"/>
        <v>0</v>
      </c>
      <c r="BR251" s="482">
        <f>SUM($AS251:AT251)</f>
        <v>0</v>
      </c>
      <c r="BS251" s="482">
        <f>SUM($AS251:AU251)</f>
        <v>0</v>
      </c>
      <c r="BT251" s="482">
        <f>SUM($AS251:AV251)</f>
        <v>0</v>
      </c>
      <c r="BU251" s="482">
        <f>SUM($AS251:AW251)</f>
        <v>0</v>
      </c>
      <c r="BV251" s="482">
        <f>SUM($AS251:AX251)</f>
        <v>0</v>
      </c>
      <c r="BW251" s="482">
        <f>SUM($AS251:AY251)</f>
        <v>0</v>
      </c>
      <c r="BX251" s="482">
        <f>SUM($AS251:AZ251)</f>
        <v>0</v>
      </c>
      <c r="BY251" s="482">
        <f>SUM($AS251:BA251)</f>
        <v>0</v>
      </c>
      <c r="BZ251" s="482">
        <f>SUM($AS251:BB251)</f>
        <v>0</v>
      </c>
      <c r="CA251" s="482">
        <f>SUM($AS251:BC251)</f>
        <v>0</v>
      </c>
      <c r="CB251" s="483">
        <f>SUM($AS251:BD251)</f>
        <v>0</v>
      </c>
    </row>
    <row r="252" spans="1:80" s="471" customFormat="1" ht="12.75" hidden="1" customHeight="1">
      <c r="A252" s="471">
        <f t="shared" si="22"/>
        <v>243</v>
      </c>
      <c r="B252" s="628"/>
      <c r="C252" s="533"/>
      <c r="D252" s="533"/>
      <c r="E252" s="427"/>
      <c r="F252" s="586"/>
      <c r="G252" s="629"/>
      <c r="H252" s="582">
        <f t="shared" si="25"/>
        <v>245</v>
      </c>
      <c r="I252" s="524"/>
      <c r="J252" s="473"/>
      <c r="K252" s="473"/>
      <c r="L252" s="473"/>
      <c r="M252" s="473"/>
      <c r="N252" s="473"/>
      <c r="O252" s="473"/>
      <c r="P252" s="473"/>
      <c r="Q252" s="473"/>
      <c r="R252" s="473"/>
      <c r="S252" s="473"/>
      <c r="T252" s="474"/>
      <c r="U252" s="475"/>
      <c r="V252" s="473"/>
      <c r="W252" s="473"/>
      <c r="X252" s="473"/>
      <c r="Y252" s="473"/>
      <c r="Z252" s="473"/>
      <c r="AA252" s="473"/>
      <c r="AB252" s="473"/>
      <c r="AC252" s="473"/>
      <c r="AD252" s="473"/>
      <c r="AE252" s="473"/>
      <c r="AF252" s="473"/>
      <c r="AG252" s="510"/>
      <c r="AH252" s="495"/>
      <c r="AI252" s="495"/>
      <c r="AJ252" s="495"/>
      <c r="AK252" s="495"/>
      <c r="AL252" s="495"/>
      <c r="AM252" s="495"/>
      <c r="AN252" s="495"/>
      <c r="AO252" s="495"/>
      <c r="AP252" s="495"/>
      <c r="AQ252" s="495"/>
      <c r="AR252" s="497"/>
      <c r="AS252" s="509"/>
      <c r="AT252" s="495"/>
      <c r="AU252" s="495"/>
      <c r="AV252" s="480"/>
      <c r="AW252" s="496"/>
      <c r="AX252" s="495"/>
      <c r="AY252" s="495"/>
      <c r="AZ252" s="496"/>
      <c r="BA252" s="496"/>
      <c r="BB252" s="496"/>
      <c r="BC252" s="496"/>
      <c r="BD252" s="511"/>
      <c r="BE252" s="482">
        <f t="shared" si="26"/>
        <v>0</v>
      </c>
      <c r="BF252" s="482">
        <f>SUM($U252:V252)</f>
        <v>0</v>
      </c>
      <c r="BG252" s="482">
        <f>SUM($U252:W252)</f>
        <v>0</v>
      </c>
      <c r="BH252" s="482">
        <f>SUM($U252:X252)</f>
        <v>0</v>
      </c>
      <c r="BI252" s="482">
        <f>SUM($U252:Y252)</f>
        <v>0</v>
      </c>
      <c r="BJ252" s="482">
        <f>SUM($U252:Z252)</f>
        <v>0</v>
      </c>
      <c r="BK252" s="482">
        <f>SUM($U252:AA252)</f>
        <v>0</v>
      </c>
      <c r="BL252" s="482">
        <f>SUM($U252:AB252)</f>
        <v>0</v>
      </c>
      <c r="BM252" s="482">
        <f>SUM($U252:AC252)</f>
        <v>0</v>
      </c>
      <c r="BN252" s="482">
        <f>SUM($U252:AD252)</f>
        <v>0</v>
      </c>
      <c r="BO252" s="482">
        <f>SUM($U252:AE252)</f>
        <v>0</v>
      </c>
      <c r="BP252" s="483">
        <f>SUM($U252:AF252)</f>
        <v>0</v>
      </c>
      <c r="BQ252" s="484">
        <f t="shared" si="27"/>
        <v>0</v>
      </c>
      <c r="BR252" s="482">
        <f>SUM($AS252:AT252)</f>
        <v>0</v>
      </c>
      <c r="BS252" s="482">
        <f>SUM($AS252:AU252)</f>
        <v>0</v>
      </c>
      <c r="BT252" s="482">
        <f>SUM($AS252:AV252)</f>
        <v>0</v>
      </c>
      <c r="BU252" s="482">
        <f>SUM($AS252:AW252)</f>
        <v>0</v>
      </c>
      <c r="BV252" s="482">
        <f>SUM($AS252:AX252)</f>
        <v>0</v>
      </c>
      <c r="BW252" s="482">
        <f>SUM($AS252:AY252)</f>
        <v>0</v>
      </c>
      <c r="BX252" s="482">
        <f>SUM($AS252:AZ252)</f>
        <v>0</v>
      </c>
      <c r="BY252" s="482">
        <f>SUM($AS252:BA252)</f>
        <v>0</v>
      </c>
      <c r="BZ252" s="482">
        <f>SUM($AS252:BB252)</f>
        <v>0</v>
      </c>
      <c r="CA252" s="482">
        <f>SUM($AS252:BC252)</f>
        <v>0</v>
      </c>
      <c r="CB252" s="483">
        <f>SUM($AS252:BD252)</f>
        <v>0</v>
      </c>
    </row>
    <row r="253" spans="1:80" s="471" customFormat="1" ht="12.75" hidden="1" customHeight="1">
      <c r="A253" s="471">
        <f t="shared" si="22"/>
        <v>244</v>
      </c>
      <c r="B253" s="628"/>
      <c r="C253" s="533"/>
      <c r="D253" s="533"/>
      <c r="E253" s="427"/>
      <c r="F253" s="586"/>
      <c r="G253" s="629"/>
      <c r="H253" s="582">
        <f t="shared" si="25"/>
        <v>246</v>
      </c>
      <c r="I253" s="524"/>
      <c r="J253" s="473"/>
      <c r="K253" s="473"/>
      <c r="L253" s="473"/>
      <c r="M253" s="473"/>
      <c r="N253" s="473"/>
      <c r="O253" s="473"/>
      <c r="P253" s="473"/>
      <c r="Q253" s="473"/>
      <c r="R253" s="473"/>
      <c r="S253" s="473"/>
      <c r="T253" s="474"/>
      <c r="U253" s="475"/>
      <c r="V253" s="473"/>
      <c r="W253" s="473"/>
      <c r="X253" s="473"/>
      <c r="Y253" s="473"/>
      <c r="Z253" s="473"/>
      <c r="AA253" s="473"/>
      <c r="AB253" s="473"/>
      <c r="AC253" s="473"/>
      <c r="AD253" s="473"/>
      <c r="AE253" s="473"/>
      <c r="AF253" s="473"/>
      <c r="AG253" s="510"/>
      <c r="AH253" s="495"/>
      <c r="AI253" s="495"/>
      <c r="AJ253" s="495"/>
      <c r="AK253" s="495"/>
      <c r="AL253" s="495"/>
      <c r="AM253" s="495"/>
      <c r="AN253" s="495"/>
      <c r="AO253" s="495"/>
      <c r="AP253" s="495"/>
      <c r="AQ253" s="495"/>
      <c r="AR253" s="497"/>
      <c r="AS253" s="509"/>
      <c r="AT253" s="495"/>
      <c r="AU253" s="495"/>
      <c r="AV253" s="480"/>
      <c r="AW253" s="496"/>
      <c r="AX253" s="495"/>
      <c r="AY253" s="495"/>
      <c r="AZ253" s="496"/>
      <c r="BA253" s="496"/>
      <c r="BB253" s="496"/>
      <c r="BC253" s="496"/>
      <c r="BD253" s="511"/>
      <c r="BE253" s="482">
        <f t="shared" si="26"/>
        <v>0</v>
      </c>
      <c r="BF253" s="482">
        <f>SUM($U253:V253)</f>
        <v>0</v>
      </c>
      <c r="BG253" s="482">
        <f>SUM($U253:W253)</f>
        <v>0</v>
      </c>
      <c r="BH253" s="482">
        <f>SUM($U253:X253)</f>
        <v>0</v>
      </c>
      <c r="BI253" s="482">
        <f>SUM($U253:Y253)</f>
        <v>0</v>
      </c>
      <c r="BJ253" s="482">
        <f>SUM($U253:Z253)</f>
        <v>0</v>
      </c>
      <c r="BK253" s="482">
        <f>SUM($U253:AA253)</f>
        <v>0</v>
      </c>
      <c r="BL253" s="482">
        <f>SUM($U253:AB253)</f>
        <v>0</v>
      </c>
      <c r="BM253" s="482">
        <f>SUM($U253:AC253)</f>
        <v>0</v>
      </c>
      <c r="BN253" s="482">
        <f>SUM($U253:AD253)</f>
        <v>0</v>
      </c>
      <c r="BO253" s="482">
        <f>SUM($U253:AE253)</f>
        <v>0</v>
      </c>
      <c r="BP253" s="483">
        <f>SUM($U253:AF253)</f>
        <v>0</v>
      </c>
      <c r="BQ253" s="484">
        <f t="shared" si="27"/>
        <v>0</v>
      </c>
      <c r="BR253" s="482">
        <f>SUM($AS253:AT253)</f>
        <v>0</v>
      </c>
      <c r="BS253" s="482">
        <f>SUM($AS253:AU253)</f>
        <v>0</v>
      </c>
      <c r="BT253" s="482">
        <f>SUM($AS253:AV253)</f>
        <v>0</v>
      </c>
      <c r="BU253" s="482">
        <f>SUM($AS253:AW253)</f>
        <v>0</v>
      </c>
      <c r="BV253" s="482">
        <f>SUM($AS253:AX253)</f>
        <v>0</v>
      </c>
      <c r="BW253" s="482">
        <f>SUM($AS253:AY253)</f>
        <v>0</v>
      </c>
      <c r="BX253" s="482">
        <f>SUM($AS253:AZ253)</f>
        <v>0</v>
      </c>
      <c r="BY253" s="482">
        <f>SUM($AS253:BA253)</f>
        <v>0</v>
      </c>
      <c r="BZ253" s="482">
        <f>SUM($AS253:BB253)</f>
        <v>0</v>
      </c>
      <c r="CA253" s="482">
        <f>SUM($AS253:BC253)</f>
        <v>0</v>
      </c>
      <c r="CB253" s="483">
        <f>SUM($AS253:BD253)</f>
        <v>0</v>
      </c>
    </row>
    <row r="254" spans="1:80" s="471" customFormat="1" ht="12.75" hidden="1" customHeight="1">
      <c r="A254" s="471">
        <f t="shared" si="22"/>
        <v>245</v>
      </c>
      <c r="B254" s="628"/>
      <c r="C254" s="533"/>
      <c r="D254" s="533"/>
      <c r="E254" s="427"/>
      <c r="F254" s="586"/>
      <c r="G254" s="629"/>
      <c r="H254" s="582">
        <f t="shared" si="25"/>
        <v>247</v>
      </c>
      <c r="I254" s="524"/>
      <c r="J254" s="473"/>
      <c r="K254" s="473"/>
      <c r="L254" s="473"/>
      <c r="M254" s="473"/>
      <c r="N254" s="473"/>
      <c r="O254" s="473"/>
      <c r="P254" s="473"/>
      <c r="Q254" s="473"/>
      <c r="R254" s="473"/>
      <c r="S254" s="473"/>
      <c r="T254" s="474"/>
      <c r="U254" s="475"/>
      <c r="V254" s="473"/>
      <c r="W254" s="473"/>
      <c r="X254" s="473"/>
      <c r="Y254" s="473"/>
      <c r="Z254" s="473"/>
      <c r="AA254" s="473"/>
      <c r="AB254" s="473"/>
      <c r="AC254" s="473"/>
      <c r="AD254" s="473"/>
      <c r="AE254" s="473"/>
      <c r="AF254" s="473"/>
      <c r="AG254" s="510"/>
      <c r="AH254" s="495"/>
      <c r="AI254" s="495"/>
      <c r="AJ254" s="495"/>
      <c r="AK254" s="495"/>
      <c r="AL254" s="495"/>
      <c r="AM254" s="495"/>
      <c r="AN254" s="495"/>
      <c r="AO254" s="495"/>
      <c r="AP254" s="495"/>
      <c r="AQ254" s="495"/>
      <c r="AR254" s="497"/>
      <c r="AS254" s="509"/>
      <c r="AT254" s="495"/>
      <c r="AU254" s="495"/>
      <c r="AV254" s="480"/>
      <c r="AW254" s="496"/>
      <c r="AX254" s="495"/>
      <c r="AY254" s="495"/>
      <c r="AZ254" s="496"/>
      <c r="BA254" s="496"/>
      <c r="BB254" s="496"/>
      <c r="BC254" s="496"/>
      <c r="BD254" s="511"/>
      <c r="BE254" s="482">
        <f t="shared" si="26"/>
        <v>0</v>
      </c>
      <c r="BF254" s="482">
        <f>SUM($U254:V254)</f>
        <v>0</v>
      </c>
      <c r="BG254" s="482">
        <f>SUM($U254:W254)</f>
        <v>0</v>
      </c>
      <c r="BH254" s="482">
        <f>SUM($U254:X254)</f>
        <v>0</v>
      </c>
      <c r="BI254" s="482">
        <f>SUM($U254:Y254)</f>
        <v>0</v>
      </c>
      <c r="BJ254" s="482">
        <f>SUM($U254:Z254)</f>
        <v>0</v>
      </c>
      <c r="BK254" s="482">
        <f>SUM($U254:AA254)</f>
        <v>0</v>
      </c>
      <c r="BL254" s="482">
        <f>SUM($U254:AB254)</f>
        <v>0</v>
      </c>
      <c r="BM254" s="482">
        <f>SUM($U254:AC254)</f>
        <v>0</v>
      </c>
      <c r="BN254" s="482">
        <f>SUM($U254:AD254)</f>
        <v>0</v>
      </c>
      <c r="BO254" s="482">
        <f>SUM($U254:AE254)</f>
        <v>0</v>
      </c>
      <c r="BP254" s="483">
        <f>SUM($U254:AF254)</f>
        <v>0</v>
      </c>
      <c r="BQ254" s="484">
        <f t="shared" si="27"/>
        <v>0</v>
      </c>
      <c r="BR254" s="482">
        <f>SUM($AS254:AT254)</f>
        <v>0</v>
      </c>
      <c r="BS254" s="482">
        <f>SUM($AS254:AU254)</f>
        <v>0</v>
      </c>
      <c r="BT254" s="482">
        <f>SUM($AS254:AV254)</f>
        <v>0</v>
      </c>
      <c r="BU254" s="482">
        <f>SUM($AS254:AW254)</f>
        <v>0</v>
      </c>
      <c r="BV254" s="482">
        <f>SUM($AS254:AX254)</f>
        <v>0</v>
      </c>
      <c r="BW254" s="482">
        <f>SUM($AS254:AY254)</f>
        <v>0</v>
      </c>
      <c r="BX254" s="482">
        <f>SUM($AS254:AZ254)</f>
        <v>0</v>
      </c>
      <c r="BY254" s="482">
        <f>SUM($AS254:BA254)</f>
        <v>0</v>
      </c>
      <c r="BZ254" s="482">
        <f>SUM($AS254:BB254)</f>
        <v>0</v>
      </c>
      <c r="CA254" s="482">
        <f>SUM($AS254:BC254)</f>
        <v>0</v>
      </c>
      <c r="CB254" s="483">
        <f>SUM($AS254:BD254)</f>
        <v>0</v>
      </c>
    </row>
    <row r="255" spans="1:80" s="471" customFormat="1" ht="12.75" hidden="1" customHeight="1">
      <c r="A255" s="471">
        <f t="shared" si="22"/>
        <v>246</v>
      </c>
      <c r="B255" s="628"/>
      <c r="C255" s="533"/>
      <c r="D255" s="533"/>
      <c r="E255" s="427"/>
      <c r="F255" s="586"/>
      <c r="G255" s="629"/>
      <c r="H255" s="582">
        <f t="shared" si="25"/>
        <v>248</v>
      </c>
      <c r="I255" s="524"/>
      <c r="J255" s="473"/>
      <c r="K255" s="473"/>
      <c r="L255" s="473"/>
      <c r="M255" s="473"/>
      <c r="N255" s="473"/>
      <c r="O255" s="473"/>
      <c r="P255" s="473"/>
      <c r="Q255" s="473"/>
      <c r="R255" s="473"/>
      <c r="S255" s="473"/>
      <c r="T255" s="474"/>
      <c r="U255" s="475"/>
      <c r="V255" s="473"/>
      <c r="W255" s="473"/>
      <c r="X255" s="473"/>
      <c r="Y255" s="473"/>
      <c r="Z255" s="473"/>
      <c r="AA255" s="473"/>
      <c r="AB255" s="473"/>
      <c r="AC255" s="473"/>
      <c r="AD255" s="473"/>
      <c r="AE255" s="473"/>
      <c r="AF255" s="473"/>
      <c r="AG255" s="510"/>
      <c r="AH255" s="495"/>
      <c r="AI255" s="495"/>
      <c r="AJ255" s="495"/>
      <c r="AK255" s="495"/>
      <c r="AL255" s="495"/>
      <c r="AM255" s="495"/>
      <c r="AN255" s="495"/>
      <c r="AO255" s="495"/>
      <c r="AP255" s="495"/>
      <c r="AQ255" s="495"/>
      <c r="AR255" s="497"/>
      <c r="AS255" s="509"/>
      <c r="AT255" s="495"/>
      <c r="AU255" s="495"/>
      <c r="AV255" s="480"/>
      <c r="AW255" s="496"/>
      <c r="AX255" s="495"/>
      <c r="AY255" s="495"/>
      <c r="AZ255" s="496"/>
      <c r="BA255" s="496"/>
      <c r="BB255" s="496"/>
      <c r="BC255" s="496"/>
      <c r="BD255" s="511"/>
      <c r="BE255" s="482">
        <f t="shared" si="26"/>
        <v>0</v>
      </c>
      <c r="BF255" s="482">
        <f>SUM($U255:V255)</f>
        <v>0</v>
      </c>
      <c r="BG255" s="482">
        <f>SUM($U255:W255)</f>
        <v>0</v>
      </c>
      <c r="BH255" s="482">
        <f>SUM($U255:X255)</f>
        <v>0</v>
      </c>
      <c r="BI255" s="482">
        <f>SUM($U255:Y255)</f>
        <v>0</v>
      </c>
      <c r="BJ255" s="482">
        <f>SUM($U255:Z255)</f>
        <v>0</v>
      </c>
      <c r="BK255" s="482">
        <f>SUM($U255:AA255)</f>
        <v>0</v>
      </c>
      <c r="BL255" s="482">
        <f>SUM($U255:AB255)</f>
        <v>0</v>
      </c>
      <c r="BM255" s="482">
        <f>SUM($U255:AC255)</f>
        <v>0</v>
      </c>
      <c r="BN255" s="482">
        <f>SUM($U255:AD255)</f>
        <v>0</v>
      </c>
      <c r="BO255" s="482">
        <f>SUM($U255:AE255)</f>
        <v>0</v>
      </c>
      <c r="BP255" s="483">
        <f>SUM($U255:AF255)</f>
        <v>0</v>
      </c>
      <c r="BQ255" s="484">
        <f t="shared" si="27"/>
        <v>0</v>
      </c>
      <c r="BR255" s="482">
        <f>SUM($AS255:AT255)</f>
        <v>0</v>
      </c>
      <c r="BS255" s="482">
        <f>SUM($AS255:AU255)</f>
        <v>0</v>
      </c>
      <c r="BT255" s="482">
        <f>SUM($AS255:AV255)</f>
        <v>0</v>
      </c>
      <c r="BU255" s="482">
        <f>SUM($AS255:AW255)</f>
        <v>0</v>
      </c>
      <c r="BV255" s="482">
        <f>SUM($AS255:AX255)</f>
        <v>0</v>
      </c>
      <c r="BW255" s="482">
        <f>SUM($AS255:AY255)</f>
        <v>0</v>
      </c>
      <c r="BX255" s="482">
        <f>SUM($AS255:AZ255)</f>
        <v>0</v>
      </c>
      <c r="BY255" s="482">
        <f>SUM($AS255:BA255)</f>
        <v>0</v>
      </c>
      <c r="BZ255" s="482">
        <f>SUM($AS255:BB255)</f>
        <v>0</v>
      </c>
      <c r="CA255" s="482">
        <f>SUM($AS255:BC255)</f>
        <v>0</v>
      </c>
      <c r="CB255" s="483">
        <f>SUM($AS255:BD255)</f>
        <v>0</v>
      </c>
    </row>
    <row r="256" spans="1:80" s="471" customFormat="1" ht="12.75" hidden="1" customHeight="1">
      <c r="A256" s="471">
        <f t="shared" si="22"/>
        <v>247</v>
      </c>
      <c r="B256" s="628"/>
      <c r="C256" s="533"/>
      <c r="D256" s="533"/>
      <c r="E256" s="427"/>
      <c r="F256" s="586"/>
      <c r="G256" s="629"/>
      <c r="H256" s="582">
        <f t="shared" si="25"/>
        <v>249</v>
      </c>
      <c r="I256" s="524"/>
      <c r="J256" s="473"/>
      <c r="K256" s="473"/>
      <c r="L256" s="473"/>
      <c r="M256" s="473"/>
      <c r="N256" s="473"/>
      <c r="O256" s="473"/>
      <c r="P256" s="473"/>
      <c r="Q256" s="473"/>
      <c r="R256" s="473"/>
      <c r="S256" s="473"/>
      <c r="T256" s="474"/>
      <c r="U256" s="475"/>
      <c r="V256" s="473"/>
      <c r="W256" s="473"/>
      <c r="X256" s="473"/>
      <c r="Y256" s="473"/>
      <c r="Z256" s="473"/>
      <c r="AA256" s="473"/>
      <c r="AB256" s="473"/>
      <c r="AC256" s="473"/>
      <c r="AD256" s="473"/>
      <c r="AE256" s="473"/>
      <c r="AF256" s="473"/>
      <c r="AG256" s="510"/>
      <c r="AH256" s="495"/>
      <c r="AI256" s="495"/>
      <c r="AJ256" s="495"/>
      <c r="AK256" s="495"/>
      <c r="AL256" s="495"/>
      <c r="AM256" s="495"/>
      <c r="AN256" s="495"/>
      <c r="AO256" s="495"/>
      <c r="AP256" s="495"/>
      <c r="AQ256" s="495"/>
      <c r="AR256" s="497"/>
      <c r="AS256" s="509"/>
      <c r="AT256" s="495"/>
      <c r="AU256" s="495"/>
      <c r="AV256" s="480"/>
      <c r="AW256" s="496"/>
      <c r="AX256" s="495"/>
      <c r="AY256" s="495"/>
      <c r="AZ256" s="496"/>
      <c r="BA256" s="496"/>
      <c r="BB256" s="496"/>
      <c r="BC256" s="496"/>
      <c r="BD256" s="511"/>
      <c r="BE256" s="482">
        <f t="shared" si="26"/>
        <v>0</v>
      </c>
      <c r="BF256" s="482">
        <f>SUM($U256:V256)</f>
        <v>0</v>
      </c>
      <c r="BG256" s="482">
        <f>SUM($U256:W256)</f>
        <v>0</v>
      </c>
      <c r="BH256" s="482">
        <f>SUM($U256:X256)</f>
        <v>0</v>
      </c>
      <c r="BI256" s="482">
        <f>SUM($U256:Y256)</f>
        <v>0</v>
      </c>
      <c r="BJ256" s="482">
        <f>SUM($U256:Z256)</f>
        <v>0</v>
      </c>
      <c r="BK256" s="482">
        <f>SUM($U256:AA256)</f>
        <v>0</v>
      </c>
      <c r="BL256" s="482">
        <f>SUM($U256:AB256)</f>
        <v>0</v>
      </c>
      <c r="BM256" s="482">
        <f>SUM($U256:AC256)</f>
        <v>0</v>
      </c>
      <c r="BN256" s="482">
        <f>SUM($U256:AD256)</f>
        <v>0</v>
      </c>
      <c r="BO256" s="482">
        <f>SUM($U256:AE256)</f>
        <v>0</v>
      </c>
      <c r="BP256" s="483">
        <f>SUM($U256:AF256)</f>
        <v>0</v>
      </c>
      <c r="BQ256" s="484">
        <f t="shared" si="27"/>
        <v>0</v>
      </c>
      <c r="BR256" s="482">
        <f>SUM($AS256:AT256)</f>
        <v>0</v>
      </c>
      <c r="BS256" s="482">
        <f>SUM($AS256:AU256)</f>
        <v>0</v>
      </c>
      <c r="BT256" s="482">
        <f>SUM($AS256:AV256)</f>
        <v>0</v>
      </c>
      <c r="BU256" s="482">
        <f>SUM($AS256:AW256)</f>
        <v>0</v>
      </c>
      <c r="BV256" s="482">
        <f>SUM($AS256:AX256)</f>
        <v>0</v>
      </c>
      <c r="BW256" s="482">
        <f>SUM($AS256:AY256)</f>
        <v>0</v>
      </c>
      <c r="BX256" s="482">
        <f>SUM($AS256:AZ256)</f>
        <v>0</v>
      </c>
      <c r="BY256" s="482">
        <f>SUM($AS256:BA256)</f>
        <v>0</v>
      </c>
      <c r="BZ256" s="482">
        <f>SUM($AS256:BB256)</f>
        <v>0</v>
      </c>
      <c r="CA256" s="482">
        <f>SUM($AS256:BC256)</f>
        <v>0</v>
      </c>
      <c r="CB256" s="483">
        <f>SUM($AS256:BD256)</f>
        <v>0</v>
      </c>
    </row>
    <row r="257" spans="1:80" s="471" customFormat="1" ht="12.75" hidden="1" customHeight="1">
      <c r="A257" s="471">
        <f t="shared" si="22"/>
        <v>248</v>
      </c>
      <c r="B257" s="628"/>
      <c r="C257" s="533"/>
      <c r="D257" s="533"/>
      <c r="E257" s="427"/>
      <c r="F257" s="586"/>
      <c r="G257" s="629"/>
      <c r="H257" s="582">
        <f t="shared" si="25"/>
        <v>250</v>
      </c>
      <c r="I257" s="524"/>
      <c r="J257" s="473"/>
      <c r="K257" s="473"/>
      <c r="L257" s="473"/>
      <c r="M257" s="473"/>
      <c r="N257" s="473"/>
      <c r="O257" s="473"/>
      <c r="P257" s="473"/>
      <c r="Q257" s="473"/>
      <c r="R257" s="473"/>
      <c r="S257" s="473"/>
      <c r="T257" s="474"/>
      <c r="U257" s="475"/>
      <c r="V257" s="473"/>
      <c r="W257" s="473"/>
      <c r="X257" s="473"/>
      <c r="Y257" s="473"/>
      <c r="Z257" s="473"/>
      <c r="AA257" s="473"/>
      <c r="AB257" s="473"/>
      <c r="AC257" s="473"/>
      <c r="AD257" s="473"/>
      <c r="AE257" s="473"/>
      <c r="AF257" s="473"/>
      <c r="AG257" s="510"/>
      <c r="AH257" s="495"/>
      <c r="AI257" s="495"/>
      <c r="AJ257" s="495"/>
      <c r="AK257" s="495"/>
      <c r="AL257" s="495"/>
      <c r="AM257" s="495"/>
      <c r="AN257" s="495"/>
      <c r="AO257" s="495"/>
      <c r="AP257" s="495"/>
      <c r="AQ257" s="495"/>
      <c r="AR257" s="497"/>
      <c r="AS257" s="509"/>
      <c r="AT257" s="495"/>
      <c r="AU257" s="495"/>
      <c r="AV257" s="480"/>
      <c r="AW257" s="496"/>
      <c r="AX257" s="495"/>
      <c r="AY257" s="495"/>
      <c r="AZ257" s="496"/>
      <c r="BA257" s="496"/>
      <c r="BB257" s="496"/>
      <c r="BC257" s="496"/>
      <c r="BD257" s="511"/>
      <c r="BE257" s="482">
        <f t="shared" si="26"/>
        <v>0</v>
      </c>
      <c r="BF257" s="482">
        <f>SUM($U257:V257)</f>
        <v>0</v>
      </c>
      <c r="BG257" s="482">
        <f>SUM($U257:W257)</f>
        <v>0</v>
      </c>
      <c r="BH257" s="482">
        <f>SUM($U257:X257)</f>
        <v>0</v>
      </c>
      <c r="BI257" s="482">
        <f>SUM($U257:Y257)</f>
        <v>0</v>
      </c>
      <c r="BJ257" s="482">
        <f>SUM($U257:Z257)</f>
        <v>0</v>
      </c>
      <c r="BK257" s="482">
        <f>SUM($U257:AA257)</f>
        <v>0</v>
      </c>
      <c r="BL257" s="482">
        <f>SUM($U257:AB257)</f>
        <v>0</v>
      </c>
      <c r="BM257" s="482">
        <f>SUM($U257:AC257)</f>
        <v>0</v>
      </c>
      <c r="BN257" s="482">
        <f>SUM($U257:AD257)</f>
        <v>0</v>
      </c>
      <c r="BO257" s="482">
        <f>SUM($U257:AE257)</f>
        <v>0</v>
      </c>
      <c r="BP257" s="483">
        <f>SUM($U257:AF257)</f>
        <v>0</v>
      </c>
      <c r="BQ257" s="484">
        <f t="shared" si="27"/>
        <v>0</v>
      </c>
      <c r="BR257" s="482">
        <f>SUM($AS257:AT257)</f>
        <v>0</v>
      </c>
      <c r="BS257" s="482">
        <f>SUM($AS257:AU257)</f>
        <v>0</v>
      </c>
      <c r="BT257" s="482">
        <f>SUM($AS257:AV257)</f>
        <v>0</v>
      </c>
      <c r="BU257" s="482">
        <f>SUM($AS257:AW257)</f>
        <v>0</v>
      </c>
      <c r="BV257" s="482">
        <f>SUM($AS257:AX257)</f>
        <v>0</v>
      </c>
      <c r="BW257" s="482">
        <f>SUM($AS257:AY257)</f>
        <v>0</v>
      </c>
      <c r="BX257" s="482">
        <f>SUM($AS257:AZ257)</f>
        <v>0</v>
      </c>
      <c r="BY257" s="482">
        <f>SUM($AS257:BA257)</f>
        <v>0</v>
      </c>
      <c r="BZ257" s="482">
        <f>SUM($AS257:BB257)</f>
        <v>0</v>
      </c>
      <c r="CA257" s="482">
        <f>SUM($AS257:BC257)</f>
        <v>0</v>
      </c>
      <c r="CB257" s="483">
        <f>SUM($AS257:BD257)</f>
        <v>0</v>
      </c>
    </row>
    <row r="258" spans="1:80" s="471" customFormat="1" ht="12.75" hidden="1" customHeight="1">
      <c r="A258" s="471">
        <f t="shared" si="22"/>
        <v>249</v>
      </c>
      <c r="B258" s="628"/>
      <c r="C258" s="533"/>
      <c r="D258" s="533"/>
      <c r="E258" s="427"/>
      <c r="F258" s="586"/>
      <c r="G258" s="629"/>
      <c r="H258" s="582">
        <f t="shared" si="25"/>
        <v>251</v>
      </c>
      <c r="I258" s="524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4"/>
      <c r="U258" s="475"/>
      <c r="V258" s="473"/>
      <c r="W258" s="473"/>
      <c r="X258" s="473"/>
      <c r="Y258" s="473"/>
      <c r="Z258" s="473"/>
      <c r="AA258" s="473"/>
      <c r="AB258" s="473"/>
      <c r="AC258" s="473"/>
      <c r="AD258" s="473"/>
      <c r="AE258" s="473"/>
      <c r="AF258" s="473"/>
      <c r="AG258" s="510"/>
      <c r="AH258" s="495"/>
      <c r="AI258" s="495"/>
      <c r="AJ258" s="495"/>
      <c r="AK258" s="495"/>
      <c r="AL258" s="495"/>
      <c r="AM258" s="495"/>
      <c r="AN258" s="495"/>
      <c r="AO258" s="495"/>
      <c r="AP258" s="495"/>
      <c r="AQ258" s="495"/>
      <c r="AR258" s="497"/>
      <c r="AS258" s="509"/>
      <c r="AT258" s="495"/>
      <c r="AU258" s="495"/>
      <c r="AV258" s="480"/>
      <c r="AW258" s="496"/>
      <c r="AX258" s="495"/>
      <c r="AY258" s="495"/>
      <c r="AZ258" s="496"/>
      <c r="BA258" s="496"/>
      <c r="BB258" s="496"/>
      <c r="BC258" s="496"/>
      <c r="BD258" s="511"/>
      <c r="BE258" s="482">
        <f t="shared" si="26"/>
        <v>0</v>
      </c>
      <c r="BF258" s="482">
        <f>SUM($U258:V258)</f>
        <v>0</v>
      </c>
      <c r="BG258" s="482">
        <f>SUM($U258:W258)</f>
        <v>0</v>
      </c>
      <c r="BH258" s="482">
        <f>SUM($U258:X258)</f>
        <v>0</v>
      </c>
      <c r="BI258" s="482">
        <f>SUM($U258:Y258)</f>
        <v>0</v>
      </c>
      <c r="BJ258" s="482">
        <f>SUM($U258:Z258)</f>
        <v>0</v>
      </c>
      <c r="BK258" s="482">
        <f>SUM($U258:AA258)</f>
        <v>0</v>
      </c>
      <c r="BL258" s="482">
        <f>SUM($U258:AB258)</f>
        <v>0</v>
      </c>
      <c r="BM258" s="482">
        <f>SUM($U258:AC258)</f>
        <v>0</v>
      </c>
      <c r="BN258" s="482">
        <f>SUM($U258:AD258)</f>
        <v>0</v>
      </c>
      <c r="BO258" s="482">
        <f>SUM($U258:AE258)</f>
        <v>0</v>
      </c>
      <c r="BP258" s="483">
        <f>SUM($U258:AF258)</f>
        <v>0</v>
      </c>
      <c r="BQ258" s="484">
        <f t="shared" si="27"/>
        <v>0</v>
      </c>
      <c r="BR258" s="482">
        <f>SUM($AS258:AT258)</f>
        <v>0</v>
      </c>
      <c r="BS258" s="482">
        <f>SUM($AS258:AU258)</f>
        <v>0</v>
      </c>
      <c r="BT258" s="482">
        <f>SUM($AS258:AV258)</f>
        <v>0</v>
      </c>
      <c r="BU258" s="482">
        <f>SUM($AS258:AW258)</f>
        <v>0</v>
      </c>
      <c r="BV258" s="482">
        <f>SUM($AS258:AX258)</f>
        <v>0</v>
      </c>
      <c r="BW258" s="482">
        <f>SUM($AS258:AY258)</f>
        <v>0</v>
      </c>
      <c r="BX258" s="482">
        <f>SUM($AS258:AZ258)</f>
        <v>0</v>
      </c>
      <c r="BY258" s="482">
        <f>SUM($AS258:BA258)</f>
        <v>0</v>
      </c>
      <c r="BZ258" s="482">
        <f>SUM($AS258:BB258)</f>
        <v>0</v>
      </c>
      <c r="CA258" s="482">
        <f>SUM($AS258:BC258)</f>
        <v>0</v>
      </c>
      <c r="CB258" s="483">
        <f>SUM($AS258:BD258)</f>
        <v>0</v>
      </c>
    </row>
    <row r="259" spans="1:80" s="471" customFormat="1" ht="12.75" hidden="1" customHeight="1">
      <c r="A259" s="471">
        <f t="shared" si="22"/>
        <v>250</v>
      </c>
      <c r="B259" s="628"/>
      <c r="C259" s="533"/>
      <c r="D259" s="533"/>
      <c r="E259" s="427"/>
      <c r="F259" s="586"/>
      <c r="G259" s="629"/>
      <c r="H259" s="582">
        <f t="shared" si="25"/>
        <v>252</v>
      </c>
      <c r="I259" s="524"/>
      <c r="J259" s="473"/>
      <c r="K259" s="473"/>
      <c r="L259" s="473"/>
      <c r="M259" s="473"/>
      <c r="N259" s="473"/>
      <c r="O259" s="473"/>
      <c r="P259" s="473"/>
      <c r="Q259" s="473"/>
      <c r="R259" s="473"/>
      <c r="S259" s="473"/>
      <c r="T259" s="474"/>
      <c r="U259" s="475"/>
      <c r="V259" s="473"/>
      <c r="W259" s="473"/>
      <c r="X259" s="473"/>
      <c r="Y259" s="473"/>
      <c r="Z259" s="473"/>
      <c r="AA259" s="473"/>
      <c r="AB259" s="473"/>
      <c r="AC259" s="473"/>
      <c r="AD259" s="473"/>
      <c r="AE259" s="473"/>
      <c r="AF259" s="473"/>
      <c r="AG259" s="510"/>
      <c r="AH259" s="495"/>
      <c r="AI259" s="495"/>
      <c r="AJ259" s="495"/>
      <c r="AK259" s="495"/>
      <c r="AL259" s="495"/>
      <c r="AM259" s="495"/>
      <c r="AN259" s="495"/>
      <c r="AO259" s="495"/>
      <c r="AP259" s="495"/>
      <c r="AQ259" s="495"/>
      <c r="AR259" s="497"/>
      <c r="AS259" s="509"/>
      <c r="AT259" s="495"/>
      <c r="AU259" s="495"/>
      <c r="AV259" s="480"/>
      <c r="AW259" s="496"/>
      <c r="AX259" s="495"/>
      <c r="AY259" s="495"/>
      <c r="AZ259" s="496"/>
      <c r="BA259" s="496"/>
      <c r="BB259" s="496"/>
      <c r="BC259" s="496"/>
      <c r="BD259" s="511"/>
      <c r="BE259" s="482">
        <f t="shared" si="26"/>
        <v>0</v>
      </c>
      <c r="BF259" s="482">
        <f>SUM($U259:V259)</f>
        <v>0</v>
      </c>
      <c r="BG259" s="482">
        <f>SUM($U259:W259)</f>
        <v>0</v>
      </c>
      <c r="BH259" s="482">
        <f>SUM($U259:X259)</f>
        <v>0</v>
      </c>
      <c r="BI259" s="482">
        <f>SUM($U259:Y259)</f>
        <v>0</v>
      </c>
      <c r="BJ259" s="482">
        <f>SUM($U259:Z259)</f>
        <v>0</v>
      </c>
      <c r="BK259" s="482">
        <f>SUM($U259:AA259)</f>
        <v>0</v>
      </c>
      <c r="BL259" s="482">
        <f>SUM($U259:AB259)</f>
        <v>0</v>
      </c>
      <c r="BM259" s="482">
        <f>SUM($U259:AC259)</f>
        <v>0</v>
      </c>
      <c r="BN259" s="482">
        <f>SUM($U259:AD259)</f>
        <v>0</v>
      </c>
      <c r="BO259" s="482">
        <f>SUM($U259:AE259)</f>
        <v>0</v>
      </c>
      <c r="BP259" s="483">
        <f>SUM($U259:AF259)</f>
        <v>0</v>
      </c>
      <c r="BQ259" s="484">
        <f t="shared" si="27"/>
        <v>0</v>
      </c>
      <c r="BR259" s="482">
        <f>SUM($AS259:AT259)</f>
        <v>0</v>
      </c>
      <c r="BS259" s="482">
        <f>SUM($AS259:AU259)</f>
        <v>0</v>
      </c>
      <c r="BT259" s="482">
        <f>SUM($AS259:AV259)</f>
        <v>0</v>
      </c>
      <c r="BU259" s="482">
        <f>SUM($AS259:AW259)</f>
        <v>0</v>
      </c>
      <c r="BV259" s="482">
        <f>SUM($AS259:AX259)</f>
        <v>0</v>
      </c>
      <c r="BW259" s="482">
        <f>SUM($AS259:AY259)</f>
        <v>0</v>
      </c>
      <c r="BX259" s="482">
        <f>SUM($AS259:AZ259)</f>
        <v>0</v>
      </c>
      <c r="BY259" s="482">
        <f>SUM($AS259:BA259)</f>
        <v>0</v>
      </c>
      <c r="BZ259" s="482">
        <f>SUM($AS259:BB259)</f>
        <v>0</v>
      </c>
      <c r="CA259" s="482">
        <f>SUM($AS259:BC259)</f>
        <v>0</v>
      </c>
      <c r="CB259" s="483">
        <f>SUM($AS259:BD259)</f>
        <v>0</v>
      </c>
    </row>
    <row r="260" spans="1:80" s="471" customFormat="1" ht="12.75" hidden="1" customHeight="1">
      <c r="A260" s="471">
        <f t="shared" si="22"/>
        <v>251</v>
      </c>
      <c r="B260" s="628"/>
      <c r="C260" s="533"/>
      <c r="D260" s="533"/>
      <c r="E260" s="427"/>
      <c r="F260" s="586"/>
      <c r="G260" s="629"/>
      <c r="H260" s="582">
        <f t="shared" si="25"/>
        <v>253</v>
      </c>
      <c r="I260" s="524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4"/>
      <c r="U260" s="475"/>
      <c r="V260" s="473"/>
      <c r="W260" s="473"/>
      <c r="X260" s="473"/>
      <c r="Y260" s="473"/>
      <c r="Z260" s="473"/>
      <c r="AA260" s="473"/>
      <c r="AB260" s="473"/>
      <c r="AC260" s="473"/>
      <c r="AD260" s="473"/>
      <c r="AE260" s="473"/>
      <c r="AF260" s="473"/>
      <c r="AG260" s="510"/>
      <c r="AH260" s="495"/>
      <c r="AI260" s="495"/>
      <c r="AJ260" s="495"/>
      <c r="AK260" s="495"/>
      <c r="AL260" s="495"/>
      <c r="AM260" s="495"/>
      <c r="AN260" s="495"/>
      <c r="AO260" s="495"/>
      <c r="AP260" s="495"/>
      <c r="AQ260" s="495"/>
      <c r="AR260" s="497"/>
      <c r="AS260" s="509"/>
      <c r="AT260" s="495"/>
      <c r="AU260" s="495"/>
      <c r="AV260" s="480"/>
      <c r="AW260" s="496"/>
      <c r="AX260" s="495"/>
      <c r="AY260" s="495"/>
      <c r="AZ260" s="496"/>
      <c r="BA260" s="496"/>
      <c r="BB260" s="496"/>
      <c r="BC260" s="496"/>
      <c r="BD260" s="511"/>
      <c r="BE260" s="482">
        <f t="shared" si="26"/>
        <v>0</v>
      </c>
      <c r="BF260" s="482">
        <f>SUM($U260:V260)</f>
        <v>0</v>
      </c>
      <c r="BG260" s="482">
        <f>SUM($U260:W260)</f>
        <v>0</v>
      </c>
      <c r="BH260" s="482">
        <f>SUM($U260:X260)</f>
        <v>0</v>
      </c>
      <c r="BI260" s="482">
        <f>SUM($U260:Y260)</f>
        <v>0</v>
      </c>
      <c r="BJ260" s="482">
        <f>SUM($U260:Z260)</f>
        <v>0</v>
      </c>
      <c r="BK260" s="482">
        <f>SUM($U260:AA260)</f>
        <v>0</v>
      </c>
      <c r="BL260" s="482">
        <f>SUM($U260:AB260)</f>
        <v>0</v>
      </c>
      <c r="BM260" s="482">
        <f>SUM($U260:AC260)</f>
        <v>0</v>
      </c>
      <c r="BN260" s="482">
        <f>SUM($U260:AD260)</f>
        <v>0</v>
      </c>
      <c r="BO260" s="482">
        <f>SUM($U260:AE260)</f>
        <v>0</v>
      </c>
      <c r="BP260" s="483">
        <f>SUM($U260:AF260)</f>
        <v>0</v>
      </c>
      <c r="BQ260" s="484">
        <f t="shared" si="27"/>
        <v>0</v>
      </c>
      <c r="BR260" s="482">
        <f>SUM($AS260:AT260)</f>
        <v>0</v>
      </c>
      <c r="BS260" s="482">
        <f>SUM($AS260:AU260)</f>
        <v>0</v>
      </c>
      <c r="BT260" s="482">
        <f>SUM($AS260:AV260)</f>
        <v>0</v>
      </c>
      <c r="BU260" s="482">
        <f>SUM($AS260:AW260)</f>
        <v>0</v>
      </c>
      <c r="BV260" s="482">
        <f>SUM($AS260:AX260)</f>
        <v>0</v>
      </c>
      <c r="BW260" s="482">
        <f>SUM($AS260:AY260)</f>
        <v>0</v>
      </c>
      <c r="BX260" s="482">
        <f>SUM($AS260:AZ260)</f>
        <v>0</v>
      </c>
      <c r="BY260" s="482">
        <f>SUM($AS260:BA260)</f>
        <v>0</v>
      </c>
      <c r="BZ260" s="482">
        <f>SUM($AS260:BB260)</f>
        <v>0</v>
      </c>
      <c r="CA260" s="482">
        <f>SUM($AS260:BC260)</f>
        <v>0</v>
      </c>
      <c r="CB260" s="483">
        <f>SUM($AS260:BD260)</f>
        <v>0</v>
      </c>
    </row>
    <row r="261" spans="1:80" s="471" customFormat="1" ht="12.75" hidden="1" customHeight="1">
      <c r="A261" s="471">
        <f t="shared" si="22"/>
        <v>252</v>
      </c>
      <c r="B261" s="628"/>
      <c r="C261" s="533"/>
      <c r="D261" s="533"/>
      <c r="E261" s="427"/>
      <c r="F261" s="586"/>
      <c r="G261" s="629"/>
      <c r="H261" s="582">
        <f t="shared" si="25"/>
        <v>254</v>
      </c>
      <c r="I261" s="524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4"/>
      <c r="U261" s="475"/>
      <c r="V261" s="473"/>
      <c r="W261" s="473"/>
      <c r="X261" s="473"/>
      <c r="Y261" s="473"/>
      <c r="Z261" s="473"/>
      <c r="AA261" s="473"/>
      <c r="AB261" s="473"/>
      <c r="AC261" s="473"/>
      <c r="AD261" s="473"/>
      <c r="AE261" s="473"/>
      <c r="AF261" s="473"/>
      <c r="AG261" s="510"/>
      <c r="AH261" s="495"/>
      <c r="AI261" s="495"/>
      <c r="AJ261" s="495"/>
      <c r="AK261" s="495"/>
      <c r="AL261" s="495"/>
      <c r="AM261" s="495"/>
      <c r="AN261" s="495"/>
      <c r="AO261" s="495"/>
      <c r="AP261" s="495"/>
      <c r="AQ261" s="495"/>
      <c r="AR261" s="497"/>
      <c r="AS261" s="509"/>
      <c r="AT261" s="495"/>
      <c r="AU261" s="495"/>
      <c r="AV261" s="480"/>
      <c r="AW261" s="496"/>
      <c r="AX261" s="495"/>
      <c r="AY261" s="495"/>
      <c r="AZ261" s="496"/>
      <c r="BA261" s="496"/>
      <c r="BB261" s="496"/>
      <c r="BC261" s="496"/>
      <c r="BD261" s="511"/>
      <c r="BE261" s="482">
        <f t="shared" si="26"/>
        <v>0</v>
      </c>
      <c r="BF261" s="482">
        <f>SUM($U261:V261)</f>
        <v>0</v>
      </c>
      <c r="BG261" s="482">
        <f>SUM($U261:W261)</f>
        <v>0</v>
      </c>
      <c r="BH261" s="482">
        <f>SUM($U261:X261)</f>
        <v>0</v>
      </c>
      <c r="BI261" s="482">
        <f>SUM($U261:Y261)</f>
        <v>0</v>
      </c>
      <c r="BJ261" s="482">
        <f>SUM($U261:Z261)</f>
        <v>0</v>
      </c>
      <c r="BK261" s="482">
        <f>SUM($U261:AA261)</f>
        <v>0</v>
      </c>
      <c r="BL261" s="482">
        <f>SUM($U261:AB261)</f>
        <v>0</v>
      </c>
      <c r="BM261" s="482">
        <f>SUM($U261:AC261)</f>
        <v>0</v>
      </c>
      <c r="BN261" s="482">
        <f>SUM($U261:AD261)</f>
        <v>0</v>
      </c>
      <c r="BO261" s="482">
        <f>SUM($U261:AE261)</f>
        <v>0</v>
      </c>
      <c r="BP261" s="483">
        <f>SUM($U261:AF261)</f>
        <v>0</v>
      </c>
      <c r="BQ261" s="484">
        <f t="shared" si="27"/>
        <v>0</v>
      </c>
      <c r="BR261" s="482">
        <f>SUM($AS261:AT261)</f>
        <v>0</v>
      </c>
      <c r="BS261" s="482">
        <f>SUM($AS261:AU261)</f>
        <v>0</v>
      </c>
      <c r="BT261" s="482">
        <f>SUM($AS261:AV261)</f>
        <v>0</v>
      </c>
      <c r="BU261" s="482">
        <f>SUM($AS261:AW261)</f>
        <v>0</v>
      </c>
      <c r="BV261" s="482">
        <f>SUM($AS261:AX261)</f>
        <v>0</v>
      </c>
      <c r="BW261" s="482">
        <f>SUM($AS261:AY261)</f>
        <v>0</v>
      </c>
      <c r="BX261" s="482">
        <f>SUM($AS261:AZ261)</f>
        <v>0</v>
      </c>
      <c r="BY261" s="482">
        <f>SUM($AS261:BA261)</f>
        <v>0</v>
      </c>
      <c r="BZ261" s="482">
        <f>SUM($AS261:BB261)</f>
        <v>0</v>
      </c>
      <c r="CA261" s="482">
        <f>SUM($AS261:BC261)</f>
        <v>0</v>
      </c>
      <c r="CB261" s="483">
        <f>SUM($AS261:BD261)</f>
        <v>0</v>
      </c>
    </row>
    <row r="262" spans="1:80" s="471" customFormat="1" ht="12.75" hidden="1" customHeight="1">
      <c r="A262" s="471">
        <f t="shared" si="22"/>
        <v>253</v>
      </c>
      <c r="B262" s="628"/>
      <c r="C262" s="533"/>
      <c r="D262" s="533"/>
      <c r="E262" s="427"/>
      <c r="F262" s="586"/>
      <c r="G262" s="629"/>
      <c r="H262" s="582">
        <f t="shared" si="25"/>
        <v>255</v>
      </c>
      <c r="I262" s="524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4"/>
      <c r="U262" s="475"/>
      <c r="V262" s="473"/>
      <c r="W262" s="473"/>
      <c r="X262" s="473"/>
      <c r="Y262" s="473"/>
      <c r="Z262" s="473"/>
      <c r="AA262" s="473"/>
      <c r="AB262" s="473"/>
      <c r="AC262" s="473"/>
      <c r="AD262" s="473"/>
      <c r="AE262" s="473"/>
      <c r="AF262" s="473"/>
      <c r="AG262" s="510"/>
      <c r="AH262" s="495"/>
      <c r="AI262" s="495"/>
      <c r="AJ262" s="495"/>
      <c r="AK262" s="495"/>
      <c r="AL262" s="495"/>
      <c r="AM262" s="495"/>
      <c r="AN262" s="495"/>
      <c r="AO262" s="495"/>
      <c r="AP262" s="495"/>
      <c r="AQ262" s="495"/>
      <c r="AR262" s="497"/>
      <c r="AS262" s="509"/>
      <c r="AT262" s="495"/>
      <c r="AU262" s="495"/>
      <c r="AV262" s="480"/>
      <c r="AW262" s="496"/>
      <c r="AX262" s="495"/>
      <c r="AY262" s="495"/>
      <c r="AZ262" s="496"/>
      <c r="BA262" s="496"/>
      <c r="BB262" s="496"/>
      <c r="BC262" s="496"/>
      <c r="BD262" s="511"/>
      <c r="BE262" s="482">
        <f t="shared" si="26"/>
        <v>0</v>
      </c>
      <c r="BF262" s="482">
        <f>SUM($U262:V262)</f>
        <v>0</v>
      </c>
      <c r="BG262" s="482">
        <f>SUM($U262:W262)</f>
        <v>0</v>
      </c>
      <c r="BH262" s="482">
        <f>SUM($U262:X262)</f>
        <v>0</v>
      </c>
      <c r="BI262" s="482">
        <f>SUM($U262:Y262)</f>
        <v>0</v>
      </c>
      <c r="BJ262" s="482">
        <f>SUM($U262:Z262)</f>
        <v>0</v>
      </c>
      <c r="BK262" s="482">
        <f>SUM($U262:AA262)</f>
        <v>0</v>
      </c>
      <c r="BL262" s="482">
        <f>SUM($U262:AB262)</f>
        <v>0</v>
      </c>
      <c r="BM262" s="482">
        <f>SUM($U262:AC262)</f>
        <v>0</v>
      </c>
      <c r="BN262" s="482">
        <f>SUM($U262:AD262)</f>
        <v>0</v>
      </c>
      <c r="BO262" s="482">
        <f>SUM($U262:AE262)</f>
        <v>0</v>
      </c>
      <c r="BP262" s="483">
        <f>SUM($U262:AF262)</f>
        <v>0</v>
      </c>
      <c r="BQ262" s="484">
        <f t="shared" si="27"/>
        <v>0</v>
      </c>
      <c r="BR262" s="482">
        <f>SUM($AS262:AT262)</f>
        <v>0</v>
      </c>
      <c r="BS262" s="482">
        <f>SUM($AS262:AU262)</f>
        <v>0</v>
      </c>
      <c r="BT262" s="482">
        <f>SUM($AS262:AV262)</f>
        <v>0</v>
      </c>
      <c r="BU262" s="482">
        <f>SUM($AS262:AW262)</f>
        <v>0</v>
      </c>
      <c r="BV262" s="482">
        <f>SUM($AS262:AX262)</f>
        <v>0</v>
      </c>
      <c r="BW262" s="482">
        <f>SUM($AS262:AY262)</f>
        <v>0</v>
      </c>
      <c r="BX262" s="482">
        <f>SUM($AS262:AZ262)</f>
        <v>0</v>
      </c>
      <c r="BY262" s="482">
        <f>SUM($AS262:BA262)</f>
        <v>0</v>
      </c>
      <c r="BZ262" s="482">
        <f>SUM($AS262:BB262)</f>
        <v>0</v>
      </c>
      <c r="CA262" s="482">
        <f>SUM($AS262:BC262)</f>
        <v>0</v>
      </c>
      <c r="CB262" s="483">
        <f>SUM($AS262:BD262)</f>
        <v>0</v>
      </c>
    </row>
    <row r="263" spans="1:80" s="471" customFormat="1" ht="12.75" hidden="1" customHeight="1">
      <c r="A263" s="471">
        <f t="shared" si="22"/>
        <v>254</v>
      </c>
      <c r="B263" s="628"/>
      <c r="C263" s="533"/>
      <c r="D263" s="533"/>
      <c r="E263" s="427"/>
      <c r="F263" s="586"/>
      <c r="G263" s="629"/>
      <c r="H263" s="582">
        <f t="shared" si="25"/>
        <v>256</v>
      </c>
      <c r="I263" s="524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4"/>
      <c r="U263" s="475"/>
      <c r="V263" s="473"/>
      <c r="W263" s="473"/>
      <c r="X263" s="473"/>
      <c r="Y263" s="473"/>
      <c r="Z263" s="473"/>
      <c r="AA263" s="473"/>
      <c r="AB263" s="473"/>
      <c r="AC263" s="473"/>
      <c r="AD263" s="473"/>
      <c r="AE263" s="473"/>
      <c r="AF263" s="473"/>
      <c r="AG263" s="510"/>
      <c r="AH263" s="495"/>
      <c r="AI263" s="495"/>
      <c r="AJ263" s="495"/>
      <c r="AK263" s="495"/>
      <c r="AL263" s="495"/>
      <c r="AM263" s="495"/>
      <c r="AN263" s="495"/>
      <c r="AO263" s="495"/>
      <c r="AP263" s="495"/>
      <c r="AQ263" s="495"/>
      <c r="AR263" s="497"/>
      <c r="AS263" s="509"/>
      <c r="AT263" s="495"/>
      <c r="AU263" s="495"/>
      <c r="AV263" s="480"/>
      <c r="AW263" s="496"/>
      <c r="AX263" s="495"/>
      <c r="AY263" s="495"/>
      <c r="AZ263" s="496"/>
      <c r="BA263" s="496"/>
      <c r="BB263" s="496"/>
      <c r="BC263" s="496"/>
      <c r="BD263" s="511"/>
      <c r="BE263" s="482">
        <f t="shared" si="26"/>
        <v>0</v>
      </c>
      <c r="BF263" s="482">
        <f>SUM($U263:V263)</f>
        <v>0</v>
      </c>
      <c r="BG263" s="482">
        <f>SUM($U263:W263)</f>
        <v>0</v>
      </c>
      <c r="BH263" s="482">
        <f>SUM($U263:X263)</f>
        <v>0</v>
      </c>
      <c r="BI263" s="482">
        <f>SUM($U263:Y263)</f>
        <v>0</v>
      </c>
      <c r="BJ263" s="482">
        <f>SUM($U263:Z263)</f>
        <v>0</v>
      </c>
      <c r="BK263" s="482">
        <f>SUM($U263:AA263)</f>
        <v>0</v>
      </c>
      <c r="BL263" s="482">
        <f>SUM($U263:AB263)</f>
        <v>0</v>
      </c>
      <c r="BM263" s="482">
        <f>SUM($U263:AC263)</f>
        <v>0</v>
      </c>
      <c r="BN263" s="482">
        <f>SUM($U263:AD263)</f>
        <v>0</v>
      </c>
      <c r="BO263" s="482">
        <f>SUM($U263:AE263)</f>
        <v>0</v>
      </c>
      <c r="BP263" s="483">
        <f>SUM($U263:AF263)</f>
        <v>0</v>
      </c>
      <c r="BQ263" s="484">
        <f t="shared" si="27"/>
        <v>0</v>
      </c>
      <c r="BR263" s="482">
        <f>SUM($AS263:AT263)</f>
        <v>0</v>
      </c>
      <c r="BS263" s="482">
        <f>SUM($AS263:AU263)</f>
        <v>0</v>
      </c>
      <c r="BT263" s="482">
        <f>SUM($AS263:AV263)</f>
        <v>0</v>
      </c>
      <c r="BU263" s="482">
        <f>SUM($AS263:AW263)</f>
        <v>0</v>
      </c>
      <c r="BV263" s="482">
        <f>SUM($AS263:AX263)</f>
        <v>0</v>
      </c>
      <c r="BW263" s="482">
        <f>SUM($AS263:AY263)</f>
        <v>0</v>
      </c>
      <c r="BX263" s="482">
        <f>SUM($AS263:AZ263)</f>
        <v>0</v>
      </c>
      <c r="BY263" s="482">
        <f>SUM($AS263:BA263)</f>
        <v>0</v>
      </c>
      <c r="BZ263" s="482">
        <f>SUM($AS263:BB263)</f>
        <v>0</v>
      </c>
      <c r="CA263" s="482">
        <f>SUM($AS263:BC263)</f>
        <v>0</v>
      </c>
      <c r="CB263" s="483">
        <f>SUM($AS263:BD263)</f>
        <v>0</v>
      </c>
    </row>
    <row r="264" spans="1:80" s="471" customFormat="1" ht="12.75" hidden="1" customHeight="1">
      <c r="A264" s="471">
        <f t="shared" si="22"/>
        <v>255</v>
      </c>
      <c r="B264" s="628"/>
      <c r="C264" s="533"/>
      <c r="D264" s="533"/>
      <c r="E264" s="427"/>
      <c r="F264" s="586"/>
      <c r="G264" s="629"/>
      <c r="H264" s="582">
        <f t="shared" si="25"/>
        <v>257</v>
      </c>
      <c r="I264" s="524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4"/>
      <c r="U264" s="475"/>
      <c r="V264" s="473"/>
      <c r="W264" s="473"/>
      <c r="X264" s="473"/>
      <c r="Y264" s="473"/>
      <c r="Z264" s="473"/>
      <c r="AA264" s="473"/>
      <c r="AB264" s="473"/>
      <c r="AC264" s="473"/>
      <c r="AD264" s="473"/>
      <c r="AE264" s="473"/>
      <c r="AF264" s="473"/>
      <c r="AG264" s="510"/>
      <c r="AH264" s="495"/>
      <c r="AI264" s="495"/>
      <c r="AJ264" s="495"/>
      <c r="AK264" s="495"/>
      <c r="AL264" s="495"/>
      <c r="AM264" s="495"/>
      <c r="AN264" s="495"/>
      <c r="AO264" s="495"/>
      <c r="AP264" s="495"/>
      <c r="AQ264" s="495"/>
      <c r="AR264" s="497"/>
      <c r="AS264" s="509"/>
      <c r="AT264" s="495"/>
      <c r="AU264" s="495"/>
      <c r="AV264" s="480"/>
      <c r="AW264" s="496"/>
      <c r="AX264" s="495"/>
      <c r="AY264" s="495"/>
      <c r="AZ264" s="496"/>
      <c r="BA264" s="496"/>
      <c r="BB264" s="496"/>
      <c r="BC264" s="496"/>
      <c r="BD264" s="511"/>
      <c r="BE264" s="482">
        <f t="shared" si="26"/>
        <v>0</v>
      </c>
      <c r="BF264" s="482">
        <f>SUM($U264:V264)</f>
        <v>0</v>
      </c>
      <c r="BG264" s="482">
        <f>SUM($U264:W264)</f>
        <v>0</v>
      </c>
      <c r="BH264" s="482">
        <f>SUM($U264:X264)</f>
        <v>0</v>
      </c>
      <c r="BI264" s="482">
        <f>SUM($U264:Y264)</f>
        <v>0</v>
      </c>
      <c r="BJ264" s="482">
        <f>SUM($U264:Z264)</f>
        <v>0</v>
      </c>
      <c r="BK264" s="482">
        <f>SUM($U264:AA264)</f>
        <v>0</v>
      </c>
      <c r="BL264" s="482">
        <f>SUM($U264:AB264)</f>
        <v>0</v>
      </c>
      <c r="BM264" s="482">
        <f>SUM($U264:AC264)</f>
        <v>0</v>
      </c>
      <c r="BN264" s="482">
        <f>SUM($U264:AD264)</f>
        <v>0</v>
      </c>
      <c r="BO264" s="482">
        <f>SUM($U264:AE264)</f>
        <v>0</v>
      </c>
      <c r="BP264" s="483">
        <f>SUM($U264:AF264)</f>
        <v>0</v>
      </c>
      <c r="BQ264" s="484">
        <f t="shared" si="27"/>
        <v>0</v>
      </c>
      <c r="BR264" s="482">
        <f>SUM($AS264:AT264)</f>
        <v>0</v>
      </c>
      <c r="BS264" s="482">
        <f>SUM($AS264:AU264)</f>
        <v>0</v>
      </c>
      <c r="BT264" s="482">
        <f>SUM($AS264:AV264)</f>
        <v>0</v>
      </c>
      <c r="BU264" s="482">
        <f>SUM($AS264:AW264)</f>
        <v>0</v>
      </c>
      <c r="BV264" s="482">
        <f>SUM($AS264:AX264)</f>
        <v>0</v>
      </c>
      <c r="BW264" s="482">
        <f>SUM($AS264:AY264)</f>
        <v>0</v>
      </c>
      <c r="BX264" s="482">
        <f>SUM($AS264:AZ264)</f>
        <v>0</v>
      </c>
      <c r="BY264" s="482">
        <f>SUM($AS264:BA264)</f>
        <v>0</v>
      </c>
      <c r="BZ264" s="482">
        <f>SUM($AS264:BB264)</f>
        <v>0</v>
      </c>
      <c r="CA264" s="482">
        <f>SUM($AS264:BC264)</f>
        <v>0</v>
      </c>
      <c r="CB264" s="483">
        <f>SUM($AS264:BD264)</f>
        <v>0</v>
      </c>
    </row>
    <row r="265" spans="1:80" s="471" customFormat="1" ht="12.75" hidden="1" customHeight="1">
      <c r="A265" s="471">
        <f t="shared" si="22"/>
        <v>256</v>
      </c>
      <c r="B265" s="628"/>
      <c r="C265" s="533"/>
      <c r="D265" s="533"/>
      <c r="E265" s="427"/>
      <c r="F265" s="586"/>
      <c r="G265" s="629"/>
      <c r="H265" s="582">
        <f t="shared" si="25"/>
        <v>258</v>
      </c>
      <c r="I265" s="524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4"/>
      <c r="U265" s="475"/>
      <c r="V265" s="473"/>
      <c r="W265" s="473"/>
      <c r="X265" s="473"/>
      <c r="Y265" s="473"/>
      <c r="Z265" s="473"/>
      <c r="AA265" s="473"/>
      <c r="AB265" s="473"/>
      <c r="AC265" s="473"/>
      <c r="AD265" s="473"/>
      <c r="AE265" s="473"/>
      <c r="AF265" s="473"/>
      <c r="AG265" s="510"/>
      <c r="AH265" s="495"/>
      <c r="AI265" s="495"/>
      <c r="AJ265" s="495"/>
      <c r="AK265" s="495"/>
      <c r="AL265" s="495"/>
      <c r="AM265" s="495"/>
      <c r="AN265" s="495"/>
      <c r="AO265" s="495"/>
      <c r="AP265" s="495"/>
      <c r="AQ265" s="495"/>
      <c r="AR265" s="497"/>
      <c r="AS265" s="509"/>
      <c r="AT265" s="495"/>
      <c r="AU265" s="495"/>
      <c r="AV265" s="480"/>
      <c r="AW265" s="496"/>
      <c r="AX265" s="495"/>
      <c r="AY265" s="495"/>
      <c r="AZ265" s="496"/>
      <c r="BA265" s="496"/>
      <c r="BB265" s="496"/>
      <c r="BC265" s="496"/>
      <c r="BD265" s="511"/>
      <c r="BE265" s="482">
        <f t="shared" si="26"/>
        <v>0</v>
      </c>
      <c r="BF265" s="482">
        <f>SUM($U265:V265)</f>
        <v>0</v>
      </c>
      <c r="BG265" s="482">
        <f>SUM($U265:W265)</f>
        <v>0</v>
      </c>
      <c r="BH265" s="482">
        <f>SUM($U265:X265)</f>
        <v>0</v>
      </c>
      <c r="BI265" s="482">
        <f>SUM($U265:Y265)</f>
        <v>0</v>
      </c>
      <c r="BJ265" s="482">
        <f>SUM($U265:Z265)</f>
        <v>0</v>
      </c>
      <c r="BK265" s="482">
        <f>SUM($U265:AA265)</f>
        <v>0</v>
      </c>
      <c r="BL265" s="482">
        <f>SUM($U265:AB265)</f>
        <v>0</v>
      </c>
      <c r="BM265" s="482">
        <f>SUM($U265:AC265)</f>
        <v>0</v>
      </c>
      <c r="BN265" s="482">
        <f>SUM($U265:AD265)</f>
        <v>0</v>
      </c>
      <c r="BO265" s="482">
        <f>SUM($U265:AE265)</f>
        <v>0</v>
      </c>
      <c r="BP265" s="483">
        <f>SUM($U265:AF265)</f>
        <v>0</v>
      </c>
      <c r="BQ265" s="484">
        <f t="shared" si="27"/>
        <v>0</v>
      </c>
      <c r="BR265" s="482">
        <f>SUM($AS265:AT265)</f>
        <v>0</v>
      </c>
      <c r="BS265" s="482">
        <f>SUM($AS265:AU265)</f>
        <v>0</v>
      </c>
      <c r="BT265" s="482">
        <f>SUM($AS265:AV265)</f>
        <v>0</v>
      </c>
      <c r="BU265" s="482">
        <f>SUM($AS265:AW265)</f>
        <v>0</v>
      </c>
      <c r="BV265" s="482">
        <f>SUM($AS265:AX265)</f>
        <v>0</v>
      </c>
      <c r="BW265" s="482">
        <f>SUM($AS265:AY265)</f>
        <v>0</v>
      </c>
      <c r="BX265" s="482">
        <f>SUM($AS265:AZ265)</f>
        <v>0</v>
      </c>
      <c r="BY265" s="482">
        <f>SUM($AS265:BA265)</f>
        <v>0</v>
      </c>
      <c r="BZ265" s="482">
        <f>SUM($AS265:BB265)</f>
        <v>0</v>
      </c>
      <c r="CA265" s="482">
        <f>SUM($AS265:BC265)</f>
        <v>0</v>
      </c>
      <c r="CB265" s="483">
        <f>SUM($AS265:BD265)</f>
        <v>0</v>
      </c>
    </row>
    <row r="266" spans="1:80" s="471" customFormat="1" ht="12.75" hidden="1" customHeight="1">
      <c r="A266" s="471">
        <f t="shared" si="22"/>
        <v>257</v>
      </c>
      <c r="B266" s="628"/>
      <c r="C266" s="533"/>
      <c r="D266" s="533"/>
      <c r="E266" s="427"/>
      <c r="F266" s="586"/>
      <c r="G266" s="629"/>
      <c r="H266" s="582">
        <f t="shared" si="25"/>
        <v>259</v>
      </c>
      <c r="I266" s="524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4"/>
      <c r="U266" s="475"/>
      <c r="V266" s="473"/>
      <c r="W266" s="473"/>
      <c r="X266" s="473"/>
      <c r="Y266" s="473"/>
      <c r="Z266" s="473"/>
      <c r="AA266" s="473"/>
      <c r="AB266" s="473"/>
      <c r="AC266" s="473"/>
      <c r="AD266" s="473"/>
      <c r="AE266" s="473"/>
      <c r="AF266" s="473"/>
      <c r="AG266" s="510"/>
      <c r="AH266" s="495"/>
      <c r="AI266" s="495"/>
      <c r="AJ266" s="495"/>
      <c r="AK266" s="495"/>
      <c r="AL266" s="495"/>
      <c r="AM266" s="495"/>
      <c r="AN266" s="495"/>
      <c r="AO266" s="495"/>
      <c r="AP266" s="495"/>
      <c r="AQ266" s="495"/>
      <c r="AR266" s="497"/>
      <c r="AS266" s="509"/>
      <c r="AT266" s="495"/>
      <c r="AU266" s="495"/>
      <c r="AV266" s="480"/>
      <c r="AW266" s="496"/>
      <c r="AX266" s="495"/>
      <c r="AY266" s="495"/>
      <c r="AZ266" s="496"/>
      <c r="BA266" s="496"/>
      <c r="BB266" s="496"/>
      <c r="BC266" s="496"/>
      <c r="BD266" s="511"/>
      <c r="BE266" s="482">
        <f t="shared" si="26"/>
        <v>0</v>
      </c>
      <c r="BF266" s="482">
        <f>SUM($U266:V266)</f>
        <v>0</v>
      </c>
      <c r="BG266" s="482">
        <f>SUM($U266:W266)</f>
        <v>0</v>
      </c>
      <c r="BH266" s="482">
        <f>SUM($U266:X266)</f>
        <v>0</v>
      </c>
      <c r="BI266" s="482">
        <f>SUM($U266:Y266)</f>
        <v>0</v>
      </c>
      <c r="BJ266" s="482">
        <f>SUM($U266:Z266)</f>
        <v>0</v>
      </c>
      <c r="BK266" s="482">
        <f>SUM($U266:AA266)</f>
        <v>0</v>
      </c>
      <c r="BL266" s="482">
        <f>SUM($U266:AB266)</f>
        <v>0</v>
      </c>
      <c r="BM266" s="482">
        <f>SUM($U266:AC266)</f>
        <v>0</v>
      </c>
      <c r="BN266" s="482">
        <f>SUM($U266:AD266)</f>
        <v>0</v>
      </c>
      <c r="BO266" s="482">
        <f>SUM($U266:AE266)</f>
        <v>0</v>
      </c>
      <c r="BP266" s="483">
        <f>SUM($U266:AF266)</f>
        <v>0</v>
      </c>
      <c r="BQ266" s="484">
        <f t="shared" si="27"/>
        <v>0</v>
      </c>
      <c r="BR266" s="482">
        <f>SUM($AS266:AT266)</f>
        <v>0</v>
      </c>
      <c r="BS266" s="482">
        <f>SUM($AS266:AU266)</f>
        <v>0</v>
      </c>
      <c r="BT266" s="482">
        <f>SUM($AS266:AV266)</f>
        <v>0</v>
      </c>
      <c r="BU266" s="482">
        <f>SUM($AS266:AW266)</f>
        <v>0</v>
      </c>
      <c r="BV266" s="482">
        <f>SUM($AS266:AX266)</f>
        <v>0</v>
      </c>
      <c r="BW266" s="482">
        <f>SUM($AS266:AY266)</f>
        <v>0</v>
      </c>
      <c r="BX266" s="482">
        <f>SUM($AS266:AZ266)</f>
        <v>0</v>
      </c>
      <c r="BY266" s="482">
        <f>SUM($AS266:BA266)</f>
        <v>0</v>
      </c>
      <c r="BZ266" s="482">
        <f>SUM($AS266:BB266)</f>
        <v>0</v>
      </c>
      <c r="CA266" s="482">
        <f>SUM($AS266:BC266)</f>
        <v>0</v>
      </c>
      <c r="CB266" s="483">
        <f>SUM($AS266:BD266)</f>
        <v>0</v>
      </c>
    </row>
    <row r="267" spans="1:80" s="471" customFormat="1" ht="12.75" hidden="1" customHeight="1">
      <c r="A267" s="471">
        <f t="shared" ref="A267:A328" si="28">+A266+1</f>
        <v>258</v>
      </c>
      <c r="B267" s="628"/>
      <c r="C267" s="533"/>
      <c r="D267" s="533"/>
      <c r="E267" s="427"/>
      <c r="F267" s="586"/>
      <c r="G267" s="629"/>
      <c r="H267" s="582">
        <f t="shared" si="25"/>
        <v>260</v>
      </c>
      <c r="I267" s="524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4"/>
      <c r="U267" s="475"/>
      <c r="V267" s="473"/>
      <c r="W267" s="473"/>
      <c r="X267" s="473"/>
      <c r="Y267" s="473"/>
      <c r="Z267" s="473"/>
      <c r="AA267" s="473"/>
      <c r="AB267" s="473"/>
      <c r="AC267" s="473"/>
      <c r="AD267" s="473"/>
      <c r="AE267" s="473"/>
      <c r="AF267" s="473"/>
      <c r="AG267" s="510"/>
      <c r="AH267" s="495"/>
      <c r="AI267" s="495"/>
      <c r="AJ267" s="495"/>
      <c r="AK267" s="495"/>
      <c r="AL267" s="495"/>
      <c r="AM267" s="495"/>
      <c r="AN267" s="495"/>
      <c r="AO267" s="495"/>
      <c r="AP267" s="495"/>
      <c r="AQ267" s="495"/>
      <c r="AR267" s="497"/>
      <c r="AS267" s="509"/>
      <c r="AT267" s="495"/>
      <c r="AU267" s="495"/>
      <c r="AV267" s="480"/>
      <c r="AW267" s="496"/>
      <c r="AX267" s="495"/>
      <c r="AY267" s="495"/>
      <c r="AZ267" s="496"/>
      <c r="BA267" s="496"/>
      <c r="BB267" s="496"/>
      <c r="BC267" s="496"/>
      <c r="BD267" s="511"/>
      <c r="BE267" s="482">
        <f t="shared" si="26"/>
        <v>0</v>
      </c>
      <c r="BF267" s="482">
        <f>SUM($U267:V267)</f>
        <v>0</v>
      </c>
      <c r="BG267" s="482">
        <f>SUM($U267:W267)</f>
        <v>0</v>
      </c>
      <c r="BH267" s="482">
        <f>SUM($U267:X267)</f>
        <v>0</v>
      </c>
      <c r="BI267" s="482">
        <f>SUM($U267:Y267)</f>
        <v>0</v>
      </c>
      <c r="BJ267" s="482">
        <f>SUM($U267:Z267)</f>
        <v>0</v>
      </c>
      <c r="BK267" s="482">
        <f>SUM($U267:AA267)</f>
        <v>0</v>
      </c>
      <c r="BL267" s="482">
        <f>SUM($U267:AB267)</f>
        <v>0</v>
      </c>
      <c r="BM267" s="482">
        <f>SUM($U267:AC267)</f>
        <v>0</v>
      </c>
      <c r="BN267" s="482">
        <f>SUM($U267:AD267)</f>
        <v>0</v>
      </c>
      <c r="BO267" s="482">
        <f>SUM($U267:AE267)</f>
        <v>0</v>
      </c>
      <c r="BP267" s="483">
        <f>SUM($U267:AF267)</f>
        <v>0</v>
      </c>
      <c r="BQ267" s="484">
        <f t="shared" si="27"/>
        <v>0</v>
      </c>
      <c r="BR267" s="482">
        <f>SUM($AS267:AT267)</f>
        <v>0</v>
      </c>
      <c r="BS267" s="482">
        <f>SUM($AS267:AU267)</f>
        <v>0</v>
      </c>
      <c r="BT267" s="482">
        <f>SUM($AS267:AV267)</f>
        <v>0</v>
      </c>
      <c r="BU267" s="482">
        <f>SUM($AS267:AW267)</f>
        <v>0</v>
      </c>
      <c r="BV267" s="482">
        <f>SUM($AS267:AX267)</f>
        <v>0</v>
      </c>
      <c r="BW267" s="482">
        <f>SUM($AS267:AY267)</f>
        <v>0</v>
      </c>
      <c r="BX267" s="482">
        <f>SUM($AS267:AZ267)</f>
        <v>0</v>
      </c>
      <c r="BY267" s="482">
        <f>SUM($AS267:BA267)</f>
        <v>0</v>
      </c>
      <c r="BZ267" s="482">
        <f>SUM($AS267:BB267)</f>
        <v>0</v>
      </c>
      <c r="CA267" s="482">
        <f>SUM($AS267:BC267)</f>
        <v>0</v>
      </c>
      <c r="CB267" s="483">
        <f>SUM($AS267:BD267)</f>
        <v>0</v>
      </c>
    </row>
    <row r="268" spans="1:80" s="471" customFormat="1" ht="12.75" hidden="1" customHeight="1">
      <c r="A268" s="471">
        <f t="shared" si="28"/>
        <v>259</v>
      </c>
      <c r="B268" s="628"/>
      <c r="C268" s="533"/>
      <c r="D268" s="533"/>
      <c r="E268" s="427"/>
      <c r="F268" s="586"/>
      <c r="G268" s="629"/>
      <c r="H268" s="582">
        <f t="shared" si="25"/>
        <v>261</v>
      </c>
      <c r="I268" s="524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4"/>
      <c r="U268" s="475"/>
      <c r="V268" s="473"/>
      <c r="W268" s="473"/>
      <c r="X268" s="473"/>
      <c r="Y268" s="473"/>
      <c r="Z268" s="473"/>
      <c r="AA268" s="473"/>
      <c r="AB268" s="473"/>
      <c r="AC268" s="473"/>
      <c r="AD268" s="473"/>
      <c r="AE268" s="473"/>
      <c r="AF268" s="473"/>
      <c r="AG268" s="510"/>
      <c r="AH268" s="495"/>
      <c r="AI268" s="495"/>
      <c r="AJ268" s="495"/>
      <c r="AK268" s="495"/>
      <c r="AL268" s="495"/>
      <c r="AM268" s="495"/>
      <c r="AN268" s="495"/>
      <c r="AO268" s="495"/>
      <c r="AP268" s="495"/>
      <c r="AQ268" s="495"/>
      <c r="AR268" s="497"/>
      <c r="AS268" s="509"/>
      <c r="AT268" s="495"/>
      <c r="AU268" s="495"/>
      <c r="AV268" s="480"/>
      <c r="AW268" s="496"/>
      <c r="AX268" s="495"/>
      <c r="AY268" s="495"/>
      <c r="AZ268" s="496"/>
      <c r="BA268" s="496"/>
      <c r="BB268" s="496"/>
      <c r="BC268" s="496"/>
      <c r="BD268" s="511"/>
      <c r="BE268" s="482">
        <f t="shared" si="26"/>
        <v>0</v>
      </c>
      <c r="BF268" s="482">
        <f>SUM($U268:V268)</f>
        <v>0</v>
      </c>
      <c r="BG268" s="482">
        <f>SUM($U268:W268)</f>
        <v>0</v>
      </c>
      <c r="BH268" s="482">
        <f>SUM($U268:X268)</f>
        <v>0</v>
      </c>
      <c r="BI268" s="482">
        <f>SUM($U268:Y268)</f>
        <v>0</v>
      </c>
      <c r="BJ268" s="482">
        <f>SUM($U268:Z268)</f>
        <v>0</v>
      </c>
      <c r="BK268" s="482">
        <f>SUM($U268:AA268)</f>
        <v>0</v>
      </c>
      <c r="BL268" s="482">
        <f>SUM($U268:AB268)</f>
        <v>0</v>
      </c>
      <c r="BM268" s="482">
        <f>SUM($U268:AC268)</f>
        <v>0</v>
      </c>
      <c r="BN268" s="482">
        <f>SUM($U268:AD268)</f>
        <v>0</v>
      </c>
      <c r="BO268" s="482">
        <f>SUM($U268:AE268)</f>
        <v>0</v>
      </c>
      <c r="BP268" s="483">
        <f>SUM($U268:AF268)</f>
        <v>0</v>
      </c>
      <c r="BQ268" s="484">
        <f t="shared" si="27"/>
        <v>0</v>
      </c>
      <c r="BR268" s="482">
        <f>SUM($AS268:AT268)</f>
        <v>0</v>
      </c>
      <c r="BS268" s="482">
        <f>SUM($AS268:AU268)</f>
        <v>0</v>
      </c>
      <c r="BT268" s="482">
        <f>SUM($AS268:AV268)</f>
        <v>0</v>
      </c>
      <c r="BU268" s="482">
        <f>SUM($AS268:AW268)</f>
        <v>0</v>
      </c>
      <c r="BV268" s="482">
        <f>SUM($AS268:AX268)</f>
        <v>0</v>
      </c>
      <c r="BW268" s="482">
        <f>SUM($AS268:AY268)</f>
        <v>0</v>
      </c>
      <c r="BX268" s="482">
        <f>SUM($AS268:AZ268)</f>
        <v>0</v>
      </c>
      <c r="BY268" s="482">
        <f>SUM($AS268:BA268)</f>
        <v>0</v>
      </c>
      <c r="BZ268" s="482">
        <f>SUM($AS268:BB268)</f>
        <v>0</v>
      </c>
      <c r="CA268" s="482">
        <f>SUM($AS268:BC268)</f>
        <v>0</v>
      </c>
      <c r="CB268" s="483">
        <f>SUM($AS268:BD268)</f>
        <v>0</v>
      </c>
    </row>
    <row r="269" spans="1:80" s="471" customFormat="1" ht="12.75" hidden="1" customHeight="1">
      <c r="A269" s="471">
        <f t="shared" si="28"/>
        <v>260</v>
      </c>
      <c r="B269" s="628"/>
      <c r="C269" s="533"/>
      <c r="D269" s="533"/>
      <c r="E269" s="427"/>
      <c r="F269" s="586"/>
      <c r="G269" s="629"/>
      <c r="H269" s="582">
        <f t="shared" si="25"/>
        <v>262</v>
      </c>
      <c r="I269" s="524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4"/>
      <c r="U269" s="475"/>
      <c r="V269" s="473"/>
      <c r="W269" s="473"/>
      <c r="X269" s="473"/>
      <c r="Y269" s="473"/>
      <c r="Z269" s="473"/>
      <c r="AA269" s="473"/>
      <c r="AB269" s="473"/>
      <c r="AC269" s="473"/>
      <c r="AD269" s="473"/>
      <c r="AE269" s="473"/>
      <c r="AF269" s="473"/>
      <c r="AG269" s="510"/>
      <c r="AH269" s="495"/>
      <c r="AI269" s="495"/>
      <c r="AJ269" s="495"/>
      <c r="AK269" s="495"/>
      <c r="AL269" s="495"/>
      <c r="AM269" s="495"/>
      <c r="AN269" s="495"/>
      <c r="AO269" s="495"/>
      <c r="AP269" s="495"/>
      <c r="AQ269" s="495"/>
      <c r="AR269" s="497"/>
      <c r="AS269" s="509"/>
      <c r="AT269" s="495"/>
      <c r="AU269" s="495"/>
      <c r="AV269" s="480"/>
      <c r="AW269" s="496"/>
      <c r="AX269" s="495"/>
      <c r="AY269" s="495"/>
      <c r="AZ269" s="496"/>
      <c r="BA269" s="496"/>
      <c r="BB269" s="496"/>
      <c r="BC269" s="496"/>
      <c r="BD269" s="511"/>
      <c r="BE269" s="482">
        <f t="shared" si="26"/>
        <v>0</v>
      </c>
      <c r="BF269" s="482">
        <f>SUM($U269:V269)</f>
        <v>0</v>
      </c>
      <c r="BG269" s="482">
        <f>SUM($U269:W269)</f>
        <v>0</v>
      </c>
      <c r="BH269" s="482">
        <f>SUM($U269:X269)</f>
        <v>0</v>
      </c>
      <c r="BI269" s="482">
        <f>SUM($U269:Y269)</f>
        <v>0</v>
      </c>
      <c r="BJ269" s="482">
        <f>SUM($U269:Z269)</f>
        <v>0</v>
      </c>
      <c r="BK269" s="482">
        <f>SUM($U269:AA269)</f>
        <v>0</v>
      </c>
      <c r="BL269" s="482">
        <f>SUM($U269:AB269)</f>
        <v>0</v>
      </c>
      <c r="BM269" s="482">
        <f>SUM($U269:AC269)</f>
        <v>0</v>
      </c>
      <c r="BN269" s="482">
        <f>SUM($U269:AD269)</f>
        <v>0</v>
      </c>
      <c r="BO269" s="482">
        <f>SUM($U269:AE269)</f>
        <v>0</v>
      </c>
      <c r="BP269" s="483">
        <f>SUM($U269:AF269)</f>
        <v>0</v>
      </c>
      <c r="BQ269" s="484">
        <f t="shared" si="27"/>
        <v>0</v>
      </c>
      <c r="BR269" s="482">
        <f>SUM($AS269:AT269)</f>
        <v>0</v>
      </c>
      <c r="BS269" s="482">
        <f>SUM($AS269:AU269)</f>
        <v>0</v>
      </c>
      <c r="BT269" s="482">
        <f>SUM($AS269:AV269)</f>
        <v>0</v>
      </c>
      <c r="BU269" s="482">
        <f>SUM($AS269:AW269)</f>
        <v>0</v>
      </c>
      <c r="BV269" s="482">
        <f>SUM($AS269:AX269)</f>
        <v>0</v>
      </c>
      <c r="BW269" s="482">
        <f>SUM($AS269:AY269)</f>
        <v>0</v>
      </c>
      <c r="BX269" s="482">
        <f>SUM($AS269:AZ269)</f>
        <v>0</v>
      </c>
      <c r="BY269" s="482">
        <f>SUM($AS269:BA269)</f>
        <v>0</v>
      </c>
      <c r="BZ269" s="482">
        <f>SUM($AS269:BB269)</f>
        <v>0</v>
      </c>
      <c r="CA269" s="482">
        <f>SUM($AS269:BC269)</f>
        <v>0</v>
      </c>
      <c r="CB269" s="483">
        <f>SUM($AS269:BD269)</f>
        <v>0</v>
      </c>
    </row>
    <row r="270" spans="1:80" s="471" customFormat="1" ht="12.75" hidden="1" customHeight="1">
      <c r="A270" s="471">
        <f t="shared" si="28"/>
        <v>261</v>
      </c>
      <c r="B270" s="628"/>
      <c r="C270" s="533"/>
      <c r="D270" s="533"/>
      <c r="E270" s="427"/>
      <c r="F270" s="586"/>
      <c r="G270" s="629"/>
      <c r="H270" s="582">
        <f t="shared" si="25"/>
        <v>263</v>
      </c>
      <c r="I270" s="524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4"/>
      <c r="U270" s="475"/>
      <c r="V270" s="473"/>
      <c r="W270" s="473"/>
      <c r="X270" s="473"/>
      <c r="Y270" s="473"/>
      <c r="Z270" s="473"/>
      <c r="AA270" s="473"/>
      <c r="AB270" s="473"/>
      <c r="AC270" s="473"/>
      <c r="AD270" s="473"/>
      <c r="AE270" s="473"/>
      <c r="AF270" s="473"/>
      <c r="AG270" s="510"/>
      <c r="AH270" s="495"/>
      <c r="AI270" s="495"/>
      <c r="AJ270" s="495"/>
      <c r="AK270" s="495"/>
      <c r="AL270" s="495"/>
      <c r="AM270" s="495"/>
      <c r="AN270" s="495"/>
      <c r="AO270" s="495"/>
      <c r="AP270" s="495"/>
      <c r="AQ270" s="495"/>
      <c r="AR270" s="497"/>
      <c r="AS270" s="509"/>
      <c r="AT270" s="495"/>
      <c r="AU270" s="495"/>
      <c r="AV270" s="480"/>
      <c r="AW270" s="496"/>
      <c r="AX270" s="495"/>
      <c r="AY270" s="495"/>
      <c r="AZ270" s="496"/>
      <c r="BA270" s="496"/>
      <c r="BB270" s="496"/>
      <c r="BC270" s="496"/>
      <c r="BD270" s="511"/>
      <c r="BE270" s="482">
        <f t="shared" si="26"/>
        <v>0</v>
      </c>
      <c r="BF270" s="482">
        <f>SUM($U270:V270)</f>
        <v>0</v>
      </c>
      <c r="BG270" s="482">
        <f>SUM($U270:W270)</f>
        <v>0</v>
      </c>
      <c r="BH270" s="482">
        <f>SUM($U270:X270)</f>
        <v>0</v>
      </c>
      <c r="BI270" s="482">
        <f>SUM($U270:Y270)</f>
        <v>0</v>
      </c>
      <c r="BJ270" s="482">
        <f>SUM($U270:Z270)</f>
        <v>0</v>
      </c>
      <c r="BK270" s="482">
        <f>SUM($U270:AA270)</f>
        <v>0</v>
      </c>
      <c r="BL270" s="482">
        <f>SUM($U270:AB270)</f>
        <v>0</v>
      </c>
      <c r="BM270" s="482">
        <f>SUM($U270:AC270)</f>
        <v>0</v>
      </c>
      <c r="BN270" s="482">
        <f>SUM($U270:AD270)</f>
        <v>0</v>
      </c>
      <c r="BO270" s="482">
        <f>SUM($U270:AE270)</f>
        <v>0</v>
      </c>
      <c r="BP270" s="483">
        <f>SUM($U270:AF270)</f>
        <v>0</v>
      </c>
      <c r="BQ270" s="484">
        <f t="shared" si="27"/>
        <v>0</v>
      </c>
      <c r="BR270" s="482">
        <f>SUM($AS270:AT270)</f>
        <v>0</v>
      </c>
      <c r="BS270" s="482">
        <f>SUM($AS270:AU270)</f>
        <v>0</v>
      </c>
      <c r="BT270" s="482">
        <f>SUM($AS270:AV270)</f>
        <v>0</v>
      </c>
      <c r="BU270" s="482">
        <f>SUM($AS270:AW270)</f>
        <v>0</v>
      </c>
      <c r="BV270" s="482">
        <f>SUM($AS270:AX270)</f>
        <v>0</v>
      </c>
      <c r="BW270" s="482">
        <f>SUM($AS270:AY270)</f>
        <v>0</v>
      </c>
      <c r="BX270" s="482">
        <f>SUM($AS270:AZ270)</f>
        <v>0</v>
      </c>
      <c r="BY270" s="482">
        <f>SUM($AS270:BA270)</f>
        <v>0</v>
      </c>
      <c r="BZ270" s="482">
        <f>SUM($AS270:BB270)</f>
        <v>0</v>
      </c>
      <c r="CA270" s="482">
        <f>SUM($AS270:BC270)</f>
        <v>0</v>
      </c>
      <c r="CB270" s="483">
        <f>SUM($AS270:BD270)</f>
        <v>0</v>
      </c>
    </row>
    <row r="271" spans="1:80" s="471" customFormat="1" ht="12.75" hidden="1" customHeight="1">
      <c r="A271" s="471">
        <f t="shared" si="28"/>
        <v>262</v>
      </c>
      <c r="B271" s="628"/>
      <c r="C271" s="533"/>
      <c r="D271" s="533"/>
      <c r="E271" s="427"/>
      <c r="F271" s="586"/>
      <c r="G271" s="629"/>
      <c r="H271" s="582">
        <f t="shared" si="25"/>
        <v>264</v>
      </c>
      <c r="I271" s="524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4"/>
      <c r="U271" s="475"/>
      <c r="V271" s="473"/>
      <c r="W271" s="473"/>
      <c r="X271" s="473"/>
      <c r="Y271" s="473"/>
      <c r="Z271" s="473"/>
      <c r="AA271" s="473"/>
      <c r="AB271" s="473"/>
      <c r="AC271" s="473"/>
      <c r="AD271" s="473"/>
      <c r="AE271" s="473"/>
      <c r="AF271" s="473"/>
      <c r="AG271" s="510"/>
      <c r="AH271" s="495"/>
      <c r="AI271" s="495"/>
      <c r="AJ271" s="495"/>
      <c r="AK271" s="495"/>
      <c r="AL271" s="495"/>
      <c r="AM271" s="495"/>
      <c r="AN271" s="495"/>
      <c r="AO271" s="495"/>
      <c r="AP271" s="495"/>
      <c r="AQ271" s="495"/>
      <c r="AR271" s="497"/>
      <c r="AS271" s="509"/>
      <c r="AT271" s="495"/>
      <c r="AU271" s="495"/>
      <c r="AV271" s="480"/>
      <c r="AW271" s="496"/>
      <c r="AX271" s="495"/>
      <c r="AY271" s="495"/>
      <c r="AZ271" s="496"/>
      <c r="BA271" s="496"/>
      <c r="BB271" s="496"/>
      <c r="BC271" s="496"/>
      <c r="BD271" s="511"/>
      <c r="BE271" s="482">
        <f t="shared" si="26"/>
        <v>0</v>
      </c>
      <c r="BF271" s="482">
        <f>SUM($U271:V271)</f>
        <v>0</v>
      </c>
      <c r="BG271" s="482">
        <f>SUM($U271:W271)</f>
        <v>0</v>
      </c>
      <c r="BH271" s="482">
        <f>SUM($U271:X271)</f>
        <v>0</v>
      </c>
      <c r="BI271" s="482">
        <f>SUM($U271:Y271)</f>
        <v>0</v>
      </c>
      <c r="BJ271" s="482">
        <f>SUM($U271:Z271)</f>
        <v>0</v>
      </c>
      <c r="BK271" s="482">
        <f>SUM($U271:AA271)</f>
        <v>0</v>
      </c>
      <c r="BL271" s="482">
        <f>SUM($U271:AB271)</f>
        <v>0</v>
      </c>
      <c r="BM271" s="482">
        <f>SUM($U271:AC271)</f>
        <v>0</v>
      </c>
      <c r="BN271" s="482">
        <f>SUM($U271:AD271)</f>
        <v>0</v>
      </c>
      <c r="BO271" s="482">
        <f>SUM($U271:AE271)</f>
        <v>0</v>
      </c>
      <c r="BP271" s="483">
        <f>SUM($U271:AF271)</f>
        <v>0</v>
      </c>
      <c r="BQ271" s="484">
        <f t="shared" si="27"/>
        <v>0</v>
      </c>
      <c r="BR271" s="482">
        <f>SUM($AS271:AT271)</f>
        <v>0</v>
      </c>
      <c r="BS271" s="482">
        <f>SUM($AS271:AU271)</f>
        <v>0</v>
      </c>
      <c r="BT271" s="482">
        <f>SUM($AS271:AV271)</f>
        <v>0</v>
      </c>
      <c r="BU271" s="482">
        <f>SUM($AS271:AW271)</f>
        <v>0</v>
      </c>
      <c r="BV271" s="482">
        <f>SUM($AS271:AX271)</f>
        <v>0</v>
      </c>
      <c r="BW271" s="482">
        <f>SUM($AS271:AY271)</f>
        <v>0</v>
      </c>
      <c r="BX271" s="482">
        <f>SUM($AS271:AZ271)</f>
        <v>0</v>
      </c>
      <c r="BY271" s="482">
        <f>SUM($AS271:BA271)</f>
        <v>0</v>
      </c>
      <c r="BZ271" s="482">
        <f>SUM($AS271:BB271)</f>
        <v>0</v>
      </c>
      <c r="CA271" s="482">
        <f>SUM($AS271:BC271)</f>
        <v>0</v>
      </c>
      <c r="CB271" s="483">
        <f>SUM($AS271:BD271)</f>
        <v>0</v>
      </c>
    </row>
    <row r="272" spans="1:80" s="471" customFormat="1" ht="12.75" hidden="1" customHeight="1">
      <c r="A272" s="471">
        <f t="shared" si="28"/>
        <v>263</v>
      </c>
      <c r="B272" s="628"/>
      <c r="C272" s="533"/>
      <c r="D272" s="533"/>
      <c r="E272" s="427"/>
      <c r="F272" s="586"/>
      <c r="G272" s="629"/>
      <c r="H272" s="582">
        <f t="shared" si="25"/>
        <v>265</v>
      </c>
      <c r="I272" s="524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4"/>
      <c r="U272" s="475"/>
      <c r="V272" s="473"/>
      <c r="W272" s="473"/>
      <c r="X272" s="473"/>
      <c r="Y272" s="473"/>
      <c r="Z272" s="473"/>
      <c r="AA272" s="473"/>
      <c r="AB272" s="473"/>
      <c r="AC272" s="473"/>
      <c r="AD272" s="473"/>
      <c r="AE272" s="473"/>
      <c r="AF272" s="473"/>
      <c r="AG272" s="510"/>
      <c r="AH272" s="495"/>
      <c r="AI272" s="495"/>
      <c r="AJ272" s="495"/>
      <c r="AK272" s="495"/>
      <c r="AL272" s="495"/>
      <c r="AM272" s="495"/>
      <c r="AN272" s="495"/>
      <c r="AO272" s="495"/>
      <c r="AP272" s="495"/>
      <c r="AQ272" s="495"/>
      <c r="AR272" s="497"/>
      <c r="AS272" s="509"/>
      <c r="AT272" s="495"/>
      <c r="AU272" s="495"/>
      <c r="AV272" s="480"/>
      <c r="AW272" s="496"/>
      <c r="AX272" s="495"/>
      <c r="AY272" s="495"/>
      <c r="AZ272" s="496"/>
      <c r="BA272" s="496"/>
      <c r="BB272" s="496"/>
      <c r="BC272" s="496"/>
      <c r="BD272" s="511"/>
      <c r="BE272" s="482">
        <f t="shared" si="26"/>
        <v>0</v>
      </c>
      <c r="BF272" s="482">
        <f>SUM($U272:V272)</f>
        <v>0</v>
      </c>
      <c r="BG272" s="482">
        <f>SUM($U272:W272)</f>
        <v>0</v>
      </c>
      <c r="BH272" s="482">
        <f>SUM($U272:X272)</f>
        <v>0</v>
      </c>
      <c r="BI272" s="482">
        <f>SUM($U272:Y272)</f>
        <v>0</v>
      </c>
      <c r="BJ272" s="482">
        <f>SUM($U272:Z272)</f>
        <v>0</v>
      </c>
      <c r="BK272" s="482">
        <f>SUM($U272:AA272)</f>
        <v>0</v>
      </c>
      <c r="BL272" s="482">
        <f>SUM($U272:AB272)</f>
        <v>0</v>
      </c>
      <c r="BM272" s="482">
        <f>SUM($U272:AC272)</f>
        <v>0</v>
      </c>
      <c r="BN272" s="482">
        <f>SUM($U272:AD272)</f>
        <v>0</v>
      </c>
      <c r="BO272" s="482">
        <f>SUM($U272:AE272)</f>
        <v>0</v>
      </c>
      <c r="BP272" s="483">
        <f>SUM($U272:AF272)</f>
        <v>0</v>
      </c>
      <c r="BQ272" s="484">
        <f t="shared" si="27"/>
        <v>0</v>
      </c>
      <c r="BR272" s="482">
        <f>SUM($AS272:AT272)</f>
        <v>0</v>
      </c>
      <c r="BS272" s="482">
        <f>SUM($AS272:AU272)</f>
        <v>0</v>
      </c>
      <c r="BT272" s="482">
        <f>SUM($AS272:AV272)</f>
        <v>0</v>
      </c>
      <c r="BU272" s="482">
        <f>SUM($AS272:AW272)</f>
        <v>0</v>
      </c>
      <c r="BV272" s="482">
        <f>SUM($AS272:AX272)</f>
        <v>0</v>
      </c>
      <c r="BW272" s="482">
        <f>SUM($AS272:AY272)</f>
        <v>0</v>
      </c>
      <c r="BX272" s="482">
        <f>SUM($AS272:AZ272)</f>
        <v>0</v>
      </c>
      <c r="BY272" s="482">
        <f>SUM($AS272:BA272)</f>
        <v>0</v>
      </c>
      <c r="BZ272" s="482">
        <f>SUM($AS272:BB272)</f>
        <v>0</v>
      </c>
      <c r="CA272" s="482">
        <f>SUM($AS272:BC272)</f>
        <v>0</v>
      </c>
      <c r="CB272" s="483">
        <f>SUM($AS272:BD272)</f>
        <v>0</v>
      </c>
    </row>
    <row r="273" spans="1:80" s="471" customFormat="1" ht="12.75" hidden="1" customHeight="1">
      <c r="A273" s="471">
        <f t="shared" si="28"/>
        <v>264</v>
      </c>
      <c r="B273" s="628"/>
      <c r="C273" s="533"/>
      <c r="D273" s="533"/>
      <c r="E273" s="427"/>
      <c r="F273" s="586"/>
      <c r="G273" s="629"/>
      <c r="H273" s="582">
        <f t="shared" si="25"/>
        <v>266</v>
      </c>
      <c r="I273" s="524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4"/>
      <c r="U273" s="475"/>
      <c r="V273" s="473"/>
      <c r="W273" s="473"/>
      <c r="X273" s="473"/>
      <c r="Y273" s="473"/>
      <c r="Z273" s="473"/>
      <c r="AA273" s="473"/>
      <c r="AB273" s="473"/>
      <c r="AC273" s="473"/>
      <c r="AD273" s="473"/>
      <c r="AE273" s="473"/>
      <c r="AF273" s="473"/>
      <c r="AG273" s="510"/>
      <c r="AH273" s="495"/>
      <c r="AI273" s="495"/>
      <c r="AJ273" s="495"/>
      <c r="AK273" s="495"/>
      <c r="AL273" s="495"/>
      <c r="AM273" s="495"/>
      <c r="AN273" s="495"/>
      <c r="AO273" s="495"/>
      <c r="AP273" s="495"/>
      <c r="AQ273" s="495"/>
      <c r="AR273" s="497"/>
      <c r="AS273" s="509"/>
      <c r="AT273" s="495"/>
      <c r="AU273" s="495"/>
      <c r="AV273" s="480"/>
      <c r="AW273" s="496"/>
      <c r="AX273" s="495"/>
      <c r="AY273" s="495"/>
      <c r="AZ273" s="496"/>
      <c r="BA273" s="496"/>
      <c r="BB273" s="496"/>
      <c r="BC273" s="496"/>
      <c r="BD273" s="511"/>
      <c r="BE273" s="482">
        <f t="shared" ref="BE273:BE304" si="29">(U273)</f>
        <v>0</v>
      </c>
      <c r="BF273" s="482">
        <f>SUM($U273:V273)</f>
        <v>0</v>
      </c>
      <c r="BG273" s="482">
        <f>SUM($U273:W273)</f>
        <v>0</v>
      </c>
      <c r="BH273" s="482">
        <f>SUM($U273:X273)</f>
        <v>0</v>
      </c>
      <c r="BI273" s="482">
        <f>SUM($U273:Y273)</f>
        <v>0</v>
      </c>
      <c r="BJ273" s="482">
        <f>SUM($U273:Z273)</f>
        <v>0</v>
      </c>
      <c r="BK273" s="482">
        <f>SUM($U273:AA273)</f>
        <v>0</v>
      </c>
      <c r="BL273" s="482">
        <f>SUM($U273:AB273)</f>
        <v>0</v>
      </c>
      <c r="BM273" s="482">
        <f>SUM($U273:AC273)</f>
        <v>0</v>
      </c>
      <c r="BN273" s="482">
        <f>SUM($U273:AD273)</f>
        <v>0</v>
      </c>
      <c r="BO273" s="482">
        <f>SUM($U273:AE273)</f>
        <v>0</v>
      </c>
      <c r="BP273" s="483">
        <f>SUM($U273:AF273)</f>
        <v>0</v>
      </c>
      <c r="BQ273" s="484">
        <f t="shared" ref="BQ273:BQ304" si="30">(AS273)</f>
        <v>0</v>
      </c>
      <c r="BR273" s="482">
        <f>SUM($AS273:AT273)</f>
        <v>0</v>
      </c>
      <c r="BS273" s="482">
        <f>SUM($AS273:AU273)</f>
        <v>0</v>
      </c>
      <c r="BT273" s="482">
        <f>SUM($AS273:AV273)</f>
        <v>0</v>
      </c>
      <c r="BU273" s="482">
        <f>SUM($AS273:AW273)</f>
        <v>0</v>
      </c>
      <c r="BV273" s="482">
        <f>SUM($AS273:AX273)</f>
        <v>0</v>
      </c>
      <c r="BW273" s="482">
        <f>SUM($AS273:AY273)</f>
        <v>0</v>
      </c>
      <c r="BX273" s="482">
        <f>SUM($AS273:AZ273)</f>
        <v>0</v>
      </c>
      <c r="BY273" s="482">
        <f>SUM($AS273:BA273)</f>
        <v>0</v>
      </c>
      <c r="BZ273" s="482">
        <f>SUM($AS273:BB273)</f>
        <v>0</v>
      </c>
      <c r="CA273" s="482">
        <f>SUM($AS273:BC273)</f>
        <v>0</v>
      </c>
      <c r="CB273" s="483">
        <f>SUM($AS273:BD273)</f>
        <v>0</v>
      </c>
    </row>
    <row r="274" spans="1:80" s="471" customFormat="1" ht="12.75" hidden="1" customHeight="1">
      <c r="A274" s="471">
        <f t="shared" si="28"/>
        <v>265</v>
      </c>
      <c r="B274" s="628"/>
      <c r="C274" s="533"/>
      <c r="D274" s="533"/>
      <c r="E274" s="427"/>
      <c r="F274" s="586"/>
      <c r="G274" s="629"/>
      <c r="H274" s="582">
        <f t="shared" si="25"/>
        <v>267</v>
      </c>
      <c r="I274" s="524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4"/>
      <c r="U274" s="475"/>
      <c r="V274" s="473"/>
      <c r="W274" s="473"/>
      <c r="X274" s="473"/>
      <c r="Y274" s="473"/>
      <c r="Z274" s="473"/>
      <c r="AA274" s="473"/>
      <c r="AB274" s="473"/>
      <c r="AC274" s="473"/>
      <c r="AD274" s="473"/>
      <c r="AE274" s="473"/>
      <c r="AF274" s="473"/>
      <c r="AG274" s="510"/>
      <c r="AH274" s="495"/>
      <c r="AI274" s="495"/>
      <c r="AJ274" s="495"/>
      <c r="AK274" s="495"/>
      <c r="AL274" s="495"/>
      <c r="AM274" s="495"/>
      <c r="AN274" s="495"/>
      <c r="AO274" s="495"/>
      <c r="AP274" s="495"/>
      <c r="AQ274" s="495"/>
      <c r="AR274" s="497"/>
      <c r="AS274" s="509"/>
      <c r="AT274" s="495"/>
      <c r="AU274" s="495"/>
      <c r="AV274" s="480"/>
      <c r="AW274" s="496"/>
      <c r="AX274" s="495"/>
      <c r="AY274" s="495"/>
      <c r="AZ274" s="496"/>
      <c r="BA274" s="496"/>
      <c r="BB274" s="496"/>
      <c r="BC274" s="496"/>
      <c r="BD274" s="511"/>
      <c r="BE274" s="482">
        <f t="shared" si="29"/>
        <v>0</v>
      </c>
      <c r="BF274" s="482">
        <f>SUM($U274:V274)</f>
        <v>0</v>
      </c>
      <c r="BG274" s="482">
        <f>SUM($U274:W274)</f>
        <v>0</v>
      </c>
      <c r="BH274" s="482">
        <f>SUM($U274:X274)</f>
        <v>0</v>
      </c>
      <c r="BI274" s="482">
        <f>SUM($U274:Y274)</f>
        <v>0</v>
      </c>
      <c r="BJ274" s="482">
        <f>SUM($U274:Z274)</f>
        <v>0</v>
      </c>
      <c r="BK274" s="482">
        <f>SUM($U274:AA274)</f>
        <v>0</v>
      </c>
      <c r="BL274" s="482">
        <f>SUM($U274:AB274)</f>
        <v>0</v>
      </c>
      <c r="BM274" s="482">
        <f>SUM($U274:AC274)</f>
        <v>0</v>
      </c>
      <c r="BN274" s="482">
        <f>SUM($U274:AD274)</f>
        <v>0</v>
      </c>
      <c r="BO274" s="482">
        <f>SUM($U274:AE274)</f>
        <v>0</v>
      </c>
      <c r="BP274" s="483">
        <f>SUM($U274:AF274)</f>
        <v>0</v>
      </c>
      <c r="BQ274" s="484">
        <f t="shared" si="30"/>
        <v>0</v>
      </c>
      <c r="BR274" s="482">
        <f>SUM($AS274:AT274)</f>
        <v>0</v>
      </c>
      <c r="BS274" s="482">
        <f>SUM($AS274:AU274)</f>
        <v>0</v>
      </c>
      <c r="BT274" s="482">
        <f>SUM($AS274:AV274)</f>
        <v>0</v>
      </c>
      <c r="BU274" s="482">
        <f>SUM($AS274:AW274)</f>
        <v>0</v>
      </c>
      <c r="BV274" s="482">
        <f>SUM($AS274:AX274)</f>
        <v>0</v>
      </c>
      <c r="BW274" s="482">
        <f>SUM($AS274:AY274)</f>
        <v>0</v>
      </c>
      <c r="BX274" s="482">
        <f>SUM($AS274:AZ274)</f>
        <v>0</v>
      </c>
      <c r="BY274" s="482">
        <f>SUM($AS274:BA274)</f>
        <v>0</v>
      </c>
      <c r="BZ274" s="482">
        <f>SUM($AS274:BB274)</f>
        <v>0</v>
      </c>
      <c r="CA274" s="482">
        <f>SUM($AS274:BC274)</f>
        <v>0</v>
      </c>
      <c r="CB274" s="483">
        <f>SUM($AS274:BD274)</f>
        <v>0</v>
      </c>
    </row>
    <row r="275" spans="1:80" s="471" customFormat="1" ht="12.75" hidden="1" customHeight="1">
      <c r="A275" s="471">
        <f t="shared" si="28"/>
        <v>266</v>
      </c>
      <c r="B275" s="628"/>
      <c r="C275" s="533"/>
      <c r="D275" s="533"/>
      <c r="E275" s="427"/>
      <c r="F275" s="586"/>
      <c r="G275" s="629"/>
      <c r="H275" s="582">
        <f t="shared" si="25"/>
        <v>268</v>
      </c>
      <c r="I275" s="524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4"/>
      <c r="U275" s="475"/>
      <c r="V275" s="473"/>
      <c r="W275" s="473"/>
      <c r="X275" s="473"/>
      <c r="Y275" s="473"/>
      <c r="Z275" s="473"/>
      <c r="AA275" s="473"/>
      <c r="AB275" s="473"/>
      <c r="AC275" s="473"/>
      <c r="AD275" s="473"/>
      <c r="AE275" s="473"/>
      <c r="AF275" s="473"/>
      <c r="AG275" s="510"/>
      <c r="AH275" s="495"/>
      <c r="AI275" s="495"/>
      <c r="AJ275" s="495"/>
      <c r="AK275" s="495"/>
      <c r="AL275" s="495"/>
      <c r="AM275" s="495"/>
      <c r="AN275" s="495"/>
      <c r="AO275" s="495"/>
      <c r="AP275" s="495"/>
      <c r="AQ275" s="495"/>
      <c r="AR275" s="497"/>
      <c r="AS275" s="509"/>
      <c r="AT275" s="495"/>
      <c r="AU275" s="495"/>
      <c r="AV275" s="480"/>
      <c r="AW275" s="496"/>
      <c r="AX275" s="495"/>
      <c r="AY275" s="495"/>
      <c r="AZ275" s="496"/>
      <c r="BA275" s="496"/>
      <c r="BB275" s="496"/>
      <c r="BC275" s="496"/>
      <c r="BD275" s="511"/>
      <c r="BE275" s="482">
        <f t="shared" si="29"/>
        <v>0</v>
      </c>
      <c r="BF275" s="482">
        <f>SUM($U275:V275)</f>
        <v>0</v>
      </c>
      <c r="BG275" s="482">
        <f>SUM($U275:W275)</f>
        <v>0</v>
      </c>
      <c r="BH275" s="482">
        <f>SUM($U275:X275)</f>
        <v>0</v>
      </c>
      <c r="BI275" s="482">
        <f>SUM($U275:Y275)</f>
        <v>0</v>
      </c>
      <c r="BJ275" s="482">
        <f>SUM($U275:Z275)</f>
        <v>0</v>
      </c>
      <c r="BK275" s="482">
        <f>SUM($U275:AA275)</f>
        <v>0</v>
      </c>
      <c r="BL275" s="482">
        <f>SUM($U275:AB275)</f>
        <v>0</v>
      </c>
      <c r="BM275" s="482">
        <f>SUM($U275:AC275)</f>
        <v>0</v>
      </c>
      <c r="BN275" s="482">
        <f>SUM($U275:AD275)</f>
        <v>0</v>
      </c>
      <c r="BO275" s="482">
        <f>SUM($U275:AE275)</f>
        <v>0</v>
      </c>
      <c r="BP275" s="483">
        <f>SUM($U275:AF275)</f>
        <v>0</v>
      </c>
      <c r="BQ275" s="484">
        <f t="shared" si="30"/>
        <v>0</v>
      </c>
      <c r="BR275" s="482">
        <f>SUM($AS275:AT275)</f>
        <v>0</v>
      </c>
      <c r="BS275" s="482">
        <f>SUM($AS275:AU275)</f>
        <v>0</v>
      </c>
      <c r="BT275" s="482">
        <f>SUM($AS275:AV275)</f>
        <v>0</v>
      </c>
      <c r="BU275" s="482">
        <f>SUM($AS275:AW275)</f>
        <v>0</v>
      </c>
      <c r="BV275" s="482">
        <f>SUM($AS275:AX275)</f>
        <v>0</v>
      </c>
      <c r="BW275" s="482">
        <f>SUM($AS275:AY275)</f>
        <v>0</v>
      </c>
      <c r="BX275" s="482">
        <f>SUM($AS275:AZ275)</f>
        <v>0</v>
      </c>
      <c r="BY275" s="482">
        <f>SUM($AS275:BA275)</f>
        <v>0</v>
      </c>
      <c r="BZ275" s="482">
        <f>SUM($AS275:BB275)</f>
        <v>0</v>
      </c>
      <c r="CA275" s="482">
        <f>SUM($AS275:BC275)</f>
        <v>0</v>
      </c>
      <c r="CB275" s="483">
        <f>SUM($AS275:BD275)</f>
        <v>0</v>
      </c>
    </row>
    <row r="276" spans="1:80" s="471" customFormat="1" ht="12.75" hidden="1" customHeight="1">
      <c r="A276" s="471">
        <f t="shared" si="28"/>
        <v>267</v>
      </c>
      <c r="B276" s="628"/>
      <c r="C276" s="533"/>
      <c r="D276" s="533"/>
      <c r="E276" s="427"/>
      <c r="F276" s="586"/>
      <c r="G276" s="629"/>
      <c r="H276" s="582">
        <f t="shared" si="25"/>
        <v>269</v>
      </c>
      <c r="I276" s="524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4"/>
      <c r="U276" s="475"/>
      <c r="V276" s="473"/>
      <c r="W276" s="473"/>
      <c r="X276" s="473"/>
      <c r="Y276" s="473"/>
      <c r="Z276" s="473"/>
      <c r="AA276" s="473"/>
      <c r="AB276" s="473"/>
      <c r="AC276" s="473"/>
      <c r="AD276" s="473"/>
      <c r="AE276" s="473"/>
      <c r="AF276" s="473"/>
      <c r="AG276" s="510"/>
      <c r="AH276" s="495"/>
      <c r="AI276" s="495"/>
      <c r="AJ276" s="495"/>
      <c r="AK276" s="495"/>
      <c r="AL276" s="495"/>
      <c r="AM276" s="495"/>
      <c r="AN276" s="495"/>
      <c r="AO276" s="495"/>
      <c r="AP276" s="495"/>
      <c r="AQ276" s="495"/>
      <c r="AR276" s="497"/>
      <c r="AS276" s="509"/>
      <c r="AT276" s="495"/>
      <c r="AU276" s="495"/>
      <c r="AV276" s="480"/>
      <c r="AW276" s="496"/>
      <c r="AX276" s="495"/>
      <c r="AY276" s="495"/>
      <c r="AZ276" s="496"/>
      <c r="BA276" s="496"/>
      <c r="BB276" s="496"/>
      <c r="BC276" s="496"/>
      <c r="BD276" s="511"/>
      <c r="BE276" s="482">
        <f t="shared" si="29"/>
        <v>0</v>
      </c>
      <c r="BF276" s="482">
        <f>SUM($U276:V276)</f>
        <v>0</v>
      </c>
      <c r="BG276" s="482">
        <f>SUM($U276:W276)</f>
        <v>0</v>
      </c>
      <c r="BH276" s="482">
        <f>SUM($U276:X276)</f>
        <v>0</v>
      </c>
      <c r="BI276" s="482">
        <f>SUM($U276:Y276)</f>
        <v>0</v>
      </c>
      <c r="BJ276" s="482">
        <f>SUM($U276:Z276)</f>
        <v>0</v>
      </c>
      <c r="BK276" s="482">
        <f>SUM($U276:AA276)</f>
        <v>0</v>
      </c>
      <c r="BL276" s="482">
        <f>SUM($U276:AB276)</f>
        <v>0</v>
      </c>
      <c r="BM276" s="482">
        <f>SUM($U276:AC276)</f>
        <v>0</v>
      </c>
      <c r="BN276" s="482">
        <f>SUM($U276:AD276)</f>
        <v>0</v>
      </c>
      <c r="BO276" s="482">
        <f>SUM($U276:AE276)</f>
        <v>0</v>
      </c>
      <c r="BP276" s="483">
        <f>SUM($U276:AF276)</f>
        <v>0</v>
      </c>
      <c r="BQ276" s="484">
        <f t="shared" si="30"/>
        <v>0</v>
      </c>
      <c r="BR276" s="482">
        <f>SUM($AS276:AT276)</f>
        <v>0</v>
      </c>
      <c r="BS276" s="482">
        <f>SUM($AS276:AU276)</f>
        <v>0</v>
      </c>
      <c r="BT276" s="482">
        <f>SUM($AS276:AV276)</f>
        <v>0</v>
      </c>
      <c r="BU276" s="482">
        <f>SUM($AS276:AW276)</f>
        <v>0</v>
      </c>
      <c r="BV276" s="482">
        <f>SUM($AS276:AX276)</f>
        <v>0</v>
      </c>
      <c r="BW276" s="482">
        <f>SUM($AS276:AY276)</f>
        <v>0</v>
      </c>
      <c r="BX276" s="482">
        <f>SUM($AS276:AZ276)</f>
        <v>0</v>
      </c>
      <c r="BY276" s="482">
        <f>SUM($AS276:BA276)</f>
        <v>0</v>
      </c>
      <c r="BZ276" s="482">
        <f>SUM($AS276:BB276)</f>
        <v>0</v>
      </c>
      <c r="CA276" s="482">
        <f>SUM($AS276:BC276)</f>
        <v>0</v>
      </c>
      <c r="CB276" s="483">
        <f>SUM($AS276:BD276)</f>
        <v>0</v>
      </c>
    </row>
    <row r="277" spans="1:80" s="471" customFormat="1" ht="12.75" hidden="1" customHeight="1">
      <c r="A277" s="471">
        <f t="shared" si="28"/>
        <v>268</v>
      </c>
      <c r="B277" s="628"/>
      <c r="C277" s="533"/>
      <c r="D277" s="533"/>
      <c r="E277" s="427"/>
      <c r="F277" s="586"/>
      <c r="G277" s="629"/>
      <c r="H277" s="582">
        <f t="shared" si="25"/>
        <v>270</v>
      </c>
      <c r="I277" s="524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4"/>
      <c r="U277" s="475"/>
      <c r="V277" s="473"/>
      <c r="W277" s="473"/>
      <c r="X277" s="473"/>
      <c r="Y277" s="473"/>
      <c r="Z277" s="473"/>
      <c r="AA277" s="473"/>
      <c r="AB277" s="473"/>
      <c r="AC277" s="473"/>
      <c r="AD277" s="473"/>
      <c r="AE277" s="473"/>
      <c r="AF277" s="473"/>
      <c r="AG277" s="510"/>
      <c r="AH277" s="495"/>
      <c r="AI277" s="495"/>
      <c r="AJ277" s="495"/>
      <c r="AK277" s="495"/>
      <c r="AL277" s="495"/>
      <c r="AM277" s="495"/>
      <c r="AN277" s="495"/>
      <c r="AO277" s="495"/>
      <c r="AP277" s="495"/>
      <c r="AQ277" s="495"/>
      <c r="AR277" s="497"/>
      <c r="AS277" s="509"/>
      <c r="AT277" s="495"/>
      <c r="AU277" s="495"/>
      <c r="AV277" s="480"/>
      <c r="AW277" s="496"/>
      <c r="AX277" s="495"/>
      <c r="AY277" s="495"/>
      <c r="AZ277" s="496"/>
      <c r="BA277" s="496"/>
      <c r="BB277" s="496"/>
      <c r="BC277" s="496"/>
      <c r="BD277" s="511"/>
      <c r="BE277" s="482">
        <f t="shared" si="29"/>
        <v>0</v>
      </c>
      <c r="BF277" s="482">
        <f>SUM($U277:V277)</f>
        <v>0</v>
      </c>
      <c r="BG277" s="482">
        <f>SUM($U277:W277)</f>
        <v>0</v>
      </c>
      <c r="BH277" s="482">
        <f>SUM($U277:X277)</f>
        <v>0</v>
      </c>
      <c r="BI277" s="482">
        <f>SUM($U277:Y277)</f>
        <v>0</v>
      </c>
      <c r="BJ277" s="482">
        <f>SUM($U277:Z277)</f>
        <v>0</v>
      </c>
      <c r="BK277" s="482">
        <f>SUM($U277:AA277)</f>
        <v>0</v>
      </c>
      <c r="BL277" s="482">
        <f>SUM($U277:AB277)</f>
        <v>0</v>
      </c>
      <c r="BM277" s="482">
        <f>SUM($U277:AC277)</f>
        <v>0</v>
      </c>
      <c r="BN277" s="482">
        <f>SUM($U277:AD277)</f>
        <v>0</v>
      </c>
      <c r="BO277" s="482">
        <f>SUM($U277:AE277)</f>
        <v>0</v>
      </c>
      <c r="BP277" s="483">
        <f>SUM($U277:AF277)</f>
        <v>0</v>
      </c>
      <c r="BQ277" s="484">
        <f t="shared" si="30"/>
        <v>0</v>
      </c>
      <c r="BR277" s="482">
        <f>SUM($AS277:AT277)</f>
        <v>0</v>
      </c>
      <c r="BS277" s="482">
        <f>SUM($AS277:AU277)</f>
        <v>0</v>
      </c>
      <c r="BT277" s="482">
        <f>SUM($AS277:AV277)</f>
        <v>0</v>
      </c>
      <c r="BU277" s="482">
        <f>SUM($AS277:AW277)</f>
        <v>0</v>
      </c>
      <c r="BV277" s="482">
        <f>SUM($AS277:AX277)</f>
        <v>0</v>
      </c>
      <c r="BW277" s="482">
        <f>SUM($AS277:AY277)</f>
        <v>0</v>
      </c>
      <c r="BX277" s="482">
        <f>SUM($AS277:AZ277)</f>
        <v>0</v>
      </c>
      <c r="BY277" s="482">
        <f>SUM($AS277:BA277)</f>
        <v>0</v>
      </c>
      <c r="BZ277" s="482">
        <f>SUM($AS277:BB277)</f>
        <v>0</v>
      </c>
      <c r="CA277" s="482">
        <f>SUM($AS277:BC277)</f>
        <v>0</v>
      </c>
      <c r="CB277" s="483">
        <f>SUM($AS277:BD277)</f>
        <v>0</v>
      </c>
    </row>
    <row r="278" spans="1:80" s="471" customFormat="1" ht="12.75" hidden="1" customHeight="1">
      <c r="A278" s="471">
        <f t="shared" si="28"/>
        <v>269</v>
      </c>
      <c r="B278" s="628"/>
      <c r="C278" s="533"/>
      <c r="D278" s="533"/>
      <c r="E278" s="427"/>
      <c r="F278" s="586"/>
      <c r="G278" s="629"/>
      <c r="H278" s="582">
        <f t="shared" si="25"/>
        <v>271</v>
      </c>
      <c r="I278" s="524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4"/>
      <c r="U278" s="475"/>
      <c r="V278" s="473"/>
      <c r="W278" s="473"/>
      <c r="X278" s="473"/>
      <c r="Y278" s="473"/>
      <c r="Z278" s="473"/>
      <c r="AA278" s="473"/>
      <c r="AB278" s="473"/>
      <c r="AC278" s="473"/>
      <c r="AD278" s="473"/>
      <c r="AE278" s="473"/>
      <c r="AF278" s="473"/>
      <c r="AG278" s="510"/>
      <c r="AH278" s="495"/>
      <c r="AI278" s="495"/>
      <c r="AJ278" s="495"/>
      <c r="AK278" s="495"/>
      <c r="AL278" s="495"/>
      <c r="AM278" s="495"/>
      <c r="AN278" s="495"/>
      <c r="AO278" s="495"/>
      <c r="AP278" s="495"/>
      <c r="AQ278" s="495"/>
      <c r="AR278" s="497"/>
      <c r="AS278" s="509"/>
      <c r="AT278" s="495"/>
      <c r="AU278" s="495"/>
      <c r="AV278" s="480"/>
      <c r="AW278" s="496"/>
      <c r="AX278" s="495"/>
      <c r="AY278" s="495"/>
      <c r="AZ278" s="496"/>
      <c r="BA278" s="496"/>
      <c r="BB278" s="496"/>
      <c r="BC278" s="496"/>
      <c r="BD278" s="511"/>
      <c r="BE278" s="482">
        <f t="shared" si="29"/>
        <v>0</v>
      </c>
      <c r="BF278" s="482">
        <f>SUM($U278:V278)</f>
        <v>0</v>
      </c>
      <c r="BG278" s="482">
        <f>SUM($U278:W278)</f>
        <v>0</v>
      </c>
      <c r="BH278" s="482">
        <f>SUM($U278:X278)</f>
        <v>0</v>
      </c>
      <c r="BI278" s="482">
        <f>SUM($U278:Y278)</f>
        <v>0</v>
      </c>
      <c r="BJ278" s="482">
        <f>SUM($U278:Z278)</f>
        <v>0</v>
      </c>
      <c r="BK278" s="482">
        <f>SUM($U278:AA278)</f>
        <v>0</v>
      </c>
      <c r="BL278" s="482">
        <f>SUM($U278:AB278)</f>
        <v>0</v>
      </c>
      <c r="BM278" s="482">
        <f>SUM($U278:AC278)</f>
        <v>0</v>
      </c>
      <c r="BN278" s="482">
        <f>SUM($U278:AD278)</f>
        <v>0</v>
      </c>
      <c r="BO278" s="482">
        <f>SUM($U278:AE278)</f>
        <v>0</v>
      </c>
      <c r="BP278" s="483">
        <f>SUM($U278:AF278)</f>
        <v>0</v>
      </c>
      <c r="BQ278" s="484">
        <f t="shared" si="30"/>
        <v>0</v>
      </c>
      <c r="BR278" s="482">
        <f>SUM($AS278:AT278)</f>
        <v>0</v>
      </c>
      <c r="BS278" s="482">
        <f>SUM($AS278:AU278)</f>
        <v>0</v>
      </c>
      <c r="BT278" s="482">
        <f>SUM($AS278:AV278)</f>
        <v>0</v>
      </c>
      <c r="BU278" s="482">
        <f>SUM($AS278:AW278)</f>
        <v>0</v>
      </c>
      <c r="BV278" s="482">
        <f>SUM($AS278:AX278)</f>
        <v>0</v>
      </c>
      <c r="BW278" s="482">
        <f>SUM($AS278:AY278)</f>
        <v>0</v>
      </c>
      <c r="BX278" s="482">
        <f>SUM($AS278:AZ278)</f>
        <v>0</v>
      </c>
      <c r="BY278" s="482">
        <f>SUM($AS278:BA278)</f>
        <v>0</v>
      </c>
      <c r="BZ278" s="482">
        <f>SUM($AS278:BB278)</f>
        <v>0</v>
      </c>
      <c r="CA278" s="482">
        <f>SUM($AS278:BC278)</f>
        <v>0</v>
      </c>
      <c r="CB278" s="483">
        <f>SUM($AS278:BD278)</f>
        <v>0</v>
      </c>
    </row>
    <row r="279" spans="1:80" s="471" customFormat="1" ht="12.75" hidden="1" customHeight="1">
      <c r="A279" s="471">
        <f t="shared" si="28"/>
        <v>270</v>
      </c>
      <c r="B279" s="628"/>
      <c r="C279" s="533"/>
      <c r="D279" s="533"/>
      <c r="E279" s="427"/>
      <c r="F279" s="586"/>
      <c r="G279" s="629"/>
      <c r="H279" s="582">
        <f t="shared" si="25"/>
        <v>272</v>
      </c>
      <c r="I279" s="524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4"/>
      <c r="U279" s="475"/>
      <c r="V279" s="473"/>
      <c r="W279" s="473"/>
      <c r="X279" s="473"/>
      <c r="Y279" s="473"/>
      <c r="Z279" s="473"/>
      <c r="AA279" s="473"/>
      <c r="AB279" s="473"/>
      <c r="AC279" s="473"/>
      <c r="AD279" s="473"/>
      <c r="AE279" s="473"/>
      <c r="AF279" s="473"/>
      <c r="AG279" s="510"/>
      <c r="AH279" s="495"/>
      <c r="AI279" s="495"/>
      <c r="AJ279" s="495"/>
      <c r="AK279" s="495"/>
      <c r="AL279" s="495"/>
      <c r="AM279" s="495"/>
      <c r="AN279" s="495"/>
      <c r="AO279" s="495"/>
      <c r="AP279" s="495"/>
      <c r="AQ279" s="495"/>
      <c r="AR279" s="497"/>
      <c r="AS279" s="509"/>
      <c r="AT279" s="495"/>
      <c r="AU279" s="495"/>
      <c r="AV279" s="480"/>
      <c r="AW279" s="496"/>
      <c r="AX279" s="495"/>
      <c r="AY279" s="495"/>
      <c r="AZ279" s="496"/>
      <c r="BA279" s="496"/>
      <c r="BB279" s="496"/>
      <c r="BC279" s="496"/>
      <c r="BD279" s="511"/>
      <c r="BE279" s="482">
        <f t="shared" si="29"/>
        <v>0</v>
      </c>
      <c r="BF279" s="482">
        <f>SUM($U279:V279)</f>
        <v>0</v>
      </c>
      <c r="BG279" s="482">
        <f>SUM($U279:W279)</f>
        <v>0</v>
      </c>
      <c r="BH279" s="482">
        <f>SUM($U279:X279)</f>
        <v>0</v>
      </c>
      <c r="BI279" s="482">
        <f>SUM($U279:Y279)</f>
        <v>0</v>
      </c>
      <c r="BJ279" s="482">
        <f>SUM($U279:Z279)</f>
        <v>0</v>
      </c>
      <c r="BK279" s="482">
        <f>SUM($U279:AA279)</f>
        <v>0</v>
      </c>
      <c r="BL279" s="482">
        <f>SUM($U279:AB279)</f>
        <v>0</v>
      </c>
      <c r="BM279" s="482">
        <f>SUM($U279:AC279)</f>
        <v>0</v>
      </c>
      <c r="BN279" s="482">
        <f>SUM($U279:AD279)</f>
        <v>0</v>
      </c>
      <c r="BO279" s="482">
        <f>SUM($U279:AE279)</f>
        <v>0</v>
      </c>
      <c r="BP279" s="483">
        <f>SUM($U279:AF279)</f>
        <v>0</v>
      </c>
      <c r="BQ279" s="484">
        <f t="shared" si="30"/>
        <v>0</v>
      </c>
      <c r="BR279" s="482">
        <f>SUM($AS279:AT279)</f>
        <v>0</v>
      </c>
      <c r="BS279" s="482">
        <f>SUM($AS279:AU279)</f>
        <v>0</v>
      </c>
      <c r="BT279" s="482">
        <f>SUM($AS279:AV279)</f>
        <v>0</v>
      </c>
      <c r="BU279" s="482">
        <f>SUM($AS279:AW279)</f>
        <v>0</v>
      </c>
      <c r="BV279" s="482">
        <f>SUM($AS279:AX279)</f>
        <v>0</v>
      </c>
      <c r="BW279" s="482">
        <f>SUM($AS279:AY279)</f>
        <v>0</v>
      </c>
      <c r="BX279" s="482">
        <f>SUM($AS279:AZ279)</f>
        <v>0</v>
      </c>
      <c r="BY279" s="482">
        <f>SUM($AS279:BA279)</f>
        <v>0</v>
      </c>
      <c r="BZ279" s="482">
        <f>SUM($AS279:BB279)</f>
        <v>0</v>
      </c>
      <c r="CA279" s="482">
        <f>SUM($AS279:BC279)</f>
        <v>0</v>
      </c>
      <c r="CB279" s="483">
        <f>SUM($AS279:BD279)</f>
        <v>0</v>
      </c>
    </row>
    <row r="280" spans="1:80" s="471" customFormat="1" ht="12.75" hidden="1" customHeight="1">
      <c r="A280" s="471">
        <f t="shared" si="28"/>
        <v>271</v>
      </c>
      <c r="B280" s="628"/>
      <c r="C280" s="533"/>
      <c r="D280" s="533"/>
      <c r="E280" s="427"/>
      <c r="F280" s="586"/>
      <c r="G280" s="629"/>
      <c r="H280" s="582">
        <f t="shared" si="25"/>
        <v>273</v>
      </c>
      <c r="I280" s="524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4"/>
      <c r="U280" s="475"/>
      <c r="V280" s="473"/>
      <c r="W280" s="473"/>
      <c r="X280" s="473"/>
      <c r="Y280" s="473"/>
      <c r="Z280" s="473"/>
      <c r="AA280" s="473"/>
      <c r="AB280" s="473"/>
      <c r="AC280" s="473"/>
      <c r="AD280" s="473"/>
      <c r="AE280" s="473"/>
      <c r="AF280" s="473"/>
      <c r="AG280" s="510"/>
      <c r="AH280" s="495"/>
      <c r="AI280" s="495"/>
      <c r="AJ280" s="495"/>
      <c r="AK280" s="495"/>
      <c r="AL280" s="495"/>
      <c r="AM280" s="495"/>
      <c r="AN280" s="495"/>
      <c r="AO280" s="495"/>
      <c r="AP280" s="495"/>
      <c r="AQ280" s="495"/>
      <c r="AR280" s="497"/>
      <c r="AS280" s="509"/>
      <c r="AT280" s="495"/>
      <c r="AU280" s="495"/>
      <c r="AV280" s="480"/>
      <c r="AW280" s="496"/>
      <c r="AX280" s="495"/>
      <c r="AY280" s="495"/>
      <c r="AZ280" s="496"/>
      <c r="BA280" s="496"/>
      <c r="BB280" s="496"/>
      <c r="BC280" s="496"/>
      <c r="BD280" s="511"/>
      <c r="BE280" s="482">
        <f t="shared" si="29"/>
        <v>0</v>
      </c>
      <c r="BF280" s="482">
        <f>SUM($U280:V280)</f>
        <v>0</v>
      </c>
      <c r="BG280" s="482">
        <f>SUM($U280:W280)</f>
        <v>0</v>
      </c>
      <c r="BH280" s="482">
        <f>SUM($U280:X280)</f>
        <v>0</v>
      </c>
      <c r="BI280" s="482">
        <f>SUM($U280:Y280)</f>
        <v>0</v>
      </c>
      <c r="BJ280" s="482">
        <f>SUM($U280:Z280)</f>
        <v>0</v>
      </c>
      <c r="BK280" s="482">
        <f>SUM($U280:AA280)</f>
        <v>0</v>
      </c>
      <c r="BL280" s="482">
        <f>SUM($U280:AB280)</f>
        <v>0</v>
      </c>
      <c r="BM280" s="482">
        <f>SUM($U280:AC280)</f>
        <v>0</v>
      </c>
      <c r="BN280" s="482">
        <f>SUM($U280:AD280)</f>
        <v>0</v>
      </c>
      <c r="BO280" s="482">
        <f>SUM($U280:AE280)</f>
        <v>0</v>
      </c>
      <c r="BP280" s="483">
        <f>SUM($U280:AF280)</f>
        <v>0</v>
      </c>
      <c r="BQ280" s="484">
        <f t="shared" si="30"/>
        <v>0</v>
      </c>
      <c r="BR280" s="482">
        <f>SUM($AS280:AT280)</f>
        <v>0</v>
      </c>
      <c r="BS280" s="482">
        <f>SUM($AS280:AU280)</f>
        <v>0</v>
      </c>
      <c r="BT280" s="482">
        <f>SUM($AS280:AV280)</f>
        <v>0</v>
      </c>
      <c r="BU280" s="482">
        <f>SUM($AS280:AW280)</f>
        <v>0</v>
      </c>
      <c r="BV280" s="482">
        <f>SUM($AS280:AX280)</f>
        <v>0</v>
      </c>
      <c r="BW280" s="482">
        <f>SUM($AS280:AY280)</f>
        <v>0</v>
      </c>
      <c r="BX280" s="482">
        <f>SUM($AS280:AZ280)</f>
        <v>0</v>
      </c>
      <c r="BY280" s="482">
        <f>SUM($AS280:BA280)</f>
        <v>0</v>
      </c>
      <c r="BZ280" s="482">
        <f>SUM($AS280:BB280)</f>
        <v>0</v>
      </c>
      <c r="CA280" s="482">
        <f>SUM($AS280:BC280)</f>
        <v>0</v>
      </c>
      <c r="CB280" s="483">
        <f>SUM($AS280:BD280)</f>
        <v>0</v>
      </c>
    </row>
    <row r="281" spans="1:80" s="471" customFormat="1" ht="12.75" hidden="1" customHeight="1">
      <c r="A281" s="471">
        <f t="shared" si="28"/>
        <v>272</v>
      </c>
      <c r="B281" s="628"/>
      <c r="C281" s="533"/>
      <c r="D281" s="533"/>
      <c r="E281" s="427"/>
      <c r="F281" s="586"/>
      <c r="G281" s="629"/>
      <c r="H281" s="582">
        <f t="shared" si="25"/>
        <v>274</v>
      </c>
      <c r="I281" s="524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4"/>
      <c r="U281" s="475"/>
      <c r="V281" s="473"/>
      <c r="W281" s="473"/>
      <c r="X281" s="473"/>
      <c r="Y281" s="473"/>
      <c r="Z281" s="473"/>
      <c r="AA281" s="473"/>
      <c r="AB281" s="473"/>
      <c r="AC281" s="473"/>
      <c r="AD281" s="473"/>
      <c r="AE281" s="473"/>
      <c r="AF281" s="473"/>
      <c r="AG281" s="510"/>
      <c r="AH281" s="495"/>
      <c r="AI281" s="495"/>
      <c r="AJ281" s="495"/>
      <c r="AK281" s="495"/>
      <c r="AL281" s="495"/>
      <c r="AM281" s="495"/>
      <c r="AN281" s="495"/>
      <c r="AO281" s="495"/>
      <c r="AP281" s="495"/>
      <c r="AQ281" s="495"/>
      <c r="AR281" s="497"/>
      <c r="AS281" s="509"/>
      <c r="AT281" s="495"/>
      <c r="AU281" s="495"/>
      <c r="AV281" s="480"/>
      <c r="AW281" s="496"/>
      <c r="AX281" s="495"/>
      <c r="AY281" s="495"/>
      <c r="AZ281" s="496"/>
      <c r="BA281" s="496"/>
      <c r="BB281" s="496"/>
      <c r="BC281" s="496"/>
      <c r="BD281" s="511"/>
      <c r="BE281" s="482">
        <f t="shared" si="29"/>
        <v>0</v>
      </c>
      <c r="BF281" s="482">
        <f>SUM($U281:V281)</f>
        <v>0</v>
      </c>
      <c r="BG281" s="482">
        <f>SUM($U281:W281)</f>
        <v>0</v>
      </c>
      <c r="BH281" s="482">
        <f>SUM($U281:X281)</f>
        <v>0</v>
      </c>
      <c r="BI281" s="482">
        <f>SUM($U281:Y281)</f>
        <v>0</v>
      </c>
      <c r="BJ281" s="482">
        <f>SUM($U281:Z281)</f>
        <v>0</v>
      </c>
      <c r="BK281" s="482">
        <f>SUM($U281:AA281)</f>
        <v>0</v>
      </c>
      <c r="BL281" s="482">
        <f>SUM($U281:AB281)</f>
        <v>0</v>
      </c>
      <c r="BM281" s="482">
        <f>SUM($U281:AC281)</f>
        <v>0</v>
      </c>
      <c r="BN281" s="482">
        <f>SUM($U281:AD281)</f>
        <v>0</v>
      </c>
      <c r="BO281" s="482">
        <f>SUM($U281:AE281)</f>
        <v>0</v>
      </c>
      <c r="BP281" s="483">
        <f>SUM($U281:AF281)</f>
        <v>0</v>
      </c>
      <c r="BQ281" s="484">
        <f t="shared" si="30"/>
        <v>0</v>
      </c>
      <c r="BR281" s="482">
        <f>SUM($AS281:AT281)</f>
        <v>0</v>
      </c>
      <c r="BS281" s="482">
        <f>SUM($AS281:AU281)</f>
        <v>0</v>
      </c>
      <c r="BT281" s="482">
        <f>SUM($AS281:AV281)</f>
        <v>0</v>
      </c>
      <c r="BU281" s="482">
        <f>SUM($AS281:AW281)</f>
        <v>0</v>
      </c>
      <c r="BV281" s="482">
        <f>SUM($AS281:AX281)</f>
        <v>0</v>
      </c>
      <c r="BW281" s="482">
        <f>SUM($AS281:AY281)</f>
        <v>0</v>
      </c>
      <c r="BX281" s="482">
        <f>SUM($AS281:AZ281)</f>
        <v>0</v>
      </c>
      <c r="BY281" s="482">
        <f>SUM($AS281:BA281)</f>
        <v>0</v>
      </c>
      <c r="BZ281" s="482">
        <f>SUM($AS281:BB281)</f>
        <v>0</v>
      </c>
      <c r="CA281" s="482">
        <f>SUM($AS281:BC281)</f>
        <v>0</v>
      </c>
      <c r="CB281" s="483">
        <f>SUM($AS281:BD281)</f>
        <v>0</v>
      </c>
    </row>
    <row r="282" spans="1:80" s="471" customFormat="1" ht="12.75" hidden="1" customHeight="1">
      <c r="A282" s="471">
        <f t="shared" si="28"/>
        <v>273</v>
      </c>
      <c r="B282" s="628"/>
      <c r="C282" s="533"/>
      <c r="D282" s="533"/>
      <c r="E282" s="427"/>
      <c r="F282" s="586"/>
      <c r="G282" s="629"/>
      <c r="H282" s="582">
        <f t="shared" si="25"/>
        <v>275</v>
      </c>
      <c r="I282" s="524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4"/>
      <c r="U282" s="475"/>
      <c r="V282" s="473"/>
      <c r="W282" s="473"/>
      <c r="X282" s="473"/>
      <c r="Y282" s="473"/>
      <c r="Z282" s="473"/>
      <c r="AA282" s="473"/>
      <c r="AB282" s="473"/>
      <c r="AC282" s="473"/>
      <c r="AD282" s="473"/>
      <c r="AE282" s="473"/>
      <c r="AF282" s="473"/>
      <c r="AG282" s="510"/>
      <c r="AH282" s="495"/>
      <c r="AI282" s="495"/>
      <c r="AJ282" s="495"/>
      <c r="AK282" s="495"/>
      <c r="AL282" s="495"/>
      <c r="AM282" s="495"/>
      <c r="AN282" s="495"/>
      <c r="AO282" s="495"/>
      <c r="AP282" s="495"/>
      <c r="AQ282" s="495"/>
      <c r="AR282" s="497"/>
      <c r="AS282" s="509"/>
      <c r="AT282" s="495"/>
      <c r="AU282" s="495"/>
      <c r="AV282" s="480"/>
      <c r="AW282" s="496"/>
      <c r="AX282" s="495"/>
      <c r="AY282" s="495"/>
      <c r="AZ282" s="496"/>
      <c r="BA282" s="496"/>
      <c r="BB282" s="496"/>
      <c r="BC282" s="496"/>
      <c r="BD282" s="511"/>
      <c r="BE282" s="482">
        <f t="shared" si="29"/>
        <v>0</v>
      </c>
      <c r="BF282" s="482">
        <f>SUM($U282:V282)</f>
        <v>0</v>
      </c>
      <c r="BG282" s="482">
        <f>SUM($U282:W282)</f>
        <v>0</v>
      </c>
      <c r="BH282" s="482">
        <f>SUM($U282:X282)</f>
        <v>0</v>
      </c>
      <c r="BI282" s="482">
        <f>SUM($U282:Y282)</f>
        <v>0</v>
      </c>
      <c r="BJ282" s="482">
        <f>SUM($U282:Z282)</f>
        <v>0</v>
      </c>
      <c r="BK282" s="482">
        <f>SUM($U282:AA282)</f>
        <v>0</v>
      </c>
      <c r="BL282" s="482">
        <f>SUM($U282:AB282)</f>
        <v>0</v>
      </c>
      <c r="BM282" s="482">
        <f>SUM($U282:AC282)</f>
        <v>0</v>
      </c>
      <c r="BN282" s="482">
        <f>SUM($U282:AD282)</f>
        <v>0</v>
      </c>
      <c r="BO282" s="482">
        <f>SUM($U282:AE282)</f>
        <v>0</v>
      </c>
      <c r="BP282" s="483">
        <f>SUM($U282:AF282)</f>
        <v>0</v>
      </c>
      <c r="BQ282" s="484">
        <f t="shared" si="30"/>
        <v>0</v>
      </c>
      <c r="BR282" s="482">
        <f>SUM($AS282:AT282)</f>
        <v>0</v>
      </c>
      <c r="BS282" s="482">
        <f>SUM($AS282:AU282)</f>
        <v>0</v>
      </c>
      <c r="BT282" s="482">
        <f>SUM($AS282:AV282)</f>
        <v>0</v>
      </c>
      <c r="BU282" s="482">
        <f>SUM($AS282:AW282)</f>
        <v>0</v>
      </c>
      <c r="BV282" s="482">
        <f>SUM($AS282:AX282)</f>
        <v>0</v>
      </c>
      <c r="BW282" s="482">
        <f>SUM($AS282:AY282)</f>
        <v>0</v>
      </c>
      <c r="BX282" s="482">
        <f>SUM($AS282:AZ282)</f>
        <v>0</v>
      </c>
      <c r="BY282" s="482">
        <f>SUM($AS282:BA282)</f>
        <v>0</v>
      </c>
      <c r="BZ282" s="482">
        <f>SUM($AS282:BB282)</f>
        <v>0</v>
      </c>
      <c r="CA282" s="482">
        <f>SUM($AS282:BC282)</f>
        <v>0</v>
      </c>
      <c r="CB282" s="483">
        <f>SUM($AS282:BD282)</f>
        <v>0</v>
      </c>
    </row>
    <row r="283" spans="1:80" s="471" customFormat="1" ht="12.75" hidden="1" customHeight="1">
      <c r="A283" s="471">
        <f t="shared" si="28"/>
        <v>274</v>
      </c>
      <c r="B283" s="628"/>
      <c r="C283" s="533"/>
      <c r="D283" s="533"/>
      <c r="E283" s="427"/>
      <c r="F283" s="586"/>
      <c r="G283" s="629"/>
      <c r="H283" s="582">
        <f t="shared" si="25"/>
        <v>276</v>
      </c>
      <c r="I283" s="524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4"/>
      <c r="U283" s="475"/>
      <c r="V283" s="473"/>
      <c r="W283" s="473"/>
      <c r="X283" s="473"/>
      <c r="Y283" s="473"/>
      <c r="Z283" s="473"/>
      <c r="AA283" s="473"/>
      <c r="AB283" s="473"/>
      <c r="AC283" s="473"/>
      <c r="AD283" s="473"/>
      <c r="AE283" s="473"/>
      <c r="AF283" s="473"/>
      <c r="AG283" s="510"/>
      <c r="AH283" s="495"/>
      <c r="AI283" s="495"/>
      <c r="AJ283" s="495"/>
      <c r="AK283" s="495"/>
      <c r="AL283" s="495"/>
      <c r="AM283" s="495"/>
      <c r="AN283" s="495"/>
      <c r="AO283" s="495"/>
      <c r="AP283" s="495"/>
      <c r="AQ283" s="495"/>
      <c r="AR283" s="497"/>
      <c r="AS283" s="509"/>
      <c r="AT283" s="495"/>
      <c r="AU283" s="495"/>
      <c r="AV283" s="480"/>
      <c r="AW283" s="496"/>
      <c r="AX283" s="495"/>
      <c r="AY283" s="495"/>
      <c r="AZ283" s="496"/>
      <c r="BA283" s="496"/>
      <c r="BB283" s="496"/>
      <c r="BC283" s="496"/>
      <c r="BD283" s="511"/>
      <c r="BE283" s="482">
        <f t="shared" si="29"/>
        <v>0</v>
      </c>
      <c r="BF283" s="482">
        <f>SUM($U283:V283)</f>
        <v>0</v>
      </c>
      <c r="BG283" s="482">
        <f>SUM($U283:W283)</f>
        <v>0</v>
      </c>
      <c r="BH283" s="482">
        <f>SUM($U283:X283)</f>
        <v>0</v>
      </c>
      <c r="BI283" s="482">
        <f>SUM($U283:Y283)</f>
        <v>0</v>
      </c>
      <c r="BJ283" s="482">
        <f>SUM($U283:Z283)</f>
        <v>0</v>
      </c>
      <c r="BK283" s="482">
        <f>SUM($U283:AA283)</f>
        <v>0</v>
      </c>
      <c r="BL283" s="482">
        <f>SUM($U283:AB283)</f>
        <v>0</v>
      </c>
      <c r="BM283" s="482">
        <f>SUM($U283:AC283)</f>
        <v>0</v>
      </c>
      <c r="BN283" s="482">
        <f>SUM($U283:AD283)</f>
        <v>0</v>
      </c>
      <c r="BO283" s="482">
        <f>SUM($U283:AE283)</f>
        <v>0</v>
      </c>
      <c r="BP283" s="483">
        <f>SUM($U283:AF283)</f>
        <v>0</v>
      </c>
      <c r="BQ283" s="484">
        <f t="shared" si="30"/>
        <v>0</v>
      </c>
      <c r="BR283" s="482">
        <f>SUM($AS283:AT283)</f>
        <v>0</v>
      </c>
      <c r="BS283" s="482">
        <f>SUM($AS283:AU283)</f>
        <v>0</v>
      </c>
      <c r="BT283" s="482">
        <f>SUM($AS283:AV283)</f>
        <v>0</v>
      </c>
      <c r="BU283" s="482">
        <f>SUM($AS283:AW283)</f>
        <v>0</v>
      </c>
      <c r="BV283" s="482">
        <f>SUM($AS283:AX283)</f>
        <v>0</v>
      </c>
      <c r="BW283" s="482">
        <f>SUM($AS283:AY283)</f>
        <v>0</v>
      </c>
      <c r="BX283" s="482">
        <f>SUM($AS283:AZ283)</f>
        <v>0</v>
      </c>
      <c r="BY283" s="482">
        <f>SUM($AS283:BA283)</f>
        <v>0</v>
      </c>
      <c r="BZ283" s="482">
        <f>SUM($AS283:BB283)</f>
        <v>0</v>
      </c>
      <c r="CA283" s="482">
        <f>SUM($AS283:BC283)</f>
        <v>0</v>
      </c>
      <c r="CB283" s="483">
        <f>SUM($AS283:BD283)</f>
        <v>0</v>
      </c>
    </row>
    <row r="284" spans="1:80" s="471" customFormat="1" ht="12.75" hidden="1" customHeight="1">
      <c r="A284" s="471">
        <f t="shared" si="28"/>
        <v>275</v>
      </c>
      <c r="B284" s="628"/>
      <c r="C284" s="533"/>
      <c r="D284" s="533"/>
      <c r="E284" s="427"/>
      <c r="F284" s="586"/>
      <c r="G284" s="629"/>
      <c r="H284" s="582">
        <f t="shared" si="25"/>
        <v>277</v>
      </c>
      <c r="I284" s="524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4"/>
      <c r="U284" s="475"/>
      <c r="V284" s="473"/>
      <c r="W284" s="473"/>
      <c r="X284" s="473"/>
      <c r="Y284" s="473"/>
      <c r="Z284" s="473"/>
      <c r="AA284" s="473"/>
      <c r="AB284" s="473"/>
      <c r="AC284" s="473"/>
      <c r="AD284" s="473"/>
      <c r="AE284" s="473"/>
      <c r="AF284" s="473"/>
      <c r="AG284" s="510"/>
      <c r="AH284" s="495"/>
      <c r="AI284" s="495"/>
      <c r="AJ284" s="495"/>
      <c r="AK284" s="495"/>
      <c r="AL284" s="495"/>
      <c r="AM284" s="495"/>
      <c r="AN284" s="495"/>
      <c r="AO284" s="495"/>
      <c r="AP284" s="495"/>
      <c r="AQ284" s="495"/>
      <c r="AR284" s="497"/>
      <c r="AS284" s="509"/>
      <c r="AT284" s="495"/>
      <c r="AU284" s="495"/>
      <c r="AV284" s="480"/>
      <c r="AW284" s="496"/>
      <c r="AX284" s="495"/>
      <c r="AY284" s="495"/>
      <c r="AZ284" s="496"/>
      <c r="BA284" s="496"/>
      <c r="BB284" s="496"/>
      <c r="BC284" s="496"/>
      <c r="BD284" s="511"/>
      <c r="BE284" s="482">
        <f t="shared" si="29"/>
        <v>0</v>
      </c>
      <c r="BF284" s="482">
        <f>SUM($U284:V284)</f>
        <v>0</v>
      </c>
      <c r="BG284" s="482">
        <f>SUM($U284:W284)</f>
        <v>0</v>
      </c>
      <c r="BH284" s="482">
        <f>SUM($U284:X284)</f>
        <v>0</v>
      </c>
      <c r="BI284" s="482">
        <f>SUM($U284:Y284)</f>
        <v>0</v>
      </c>
      <c r="BJ284" s="482">
        <f>SUM($U284:Z284)</f>
        <v>0</v>
      </c>
      <c r="BK284" s="482">
        <f>SUM($U284:AA284)</f>
        <v>0</v>
      </c>
      <c r="BL284" s="482">
        <f>SUM($U284:AB284)</f>
        <v>0</v>
      </c>
      <c r="BM284" s="482">
        <f>SUM($U284:AC284)</f>
        <v>0</v>
      </c>
      <c r="BN284" s="482">
        <f>SUM($U284:AD284)</f>
        <v>0</v>
      </c>
      <c r="BO284" s="482">
        <f>SUM($U284:AE284)</f>
        <v>0</v>
      </c>
      <c r="BP284" s="483">
        <f>SUM($U284:AF284)</f>
        <v>0</v>
      </c>
      <c r="BQ284" s="484">
        <f t="shared" si="30"/>
        <v>0</v>
      </c>
      <c r="BR284" s="482">
        <f>SUM($AS284:AT284)</f>
        <v>0</v>
      </c>
      <c r="BS284" s="482">
        <f>SUM($AS284:AU284)</f>
        <v>0</v>
      </c>
      <c r="BT284" s="482">
        <f>SUM($AS284:AV284)</f>
        <v>0</v>
      </c>
      <c r="BU284" s="482">
        <f>SUM($AS284:AW284)</f>
        <v>0</v>
      </c>
      <c r="BV284" s="482">
        <f>SUM($AS284:AX284)</f>
        <v>0</v>
      </c>
      <c r="BW284" s="482">
        <f>SUM($AS284:AY284)</f>
        <v>0</v>
      </c>
      <c r="BX284" s="482">
        <f>SUM($AS284:AZ284)</f>
        <v>0</v>
      </c>
      <c r="BY284" s="482">
        <f>SUM($AS284:BA284)</f>
        <v>0</v>
      </c>
      <c r="BZ284" s="482">
        <f>SUM($AS284:BB284)</f>
        <v>0</v>
      </c>
      <c r="CA284" s="482">
        <f>SUM($AS284:BC284)</f>
        <v>0</v>
      </c>
      <c r="CB284" s="483">
        <f>SUM($AS284:BD284)</f>
        <v>0</v>
      </c>
    </row>
    <row r="285" spans="1:80" s="471" customFormat="1" ht="12.75" hidden="1" customHeight="1">
      <c r="A285" s="471">
        <f t="shared" si="28"/>
        <v>276</v>
      </c>
      <c r="B285" s="628"/>
      <c r="C285" s="533"/>
      <c r="D285" s="533"/>
      <c r="E285" s="427"/>
      <c r="F285" s="586"/>
      <c r="G285" s="629"/>
      <c r="H285" s="582">
        <f t="shared" si="25"/>
        <v>278</v>
      </c>
      <c r="I285" s="524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4"/>
      <c r="U285" s="475"/>
      <c r="V285" s="473"/>
      <c r="W285" s="473"/>
      <c r="X285" s="473"/>
      <c r="Y285" s="473"/>
      <c r="Z285" s="473"/>
      <c r="AA285" s="473"/>
      <c r="AB285" s="473"/>
      <c r="AC285" s="473"/>
      <c r="AD285" s="473"/>
      <c r="AE285" s="473"/>
      <c r="AF285" s="473"/>
      <c r="AG285" s="510"/>
      <c r="AH285" s="495"/>
      <c r="AI285" s="495"/>
      <c r="AJ285" s="495"/>
      <c r="AK285" s="495"/>
      <c r="AL285" s="495"/>
      <c r="AM285" s="495"/>
      <c r="AN285" s="495"/>
      <c r="AO285" s="495"/>
      <c r="AP285" s="495"/>
      <c r="AQ285" s="495"/>
      <c r="AR285" s="497"/>
      <c r="AS285" s="509"/>
      <c r="AT285" s="495"/>
      <c r="AU285" s="495"/>
      <c r="AV285" s="480"/>
      <c r="AW285" s="496"/>
      <c r="AX285" s="495"/>
      <c r="AY285" s="495"/>
      <c r="AZ285" s="496"/>
      <c r="BA285" s="496"/>
      <c r="BB285" s="496"/>
      <c r="BC285" s="496"/>
      <c r="BD285" s="511"/>
      <c r="BE285" s="482">
        <f t="shared" si="29"/>
        <v>0</v>
      </c>
      <c r="BF285" s="482">
        <f>SUM($U285:V285)</f>
        <v>0</v>
      </c>
      <c r="BG285" s="482">
        <f>SUM($U285:W285)</f>
        <v>0</v>
      </c>
      <c r="BH285" s="482">
        <f>SUM($U285:X285)</f>
        <v>0</v>
      </c>
      <c r="BI285" s="482">
        <f>SUM($U285:Y285)</f>
        <v>0</v>
      </c>
      <c r="BJ285" s="482">
        <f>SUM($U285:Z285)</f>
        <v>0</v>
      </c>
      <c r="BK285" s="482">
        <f>SUM($U285:AA285)</f>
        <v>0</v>
      </c>
      <c r="BL285" s="482">
        <f>SUM($U285:AB285)</f>
        <v>0</v>
      </c>
      <c r="BM285" s="482">
        <f>SUM($U285:AC285)</f>
        <v>0</v>
      </c>
      <c r="BN285" s="482">
        <f>SUM($U285:AD285)</f>
        <v>0</v>
      </c>
      <c r="BO285" s="482">
        <f>SUM($U285:AE285)</f>
        <v>0</v>
      </c>
      <c r="BP285" s="483">
        <f>SUM($U285:AF285)</f>
        <v>0</v>
      </c>
      <c r="BQ285" s="484">
        <f t="shared" si="30"/>
        <v>0</v>
      </c>
      <c r="BR285" s="482">
        <f>SUM($AS285:AT285)</f>
        <v>0</v>
      </c>
      <c r="BS285" s="482">
        <f>SUM($AS285:AU285)</f>
        <v>0</v>
      </c>
      <c r="BT285" s="482">
        <f>SUM($AS285:AV285)</f>
        <v>0</v>
      </c>
      <c r="BU285" s="482">
        <f>SUM($AS285:AW285)</f>
        <v>0</v>
      </c>
      <c r="BV285" s="482">
        <f>SUM($AS285:AX285)</f>
        <v>0</v>
      </c>
      <c r="BW285" s="482">
        <f>SUM($AS285:AY285)</f>
        <v>0</v>
      </c>
      <c r="BX285" s="482">
        <f>SUM($AS285:AZ285)</f>
        <v>0</v>
      </c>
      <c r="BY285" s="482">
        <f>SUM($AS285:BA285)</f>
        <v>0</v>
      </c>
      <c r="BZ285" s="482">
        <f>SUM($AS285:BB285)</f>
        <v>0</v>
      </c>
      <c r="CA285" s="482">
        <f>SUM($AS285:BC285)</f>
        <v>0</v>
      </c>
      <c r="CB285" s="483">
        <f>SUM($AS285:BD285)</f>
        <v>0</v>
      </c>
    </row>
    <row r="286" spans="1:80" s="471" customFormat="1" ht="12.75" hidden="1" customHeight="1">
      <c r="A286" s="471">
        <f t="shared" si="28"/>
        <v>277</v>
      </c>
      <c r="B286" s="628"/>
      <c r="C286" s="533"/>
      <c r="D286" s="533"/>
      <c r="E286" s="427"/>
      <c r="F286" s="586"/>
      <c r="G286" s="629"/>
      <c r="H286" s="582">
        <f t="shared" si="25"/>
        <v>279</v>
      </c>
      <c r="I286" s="524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4"/>
      <c r="U286" s="475"/>
      <c r="V286" s="473"/>
      <c r="W286" s="473"/>
      <c r="X286" s="473"/>
      <c r="Y286" s="473"/>
      <c r="Z286" s="473"/>
      <c r="AA286" s="473"/>
      <c r="AB286" s="473"/>
      <c r="AC286" s="473"/>
      <c r="AD286" s="473"/>
      <c r="AE286" s="473"/>
      <c r="AF286" s="473"/>
      <c r="AG286" s="510"/>
      <c r="AH286" s="495"/>
      <c r="AI286" s="495"/>
      <c r="AJ286" s="495"/>
      <c r="AK286" s="495"/>
      <c r="AL286" s="495"/>
      <c r="AM286" s="495"/>
      <c r="AN286" s="495"/>
      <c r="AO286" s="495"/>
      <c r="AP286" s="495"/>
      <c r="AQ286" s="495"/>
      <c r="AR286" s="497"/>
      <c r="AS286" s="509"/>
      <c r="AT286" s="495"/>
      <c r="AU286" s="495"/>
      <c r="AV286" s="480"/>
      <c r="AW286" s="496"/>
      <c r="AX286" s="495"/>
      <c r="AY286" s="495"/>
      <c r="AZ286" s="496"/>
      <c r="BA286" s="496"/>
      <c r="BB286" s="496"/>
      <c r="BC286" s="496"/>
      <c r="BD286" s="511"/>
      <c r="BE286" s="482">
        <f t="shared" si="29"/>
        <v>0</v>
      </c>
      <c r="BF286" s="482">
        <f>SUM($U286:V286)</f>
        <v>0</v>
      </c>
      <c r="BG286" s="482">
        <f>SUM($U286:W286)</f>
        <v>0</v>
      </c>
      <c r="BH286" s="482">
        <f>SUM($U286:X286)</f>
        <v>0</v>
      </c>
      <c r="BI286" s="482">
        <f>SUM($U286:Y286)</f>
        <v>0</v>
      </c>
      <c r="BJ286" s="482">
        <f>SUM($U286:Z286)</f>
        <v>0</v>
      </c>
      <c r="BK286" s="482">
        <f>SUM($U286:AA286)</f>
        <v>0</v>
      </c>
      <c r="BL286" s="482">
        <f>SUM($U286:AB286)</f>
        <v>0</v>
      </c>
      <c r="BM286" s="482">
        <f>SUM($U286:AC286)</f>
        <v>0</v>
      </c>
      <c r="BN286" s="482">
        <f>SUM($U286:AD286)</f>
        <v>0</v>
      </c>
      <c r="BO286" s="482">
        <f>SUM($U286:AE286)</f>
        <v>0</v>
      </c>
      <c r="BP286" s="483">
        <f>SUM($U286:AF286)</f>
        <v>0</v>
      </c>
      <c r="BQ286" s="484">
        <f t="shared" si="30"/>
        <v>0</v>
      </c>
      <c r="BR286" s="482">
        <f>SUM($AS286:AT286)</f>
        <v>0</v>
      </c>
      <c r="BS286" s="482">
        <f>SUM($AS286:AU286)</f>
        <v>0</v>
      </c>
      <c r="BT286" s="482">
        <f>SUM($AS286:AV286)</f>
        <v>0</v>
      </c>
      <c r="BU286" s="482">
        <f>SUM($AS286:AW286)</f>
        <v>0</v>
      </c>
      <c r="BV286" s="482">
        <f>SUM($AS286:AX286)</f>
        <v>0</v>
      </c>
      <c r="BW286" s="482">
        <f>SUM($AS286:AY286)</f>
        <v>0</v>
      </c>
      <c r="BX286" s="482">
        <f>SUM($AS286:AZ286)</f>
        <v>0</v>
      </c>
      <c r="BY286" s="482">
        <f>SUM($AS286:BA286)</f>
        <v>0</v>
      </c>
      <c r="BZ286" s="482">
        <f>SUM($AS286:BB286)</f>
        <v>0</v>
      </c>
      <c r="CA286" s="482">
        <f>SUM($AS286:BC286)</f>
        <v>0</v>
      </c>
      <c r="CB286" s="483">
        <f>SUM($AS286:BD286)</f>
        <v>0</v>
      </c>
    </row>
    <row r="287" spans="1:80" s="471" customFormat="1" ht="12.75" hidden="1" customHeight="1">
      <c r="A287" s="471">
        <f t="shared" si="28"/>
        <v>278</v>
      </c>
      <c r="B287" s="628"/>
      <c r="C287" s="533"/>
      <c r="D287" s="533"/>
      <c r="E287" s="427"/>
      <c r="F287" s="586"/>
      <c r="G287" s="629"/>
      <c r="H287" s="582">
        <f t="shared" si="25"/>
        <v>280</v>
      </c>
      <c r="I287" s="524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4"/>
      <c r="U287" s="475"/>
      <c r="V287" s="473"/>
      <c r="W287" s="473"/>
      <c r="X287" s="473"/>
      <c r="Y287" s="473"/>
      <c r="Z287" s="473"/>
      <c r="AA287" s="473"/>
      <c r="AB287" s="473"/>
      <c r="AC287" s="473"/>
      <c r="AD287" s="473"/>
      <c r="AE287" s="473"/>
      <c r="AF287" s="473"/>
      <c r="AG287" s="510"/>
      <c r="AH287" s="495"/>
      <c r="AI287" s="495"/>
      <c r="AJ287" s="495"/>
      <c r="AK287" s="495"/>
      <c r="AL287" s="495"/>
      <c r="AM287" s="495"/>
      <c r="AN287" s="495"/>
      <c r="AO287" s="495"/>
      <c r="AP287" s="495"/>
      <c r="AQ287" s="495"/>
      <c r="AR287" s="497"/>
      <c r="AS287" s="509"/>
      <c r="AT287" s="495"/>
      <c r="AU287" s="495"/>
      <c r="AV287" s="480"/>
      <c r="AW287" s="496"/>
      <c r="AX287" s="495"/>
      <c r="AY287" s="495"/>
      <c r="AZ287" s="496"/>
      <c r="BA287" s="496"/>
      <c r="BB287" s="496"/>
      <c r="BC287" s="496"/>
      <c r="BD287" s="511"/>
      <c r="BE287" s="482">
        <f t="shared" si="29"/>
        <v>0</v>
      </c>
      <c r="BF287" s="482">
        <f>SUM($U287:V287)</f>
        <v>0</v>
      </c>
      <c r="BG287" s="482">
        <f>SUM($U287:W287)</f>
        <v>0</v>
      </c>
      <c r="BH287" s="482">
        <f>SUM($U287:X287)</f>
        <v>0</v>
      </c>
      <c r="BI287" s="482">
        <f>SUM($U287:Y287)</f>
        <v>0</v>
      </c>
      <c r="BJ287" s="482">
        <f>SUM($U287:Z287)</f>
        <v>0</v>
      </c>
      <c r="BK287" s="482">
        <f>SUM($U287:AA287)</f>
        <v>0</v>
      </c>
      <c r="BL287" s="482">
        <f>SUM($U287:AB287)</f>
        <v>0</v>
      </c>
      <c r="BM287" s="482">
        <f>SUM($U287:AC287)</f>
        <v>0</v>
      </c>
      <c r="BN287" s="482">
        <f>SUM($U287:AD287)</f>
        <v>0</v>
      </c>
      <c r="BO287" s="482">
        <f>SUM($U287:AE287)</f>
        <v>0</v>
      </c>
      <c r="BP287" s="483">
        <f>SUM($U287:AF287)</f>
        <v>0</v>
      </c>
      <c r="BQ287" s="484">
        <f t="shared" si="30"/>
        <v>0</v>
      </c>
      <c r="BR287" s="482">
        <f>SUM($AS287:AT287)</f>
        <v>0</v>
      </c>
      <c r="BS287" s="482">
        <f>SUM($AS287:AU287)</f>
        <v>0</v>
      </c>
      <c r="BT287" s="482">
        <f>SUM($AS287:AV287)</f>
        <v>0</v>
      </c>
      <c r="BU287" s="482">
        <f>SUM($AS287:AW287)</f>
        <v>0</v>
      </c>
      <c r="BV287" s="482">
        <f>SUM($AS287:AX287)</f>
        <v>0</v>
      </c>
      <c r="BW287" s="482">
        <f>SUM($AS287:AY287)</f>
        <v>0</v>
      </c>
      <c r="BX287" s="482">
        <f>SUM($AS287:AZ287)</f>
        <v>0</v>
      </c>
      <c r="BY287" s="482">
        <f>SUM($AS287:BA287)</f>
        <v>0</v>
      </c>
      <c r="BZ287" s="482">
        <f>SUM($AS287:BB287)</f>
        <v>0</v>
      </c>
      <c r="CA287" s="482">
        <f>SUM($AS287:BC287)</f>
        <v>0</v>
      </c>
      <c r="CB287" s="483">
        <f>SUM($AS287:BD287)</f>
        <v>0</v>
      </c>
    </row>
    <row r="288" spans="1:80" s="471" customFormat="1" ht="12.75" hidden="1" customHeight="1">
      <c r="A288" s="471">
        <f t="shared" si="28"/>
        <v>279</v>
      </c>
      <c r="B288" s="628"/>
      <c r="C288" s="533"/>
      <c r="D288" s="533"/>
      <c r="E288" s="427"/>
      <c r="F288" s="586"/>
      <c r="G288" s="629"/>
      <c r="H288" s="582">
        <f t="shared" si="25"/>
        <v>281</v>
      </c>
      <c r="I288" s="524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4"/>
      <c r="U288" s="475"/>
      <c r="V288" s="473"/>
      <c r="W288" s="473"/>
      <c r="X288" s="473"/>
      <c r="Y288" s="473"/>
      <c r="Z288" s="473"/>
      <c r="AA288" s="473"/>
      <c r="AB288" s="473"/>
      <c r="AC288" s="473"/>
      <c r="AD288" s="473"/>
      <c r="AE288" s="473"/>
      <c r="AF288" s="473"/>
      <c r="AG288" s="510"/>
      <c r="AH288" s="495"/>
      <c r="AI288" s="495"/>
      <c r="AJ288" s="495"/>
      <c r="AK288" s="495"/>
      <c r="AL288" s="495"/>
      <c r="AM288" s="495"/>
      <c r="AN288" s="495"/>
      <c r="AO288" s="495"/>
      <c r="AP288" s="495"/>
      <c r="AQ288" s="495"/>
      <c r="AR288" s="497"/>
      <c r="AS288" s="509"/>
      <c r="AT288" s="495"/>
      <c r="AU288" s="495"/>
      <c r="AV288" s="480"/>
      <c r="AW288" s="496"/>
      <c r="AX288" s="495"/>
      <c r="AY288" s="495"/>
      <c r="AZ288" s="496"/>
      <c r="BA288" s="496"/>
      <c r="BB288" s="496"/>
      <c r="BC288" s="496"/>
      <c r="BD288" s="511"/>
      <c r="BE288" s="482">
        <f t="shared" si="29"/>
        <v>0</v>
      </c>
      <c r="BF288" s="482">
        <f>SUM($U288:V288)</f>
        <v>0</v>
      </c>
      <c r="BG288" s="482">
        <f>SUM($U288:W288)</f>
        <v>0</v>
      </c>
      <c r="BH288" s="482">
        <f>SUM($U288:X288)</f>
        <v>0</v>
      </c>
      <c r="BI288" s="482">
        <f>SUM($U288:Y288)</f>
        <v>0</v>
      </c>
      <c r="BJ288" s="482">
        <f>SUM($U288:Z288)</f>
        <v>0</v>
      </c>
      <c r="BK288" s="482">
        <f>SUM($U288:AA288)</f>
        <v>0</v>
      </c>
      <c r="BL288" s="482">
        <f>SUM($U288:AB288)</f>
        <v>0</v>
      </c>
      <c r="BM288" s="482">
        <f>SUM($U288:AC288)</f>
        <v>0</v>
      </c>
      <c r="BN288" s="482">
        <f>SUM($U288:AD288)</f>
        <v>0</v>
      </c>
      <c r="BO288" s="482">
        <f>SUM($U288:AE288)</f>
        <v>0</v>
      </c>
      <c r="BP288" s="483">
        <f>SUM($U288:AF288)</f>
        <v>0</v>
      </c>
      <c r="BQ288" s="484">
        <f t="shared" si="30"/>
        <v>0</v>
      </c>
      <c r="BR288" s="482">
        <f>SUM($AS288:AT288)</f>
        <v>0</v>
      </c>
      <c r="BS288" s="482">
        <f>SUM($AS288:AU288)</f>
        <v>0</v>
      </c>
      <c r="BT288" s="482">
        <f>SUM($AS288:AV288)</f>
        <v>0</v>
      </c>
      <c r="BU288" s="482">
        <f>SUM($AS288:AW288)</f>
        <v>0</v>
      </c>
      <c r="BV288" s="482">
        <f>SUM($AS288:AX288)</f>
        <v>0</v>
      </c>
      <c r="BW288" s="482">
        <f>SUM($AS288:AY288)</f>
        <v>0</v>
      </c>
      <c r="BX288" s="482">
        <f>SUM($AS288:AZ288)</f>
        <v>0</v>
      </c>
      <c r="BY288" s="482">
        <f>SUM($AS288:BA288)</f>
        <v>0</v>
      </c>
      <c r="BZ288" s="482">
        <f>SUM($AS288:BB288)</f>
        <v>0</v>
      </c>
      <c r="CA288" s="482">
        <f>SUM($AS288:BC288)</f>
        <v>0</v>
      </c>
      <c r="CB288" s="483">
        <f>SUM($AS288:BD288)</f>
        <v>0</v>
      </c>
    </row>
    <row r="289" spans="1:80" s="471" customFormat="1" ht="12.75" hidden="1" customHeight="1">
      <c r="A289" s="471">
        <f t="shared" si="28"/>
        <v>280</v>
      </c>
      <c r="B289" s="628"/>
      <c r="C289" s="533"/>
      <c r="D289" s="533"/>
      <c r="E289" s="427"/>
      <c r="F289" s="586"/>
      <c r="G289" s="629"/>
      <c r="H289" s="582">
        <f t="shared" si="25"/>
        <v>282</v>
      </c>
      <c r="I289" s="524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4"/>
      <c r="U289" s="475"/>
      <c r="V289" s="473"/>
      <c r="W289" s="473"/>
      <c r="X289" s="473"/>
      <c r="Y289" s="473"/>
      <c r="Z289" s="473"/>
      <c r="AA289" s="473"/>
      <c r="AB289" s="473"/>
      <c r="AC289" s="473"/>
      <c r="AD289" s="473"/>
      <c r="AE289" s="473"/>
      <c r="AF289" s="473"/>
      <c r="AG289" s="510"/>
      <c r="AH289" s="495"/>
      <c r="AI289" s="495"/>
      <c r="AJ289" s="495"/>
      <c r="AK289" s="495"/>
      <c r="AL289" s="495"/>
      <c r="AM289" s="495"/>
      <c r="AN289" s="495"/>
      <c r="AO289" s="495"/>
      <c r="AP289" s="495"/>
      <c r="AQ289" s="495"/>
      <c r="AR289" s="497"/>
      <c r="AS289" s="509"/>
      <c r="AT289" s="495"/>
      <c r="AU289" s="495"/>
      <c r="AV289" s="480"/>
      <c r="AW289" s="496"/>
      <c r="AX289" s="495"/>
      <c r="AY289" s="495"/>
      <c r="AZ289" s="496"/>
      <c r="BA289" s="496"/>
      <c r="BB289" s="496"/>
      <c r="BC289" s="496"/>
      <c r="BD289" s="511"/>
      <c r="BE289" s="482">
        <f t="shared" si="29"/>
        <v>0</v>
      </c>
      <c r="BF289" s="482">
        <f>SUM($U289:V289)</f>
        <v>0</v>
      </c>
      <c r="BG289" s="482">
        <f>SUM($U289:W289)</f>
        <v>0</v>
      </c>
      <c r="BH289" s="482">
        <f>SUM($U289:X289)</f>
        <v>0</v>
      </c>
      <c r="BI289" s="482">
        <f>SUM($U289:Y289)</f>
        <v>0</v>
      </c>
      <c r="BJ289" s="482">
        <f>SUM($U289:Z289)</f>
        <v>0</v>
      </c>
      <c r="BK289" s="482">
        <f>SUM($U289:AA289)</f>
        <v>0</v>
      </c>
      <c r="BL289" s="482">
        <f>SUM($U289:AB289)</f>
        <v>0</v>
      </c>
      <c r="BM289" s="482">
        <f>SUM($U289:AC289)</f>
        <v>0</v>
      </c>
      <c r="BN289" s="482">
        <f>SUM($U289:AD289)</f>
        <v>0</v>
      </c>
      <c r="BO289" s="482">
        <f>SUM($U289:AE289)</f>
        <v>0</v>
      </c>
      <c r="BP289" s="483">
        <f>SUM($U289:AF289)</f>
        <v>0</v>
      </c>
      <c r="BQ289" s="484">
        <f t="shared" si="30"/>
        <v>0</v>
      </c>
      <c r="BR289" s="482">
        <f>SUM($AS289:AT289)</f>
        <v>0</v>
      </c>
      <c r="BS289" s="482">
        <f>SUM($AS289:AU289)</f>
        <v>0</v>
      </c>
      <c r="BT289" s="482">
        <f>SUM($AS289:AV289)</f>
        <v>0</v>
      </c>
      <c r="BU289" s="482">
        <f>SUM($AS289:AW289)</f>
        <v>0</v>
      </c>
      <c r="BV289" s="482">
        <f>SUM($AS289:AX289)</f>
        <v>0</v>
      </c>
      <c r="BW289" s="482">
        <f>SUM($AS289:AY289)</f>
        <v>0</v>
      </c>
      <c r="BX289" s="482">
        <f>SUM($AS289:AZ289)</f>
        <v>0</v>
      </c>
      <c r="BY289" s="482">
        <f>SUM($AS289:BA289)</f>
        <v>0</v>
      </c>
      <c r="BZ289" s="482">
        <f>SUM($AS289:BB289)</f>
        <v>0</v>
      </c>
      <c r="CA289" s="482">
        <f>SUM($AS289:BC289)</f>
        <v>0</v>
      </c>
      <c r="CB289" s="483">
        <f>SUM($AS289:BD289)</f>
        <v>0</v>
      </c>
    </row>
    <row r="290" spans="1:80" s="471" customFormat="1" ht="12.75" hidden="1" customHeight="1">
      <c r="A290" s="471">
        <f t="shared" si="28"/>
        <v>281</v>
      </c>
      <c r="B290" s="628"/>
      <c r="C290" s="533"/>
      <c r="D290" s="533"/>
      <c r="E290" s="427"/>
      <c r="F290" s="586"/>
      <c r="G290" s="629"/>
      <c r="H290" s="582">
        <f t="shared" si="25"/>
        <v>283</v>
      </c>
      <c r="I290" s="524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4"/>
      <c r="U290" s="475"/>
      <c r="V290" s="473"/>
      <c r="W290" s="473"/>
      <c r="X290" s="473"/>
      <c r="Y290" s="473"/>
      <c r="Z290" s="473"/>
      <c r="AA290" s="473"/>
      <c r="AB290" s="473"/>
      <c r="AC290" s="473"/>
      <c r="AD290" s="473"/>
      <c r="AE290" s="473"/>
      <c r="AF290" s="473"/>
      <c r="AG290" s="510"/>
      <c r="AH290" s="495"/>
      <c r="AI290" s="495"/>
      <c r="AJ290" s="495"/>
      <c r="AK290" s="495"/>
      <c r="AL290" s="495"/>
      <c r="AM290" s="495"/>
      <c r="AN290" s="495"/>
      <c r="AO290" s="495"/>
      <c r="AP290" s="495"/>
      <c r="AQ290" s="495"/>
      <c r="AR290" s="497"/>
      <c r="AS290" s="509"/>
      <c r="AT290" s="495"/>
      <c r="AU290" s="495"/>
      <c r="AV290" s="480"/>
      <c r="AW290" s="496"/>
      <c r="AX290" s="495"/>
      <c r="AY290" s="495"/>
      <c r="AZ290" s="496"/>
      <c r="BA290" s="496"/>
      <c r="BB290" s="496"/>
      <c r="BC290" s="496"/>
      <c r="BD290" s="511"/>
      <c r="BE290" s="482">
        <f t="shared" si="29"/>
        <v>0</v>
      </c>
      <c r="BF290" s="482">
        <f>SUM($U290:V290)</f>
        <v>0</v>
      </c>
      <c r="BG290" s="482">
        <f>SUM($U290:W290)</f>
        <v>0</v>
      </c>
      <c r="BH290" s="482">
        <f>SUM($U290:X290)</f>
        <v>0</v>
      </c>
      <c r="BI290" s="482">
        <f>SUM($U290:Y290)</f>
        <v>0</v>
      </c>
      <c r="BJ290" s="482">
        <f>SUM($U290:Z290)</f>
        <v>0</v>
      </c>
      <c r="BK290" s="482">
        <f>SUM($U290:AA290)</f>
        <v>0</v>
      </c>
      <c r="BL290" s="482">
        <f>SUM($U290:AB290)</f>
        <v>0</v>
      </c>
      <c r="BM290" s="482">
        <f>SUM($U290:AC290)</f>
        <v>0</v>
      </c>
      <c r="BN290" s="482">
        <f>SUM($U290:AD290)</f>
        <v>0</v>
      </c>
      <c r="BO290" s="482">
        <f>SUM($U290:AE290)</f>
        <v>0</v>
      </c>
      <c r="BP290" s="483">
        <f>SUM($U290:AF290)</f>
        <v>0</v>
      </c>
      <c r="BQ290" s="484">
        <f t="shared" si="30"/>
        <v>0</v>
      </c>
      <c r="BR290" s="482">
        <f>SUM($AS290:AT290)</f>
        <v>0</v>
      </c>
      <c r="BS290" s="482">
        <f>SUM($AS290:AU290)</f>
        <v>0</v>
      </c>
      <c r="BT290" s="482">
        <f>SUM($AS290:AV290)</f>
        <v>0</v>
      </c>
      <c r="BU290" s="482">
        <f>SUM($AS290:AW290)</f>
        <v>0</v>
      </c>
      <c r="BV290" s="482">
        <f>SUM($AS290:AX290)</f>
        <v>0</v>
      </c>
      <c r="BW290" s="482">
        <f>SUM($AS290:AY290)</f>
        <v>0</v>
      </c>
      <c r="BX290" s="482">
        <f>SUM($AS290:AZ290)</f>
        <v>0</v>
      </c>
      <c r="BY290" s="482">
        <f>SUM($AS290:BA290)</f>
        <v>0</v>
      </c>
      <c r="BZ290" s="482">
        <f>SUM($AS290:BB290)</f>
        <v>0</v>
      </c>
      <c r="CA290" s="482">
        <f>SUM($AS290:BC290)</f>
        <v>0</v>
      </c>
      <c r="CB290" s="483">
        <f>SUM($AS290:BD290)</f>
        <v>0</v>
      </c>
    </row>
    <row r="291" spans="1:80" s="471" customFormat="1" ht="12.75" hidden="1" customHeight="1">
      <c r="A291" s="471">
        <f t="shared" si="28"/>
        <v>282</v>
      </c>
      <c r="B291" s="628"/>
      <c r="C291" s="533"/>
      <c r="D291" s="533"/>
      <c r="E291" s="427"/>
      <c r="F291" s="586"/>
      <c r="G291" s="629"/>
      <c r="H291" s="582">
        <f t="shared" si="25"/>
        <v>284</v>
      </c>
      <c r="I291" s="524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4"/>
      <c r="U291" s="475"/>
      <c r="V291" s="473"/>
      <c r="W291" s="473"/>
      <c r="X291" s="473"/>
      <c r="Y291" s="473"/>
      <c r="Z291" s="473"/>
      <c r="AA291" s="473"/>
      <c r="AB291" s="473"/>
      <c r="AC291" s="473"/>
      <c r="AD291" s="473"/>
      <c r="AE291" s="473"/>
      <c r="AF291" s="473"/>
      <c r="AG291" s="510"/>
      <c r="AH291" s="495"/>
      <c r="AI291" s="495"/>
      <c r="AJ291" s="495"/>
      <c r="AK291" s="495"/>
      <c r="AL291" s="495"/>
      <c r="AM291" s="495"/>
      <c r="AN291" s="495"/>
      <c r="AO291" s="495"/>
      <c r="AP291" s="495"/>
      <c r="AQ291" s="495"/>
      <c r="AR291" s="497"/>
      <c r="AS291" s="509"/>
      <c r="AT291" s="495"/>
      <c r="AU291" s="495"/>
      <c r="AV291" s="480"/>
      <c r="AW291" s="496"/>
      <c r="AX291" s="495"/>
      <c r="AY291" s="495"/>
      <c r="AZ291" s="496"/>
      <c r="BA291" s="496"/>
      <c r="BB291" s="496"/>
      <c r="BC291" s="496"/>
      <c r="BD291" s="511"/>
      <c r="BE291" s="482">
        <f t="shared" si="29"/>
        <v>0</v>
      </c>
      <c r="BF291" s="482">
        <f>SUM($U291:V291)</f>
        <v>0</v>
      </c>
      <c r="BG291" s="482">
        <f>SUM($U291:W291)</f>
        <v>0</v>
      </c>
      <c r="BH291" s="482">
        <f>SUM($U291:X291)</f>
        <v>0</v>
      </c>
      <c r="BI291" s="482">
        <f>SUM($U291:Y291)</f>
        <v>0</v>
      </c>
      <c r="BJ291" s="482">
        <f>SUM($U291:Z291)</f>
        <v>0</v>
      </c>
      <c r="BK291" s="482">
        <f>SUM($U291:AA291)</f>
        <v>0</v>
      </c>
      <c r="BL291" s="482">
        <f>SUM($U291:AB291)</f>
        <v>0</v>
      </c>
      <c r="BM291" s="482">
        <f>SUM($U291:AC291)</f>
        <v>0</v>
      </c>
      <c r="BN291" s="482">
        <f>SUM($U291:AD291)</f>
        <v>0</v>
      </c>
      <c r="BO291" s="482">
        <f>SUM($U291:AE291)</f>
        <v>0</v>
      </c>
      <c r="BP291" s="483">
        <f>SUM($U291:AF291)</f>
        <v>0</v>
      </c>
      <c r="BQ291" s="484">
        <f t="shared" si="30"/>
        <v>0</v>
      </c>
      <c r="BR291" s="482">
        <f>SUM($AS291:AT291)</f>
        <v>0</v>
      </c>
      <c r="BS291" s="482">
        <f>SUM($AS291:AU291)</f>
        <v>0</v>
      </c>
      <c r="BT291" s="482">
        <f>SUM($AS291:AV291)</f>
        <v>0</v>
      </c>
      <c r="BU291" s="482">
        <f>SUM($AS291:AW291)</f>
        <v>0</v>
      </c>
      <c r="BV291" s="482">
        <f>SUM($AS291:AX291)</f>
        <v>0</v>
      </c>
      <c r="BW291" s="482">
        <f>SUM($AS291:AY291)</f>
        <v>0</v>
      </c>
      <c r="BX291" s="482">
        <f>SUM($AS291:AZ291)</f>
        <v>0</v>
      </c>
      <c r="BY291" s="482">
        <f>SUM($AS291:BA291)</f>
        <v>0</v>
      </c>
      <c r="BZ291" s="482">
        <f>SUM($AS291:BB291)</f>
        <v>0</v>
      </c>
      <c r="CA291" s="482">
        <f>SUM($AS291:BC291)</f>
        <v>0</v>
      </c>
      <c r="CB291" s="483">
        <f>SUM($AS291:BD291)</f>
        <v>0</v>
      </c>
    </row>
    <row r="292" spans="1:80" s="471" customFormat="1" ht="12.75" hidden="1" customHeight="1">
      <c r="A292" s="471">
        <f t="shared" si="28"/>
        <v>283</v>
      </c>
      <c r="B292" s="628"/>
      <c r="C292" s="533"/>
      <c r="D292" s="533"/>
      <c r="E292" s="427"/>
      <c r="F292" s="586"/>
      <c r="G292" s="629"/>
      <c r="H292" s="582">
        <f t="shared" si="25"/>
        <v>285</v>
      </c>
      <c r="I292" s="524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4"/>
      <c r="U292" s="475"/>
      <c r="V292" s="473"/>
      <c r="W292" s="473"/>
      <c r="X292" s="473"/>
      <c r="Y292" s="473"/>
      <c r="Z292" s="473"/>
      <c r="AA292" s="473"/>
      <c r="AB292" s="473"/>
      <c r="AC292" s="473"/>
      <c r="AD292" s="473"/>
      <c r="AE292" s="473"/>
      <c r="AF292" s="473"/>
      <c r="AG292" s="510"/>
      <c r="AH292" s="495"/>
      <c r="AI292" s="495"/>
      <c r="AJ292" s="495"/>
      <c r="AK292" s="495"/>
      <c r="AL292" s="495"/>
      <c r="AM292" s="495"/>
      <c r="AN292" s="495"/>
      <c r="AO292" s="495"/>
      <c r="AP292" s="495"/>
      <c r="AQ292" s="495"/>
      <c r="AR292" s="497"/>
      <c r="AS292" s="509"/>
      <c r="AT292" s="495"/>
      <c r="AU292" s="495"/>
      <c r="AV292" s="480"/>
      <c r="AW292" s="496"/>
      <c r="AX292" s="495"/>
      <c r="AY292" s="495"/>
      <c r="AZ292" s="496"/>
      <c r="BA292" s="496"/>
      <c r="BB292" s="496"/>
      <c r="BC292" s="496"/>
      <c r="BD292" s="511"/>
      <c r="BE292" s="482">
        <f t="shared" si="29"/>
        <v>0</v>
      </c>
      <c r="BF292" s="482">
        <f>SUM($U292:V292)</f>
        <v>0</v>
      </c>
      <c r="BG292" s="482">
        <f>SUM($U292:W292)</f>
        <v>0</v>
      </c>
      <c r="BH292" s="482">
        <f>SUM($U292:X292)</f>
        <v>0</v>
      </c>
      <c r="BI292" s="482">
        <f>SUM($U292:Y292)</f>
        <v>0</v>
      </c>
      <c r="BJ292" s="482">
        <f>SUM($U292:Z292)</f>
        <v>0</v>
      </c>
      <c r="BK292" s="482">
        <f>SUM($U292:AA292)</f>
        <v>0</v>
      </c>
      <c r="BL292" s="482">
        <f>SUM($U292:AB292)</f>
        <v>0</v>
      </c>
      <c r="BM292" s="482">
        <f>SUM($U292:AC292)</f>
        <v>0</v>
      </c>
      <c r="BN292" s="482">
        <f>SUM($U292:AD292)</f>
        <v>0</v>
      </c>
      <c r="BO292" s="482">
        <f>SUM($U292:AE292)</f>
        <v>0</v>
      </c>
      <c r="BP292" s="483">
        <f>SUM($U292:AF292)</f>
        <v>0</v>
      </c>
      <c r="BQ292" s="484">
        <f t="shared" si="30"/>
        <v>0</v>
      </c>
      <c r="BR292" s="482">
        <f>SUM($AS292:AT292)</f>
        <v>0</v>
      </c>
      <c r="BS292" s="482">
        <f>SUM($AS292:AU292)</f>
        <v>0</v>
      </c>
      <c r="BT292" s="482">
        <f>SUM($AS292:AV292)</f>
        <v>0</v>
      </c>
      <c r="BU292" s="482">
        <f>SUM($AS292:AW292)</f>
        <v>0</v>
      </c>
      <c r="BV292" s="482">
        <f>SUM($AS292:AX292)</f>
        <v>0</v>
      </c>
      <c r="BW292" s="482">
        <f>SUM($AS292:AY292)</f>
        <v>0</v>
      </c>
      <c r="BX292" s="482">
        <f>SUM($AS292:AZ292)</f>
        <v>0</v>
      </c>
      <c r="BY292" s="482">
        <f>SUM($AS292:BA292)</f>
        <v>0</v>
      </c>
      <c r="BZ292" s="482">
        <f>SUM($AS292:BB292)</f>
        <v>0</v>
      </c>
      <c r="CA292" s="482">
        <f>SUM($AS292:BC292)</f>
        <v>0</v>
      </c>
      <c r="CB292" s="483">
        <f>SUM($AS292:BD292)</f>
        <v>0</v>
      </c>
    </row>
    <row r="293" spans="1:80" s="471" customFormat="1" ht="12.75" hidden="1" customHeight="1">
      <c r="A293" s="471">
        <f t="shared" si="28"/>
        <v>284</v>
      </c>
      <c r="B293" s="628"/>
      <c r="C293" s="533"/>
      <c r="D293" s="533"/>
      <c r="E293" s="427"/>
      <c r="F293" s="586"/>
      <c r="G293" s="629"/>
      <c r="H293" s="582">
        <f t="shared" si="25"/>
        <v>286</v>
      </c>
      <c r="I293" s="524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4"/>
      <c r="U293" s="475"/>
      <c r="V293" s="473"/>
      <c r="W293" s="473"/>
      <c r="X293" s="473"/>
      <c r="Y293" s="473"/>
      <c r="Z293" s="473"/>
      <c r="AA293" s="473"/>
      <c r="AB293" s="473"/>
      <c r="AC293" s="473"/>
      <c r="AD293" s="473"/>
      <c r="AE293" s="473"/>
      <c r="AF293" s="473"/>
      <c r="AG293" s="510"/>
      <c r="AH293" s="495"/>
      <c r="AI293" s="495"/>
      <c r="AJ293" s="495"/>
      <c r="AK293" s="495"/>
      <c r="AL293" s="495"/>
      <c r="AM293" s="495"/>
      <c r="AN293" s="495"/>
      <c r="AO293" s="495"/>
      <c r="AP293" s="495"/>
      <c r="AQ293" s="495"/>
      <c r="AR293" s="497"/>
      <c r="AS293" s="509"/>
      <c r="AT293" s="495"/>
      <c r="AU293" s="495"/>
      <c r="AV293" s="480"/>
      <c r="AW293" s="496"/>
      <c r="AX293" s="495"/>
      <c r="AY293" s="495"/>
      <c r="AZ293" s="496"/>
      <c r="BA293" s="496"/>
      <c r="BB293" s="496"/>
      <c r="BC293" s="496"/>
      <c r="BD293" s="511"/>
      <c r="BE293" s="482">
        <f t="shared" si="29"/>
        <v>0</v>
      </c>
      <c r="BF293" s="482">
        <f>SUM($U293:V293)</f>
        <v>0</v>
      </c>
      <c r="BG293" s="482">
        <f>SUM($U293:W293)</f>
        <v>0</v>
      </c>
      <c r="BH293" s="482">
        <f>SUM($U293:X293)</f>
        <v>0</v>
      </c>
      <c r="BI293" s="482">
        <f>SUM($U293:Y293)</f>
        <v>0</v>
      </c>
      <c r="BJ293" s="482">
        <f>SUM($U293:Z293)</f>
        <v>0</v>
      </c>
      <c r="BK293" s="482">
        <f>SUM($U293:AA293)</f>
        <v>0</v>
      </c>
      <c r="BL293" s="482">
        <f>SUM($U293:AB293)</f>
        <v>0</v>
      </c>
      <c r="BM293" s="482">
        <f>SUM($U293:AC293)</f>
        <v>0</v>
      </c>
      <c r="BN293" s="482">
        <f>SUM($U293:AD293)</f>
        <v>0</v>
      </c>
      <c r="BO293" s="482">
        <f>SUM($U293:AE293)</f>
        <v>0</v>
      </c>
      <c r="BP293" s="483">
        <f>SUM($U293:AF293)</f>
        <v>0</v>
      </c>
      <c r="BQ293" s="484">
        <f t="shared" si="30"/>
        <v>0</v>
      </c>
      <c r="BR293" s="482">
        <f>SUM($AS293:AT293)</f>
        <v>0</v>
      </c>
      <c r="BS293" s="482">
        <f>SUM($AS293:AU293)</f>
        <v>0</v>
      </c>
      <c r="BT293" s="482">
        <f>SUM($AS293:AV293)</f>
        <v>0</v>
      </c>
      <c r="BU293" s="482">
        <f>SUM($AS293:AW293)</f>
        <v>0</v>
      </c>
      <c r="BV293" s="482">
        <f>SUM($AS293:AX293)</f>
        <v>0</v>
      </c>
      <c r="BW293" s="482">
        <f>SUM($AS293:AY293)</f>
        <v>0</v>
      </c>
      <c r="BX293" s="482">
        <f>SUM($AS293:AZ293)</f>
        <v>0</v>
      </c>
      <c r="BY293" s="482">
        <f>SUM($AS293:BA293)</f>
        <v>0</v>
      </c>
      <c r="BZ293" s="482">
        <f>SUM($AS293:BB293)</f>
        <v>0</v>
      </c>
      <c r="CA293" s="482">
        <f>SUM($AS293:BC293)</f>
        <v>0</v>
      </c>
      <c r="CB293" s="483">
        <f>SUM($AS293:BD293)</f>
        <v>0</v>
      </c>
    </row>
    <row r="294" spans="1:80" s="471" customFormat="1" ht="12.75" hidden="1" customHeight="1">
      <c r="A294" s="471">
        <f t="shared" si="28"/>
        <v>285</v>
      </c>
      <c r="B294" s="628"/>
      <c r="C294" s="533"/>
      <c r="D294" s="533"/>
      <c r="E294" s="427"/>
      <c r="F294" s="586"/>
      <c r="G294" s="629"/>
      <c r="H294" s="582">
        <f t="shared" ref="H294:H357" si="31">1+H293</f>
        <v>287</v>
      </c>
      <c r="I294" s="524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4"/>
      <c r="U294" s="475"/>
      <c r="V294" s="473"/>
      <c r="W294" s="473"/>
      <c r="X294" s="473"/>
      <c r="Y294" s="473"/>
      <c r="Z294" s="473"/>
      <c r="AA294" s="473"/>
      <c r="AB294" s="473"/>
      <c r="AC294" s="473"/>
      <c r="AD294" s="473"/>
      <c r="AE294" s="473"/>
      <c r="AF294" s="473"/>
      <c r="AG294" s="510"/>
      <c r="AH294" s="495"/>
      <c r="AI294" s="495"/>
      <c r="AJ294" s="495"/>
      <c r="AK294" s="495"/>
      <c r="AL294" s="495"/>
      <c r="AM294" s="495"/>
      <c r="AN294" s="495"/>
      <c r="AO294" s="495"/>
      <c r="AP294" s="495"/>
      <c r="AQ294" s="495"/>
      <c r="AR294" s="497"/>
      <c r="AS294" s="509"/>
      <c r="AT294" s="495"/>
      <c r="AU294" s="495"/>
      <c r="AV294" s="480"/>
      <c r="AW294" s="496"/>
      <c r="AX294" s="495"/>
      <c r="AY294" s="495"/>
      <c r="AZ294" s="496"/>
      <c r="BA294" s="496"/>
      <c r="BB294" s="496"/>
      <c r="BC294" s="496"/>
      <c r="BD294" s="511"/>
      <c r="BE294" s="482">
        <f t="shared" si="29"/>
        <v>0</v>
      </c>
      <c r="BF294" s="482">
        <f>SUM($U294:V294)</f>
        <v>0</v>
      </c>
      <c r="BG294" s="482">
        <f>SUM($U294:W294)</f>
        <v>0</v>
      </c>
      <c r="BH294" s="482">
        <f>SUM($U294:X294)</f>
        <v>0</v>
      </c>
      <c r="BI294" s="482">
        <f>SUM($U294:Y294)</f>
        <v>0</v>
      </c>
      <c r="BJ294" s="482">
        <f>SUM($U294:Z294)</f>
        <v>0</v>
      </c>
      <c r="BK294" s="482">
        <f>SUM($U294:AA294)</f>
        <v>0</v>
      </c>
      <c r="BL294" s="482">
        <f>SUM($U294:AB294)</f>
        <v>0</v>
      </c>
      <c r="BM294" s="482">
        <f>SUM($U294:AC294)</f>
        <v>0</v>
      </c>
      <c r="BN294" s="482">
        <f>SUM($U294:AD294)</f>
        <v>0</v>
      </c>
      <c r="BO294" s="482">
        <f>SUM($U294:AE294)</f>
        <v>0</v>
      </c>
      <c r="BP294" s="483">
        <f>SUM($U294:AF294)</f>
        <v>0</v>
      </c>
      <c r="BQ294" s="484">
        <f t="shared" si="30"/>
        <v>0</v>
      </c>
      <c r="BR294" s="482">
        <f>SUM($AS294:AT294)</f>
        <v>0</v>
      </c>
      <c r="BS294" s="482">
        <f>SUM($AS294:AU294)</f>
        <v>0</v>
      </c>
      <c r="BT294" s="482">
        <f>SUM($AS294:AV294)</f>
        <v>0</v>
      </c>
      <c r="BU294" s="482">
        <f>SUM($AS294:AW294)</f>
        <v>0</v>
      </c>
      <c r="BV294" s="482">
        <f>SUM($AS294:AX294)</f>
        <v>0</v>
      </c>
      <c r="BW294" s="482">
        <f>SUM($AS294:AY294)</f>
        <v>0</v>
      </c>
      <c r="BX294" s="482">
        <f>SUM($AS294:AZ294)</f>
        <v>0</v>
      </c>
      <c r="BY294" s="482">
        <f>SUM($AS294:BA294)</f>
        <v>0</v>
      </c>
      <c r="BZ294" s="482">
        <f>SUM($AS294:BB294)</f>
        <v>0</v>
      </c>
      <c r="CA294" s="482">
        <f>SUM($AS294:BC294)</f>
        <v>0</v>
      </c>
      <c r="CB294" s="483">
        <f>SUM($AS294:BD294)</f>
        <v>0</v>
      </c>
    </row>
    <row r="295" spans="1:80" s="471" customFormat="1" ht="12.75" hidden="1" customHeight="1">
      <c r="A295" s="471">
        <f t="shared" si="28"/>
        <v>286</v>
      </c>
      <c r="B295" s="628"/>
      <c r="C295" s="533"/>
      <c r="D295" s="533"/>
      <c r="E295" s="427"/>
      <c r="F295" s="586"/>
      <c r="G295" s="629"/>
      <c r="H295" s="582">
        <f t="shared" si="31"/>
        <v>288</v>
      </c>
      <c r="I295" s="524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4"/>
      <c r="U295" s="475"/>
      <c r="V295" s="473"/>
      <c r="W295" s="473"/>
      <c r="X295" s="473"/>
      <c r="Y295" s="473"/>
      <c r="Z295" s="473"/>
      <c r="AA295" s="473"/>
      <c r="AB295" s="473"/>
      <c r="AC295" s="473"/>
      <c r="AD295" s="473"/>
      <c r="AE295" s="473"/>
      <c r="AF295" s="473"/>
      <c r="AG295" s="510"/>
      <c r="AH295" s="495"/>
      <c r="AI295" s="495"/>
      <c r="AJ295" s="495"/>
      <c r="AK295" s="495"/>
      <c r="AL295" s="495"/>
      <c r="AM295" s="495"/>
      <c r="AN295" s="495"/>
      <c r="AO295" s="495"/>
      <c r="AP295" s="495"/>
      <c r="AQ295" s="495"/>
      <c r="AR295" s="497"/>
      <c r="AS295" s="509"/>
      <c r="AT295" s="495"/>
      <c r="AU295" s="495"/>
      <c r="AV295" s="480"/>
      <c r="AW295" s="496"/>
      <c r="AX295" s="495"/>
      <c r="AY295" s="495"/>
      <c r="AZ295" s="496"/>
      <c r="BA295" s="496"/>
      <c r="BB295" s="496"/>
      <c r="BC295" s="496"/>
      <c r="BD295" s="511"/>
      <c r="BE295" s="482">
        <f t="shared" si="29"/>
        <v>0</v>
      </c>
      <c r="BF295" s="482">
        <f>SUM($U295:V295)</f>
        <v>0</v>
      </c>
      <c r="BG295" s="482">
        <f>SUM($U295:W295)</f>
        <v>0</v>
      </c>
      <c r="BH295" s="482">
        <f>SUM($U295:X295)</f>
        <v>0</v>
      </c>
      <c r="BI295" s="482">
        <f>SUM($U295:Y295)</f>
        <v>0</v>
      </c>
      <c r="BJ295" s="482">
        <f>SUM($U295:Z295)</f>
        <v>0</v>
      </c>
      <c r="BK295" s="482">
        <f>SUM($U295:AA295)</f>
        <v>0</v>
      </c>
      <c r="BL295" s="482">
        <f>SUM($U295:AB295)</f>
        <v>0</v>
      </c>
      <c r="BM295" s="482">
        <f>SUM($U295:AC295)</f>
        <v>0</v>
      </c>
      <c r="BN295" s="482">
        <f>SUM($U295:AD295)</f>
        <v>0</v>
      </c>
      <c r="BO295" s="482">
        <f>SUM($U295:AE295)</f>
        <v>0</v>
      </c>
      <c r="BP295" s="483">
        <f>SUM($U295:AF295)</f>
        <v>0</v>
      </c>
      <c r="BQ295" s="484">
        <f t="shared" si="30"/>
        <v>0</v>
      </c>
      <c r="BR295" s="482">
        <f>SUM($AS295:AT295)</f>
        <v>0</v>
      </c>
      <c r="BS295" s="482">
        <f>SUM($AS295:AU295)</f>
        <v>0</v>
      </c>
      <c r="BT295" s="482">
        <f>SUM($AS295:AV295)</f>
        <v>0</v>
      </c>
      <c r="BU295" s="482">
        <f>SUM($AS295:AW295)</f>
        <v>0</v>
      </c>
      <c r="BV295" s="482">
        <f>SUM($AS295:AX295)</f>
        <v>0</v>
      </c>
      <c r="BW295" s="482">
        <f>SUM($AS295:AY295)</f>
        <v>0</v>
      </c>
      <c r="BX295" s="482">
        <f>SUM($AS295:AZ295)</f>
        <v>0</v>
      </c>
      <c r="BY295" s="482">
        <f>SUM($AS295:BA295)</f>
        <v>0</v>
      </c>
      <c r="BZ295" s="482">
        <f>SUM($AS295:BB295)</f>
        <v>0</v>
      </c>
      <c r="CA295" s="482">
        <f>SUM($AS295:BC295)</f>
        <v>0</v>
      </c>
      <c r="CB295" s="483">
        <f>SUM($AS295:BD295)</f>
        <v>0</v>
      </c>
    </row>
    <row r="296" spans="1:80" s="471" customFormat="1" ht="12.75" hidden="1" customHeight="1">
      <c r="A296" s="471">
        <f t="shared" si="28"/>
        <v>287</v>
      </c>
      <c r="B296" s="628"/>
      <c r="C296" s="533"/>
      <c r="D296" s="533"/>
      <c r="E296" s="427"/>
      <c r="F296" s="586"/>
      <c r="G296" s="629"/>
      <c r="H296" s="582">
        <f t="shared" si="31"/>
        <v>289</v>
      </c>
      <c r="I296" s="524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4"/>
      <c r="U296" s="475"/>
      <c r="V296" s="473"/>
      <c r="W296" s="473"/>
      <c r="X296" s="473"/>
      <c r="Y296" s="473"/>
      <c r="Z296" s="473"/>
      <c r="AA296" s="473"/>
      <c r="AB296" s="473"/>
      <c r="AC296" s="473"/>
      <c r="AD296" s="473"/>
      <c r="AE296" s="473"/>
      <c r="AF296" s="473"/>
      <c r="AG296" s="510"/>
      <c r="AH296" s="495"/>
      <c r="AI296" s="495"/>
      <c r="AJ296" s="495"/>
      <c r="AK296" s="495"/>
      <c r="AL296" s="495"/>
      <c r="AM296" s="495"/>
      <c r="AN296" s="495"/>
      <c r="AO296" s="495"/>
      <c r="AP296" s="495"/>
      <c r="AQ296" s="495"/>
      <c r="AR296" s="497"/>
      <c r="AS296" s="509"/>
      <c r="AT296" s="495"/>
      <c r="AU296" s="495"/>
      <c r="AV296" s="480"/>
      <c r="AW296" s="496"/>
      <c r="AX296" s="495"/>
      <c r="AY296" s="495"/>
      <c r="AZ296" s="496"/>
      <c r="BA296" s="496"/>
      <c r="BB296" s="496"/>
      <c r="BC296" s="496"/>
      <c r="BD296" s="511"/>
      <c r="BE296" s="482">
        <f t="shared" si="29"/>
        <v>0</v>
      </c>
      <c r="BF296" s="482">
        <f>SUM($U296:V296)</f>
        <v>0</v>
      </c>
      <c r="BG296" s="482">
        <f>SUM($U296:W296)</f>
        <v>0</v>
      </c>
      <c r="BH296" s="482">
        <f>SUM($U296:X296)</f>
        <v>0</v>
      </c>
      <c r="BI296" s="482">
        <f>SUM($U296:Y296)</f>
        <v>0</v>
      </c>
      <c r="BJ296" s="482">
        <f>SUM($U296:Z296)</f>
        <v>0</v>
      </c>
      <c r="BK296" s="482">
        <f>SUM($U296:AA296)</f>
        <v>0</v>
      </c>
      <c r="BL296" s="482">
        <f>SUM($U296:AB296)</f>
        <v>0</v>
      </c>
      <c r="BM296" s="482">
        <f>SUM($U296:AC296)</f>
        <v>0</v>
      </c>
      <c r="BN296" s="482">
        <f>SUM($U296:AD296)</f>
        <v>0</v>
      </c>
      <c r="BO296" s="482">
        <f>SUM($U296:AE296)</f>
        <v>0</v>
      </c>
      <c r="BP296" s="483">
        <f>SUM($U296:AF296)</f>
        <v>0</v>
      </c>
      <c r="BQ296" s="484">
        <f t="shared" si="30"/>
        <v>0</v>
      </c>
      <c r="BR296" s="482">
        <f>SUM($AS296:AT296)</f>
        <v>0</v>
      </c>
      <c r="BS296" s="482">
        <f>SUM($AS296:AU296)</f>
        <v>0</v>
      </c>
      <c r="BT296" s="482">
        <f>SUM($AS296:AV296)</f>
        <v>0</v>
      </c>
      <c r="BU296" s="482">
        <f>SUM($AS296:AW296)</f>
        <v>0</v>
      </c>
      <c r="BV296" s="482">
        <f>SUM($AS296:AX296)</f>
        <v>0</v>
      </c>
      <c r="BW296" s="482">
        <f>SUM($AS296:AY296)</f>
        <v>0</v>
      </c>
      <c r="BX296" s="482">
        <f>SUM($AS296:AZ296)</f>
        <v>0</v>
      </c>
      <c r="BY296" s="482">
        <f>SUM($AS296:BA296)</f>
        <v>0</v>
      </c>
      <c r="BZ296" s="482">
        <f>SUM($AS296:BB296)</f>
        <v>0</v>
      </c>
      <c r="CA296" s="482">
        <f>SUM($AS296:BC296)</f>
        <v>0</v>
      </c>
      <c r="CB296" s="483">
        <f>SUM($AS296:BD296)</f>
        <v>0</v>
      </c>
    </row>
    <row r="297" spans="1:80" s="471" customFormat="1" ht="12.75" hidden="1" customHeight="1">
      <c r="A297" s="471">
        <f t="shared" si="28"/>
        <v>288</v>
      </c>
      <c r="B297" s="628"/>
      <c r="C297" s="533"/>
      <c r="D297" s="533"/>
      <c r="E297" s="427"/>
      <c r="F297" s="586"/>
      <c r="G297" s="629"/>
      <c r="H297" s="582">
        <f t="shared" si="31"/>
        <v>290</v>
      </c>
      <c r="I297" s="524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4"/>
      <c r="U297" s="475"/>
      <c r="V297" s="473"/>
      <c r="W297" s="473"/>
      <c r="X297" s="473"/>
      <c r="Y297" s="473"/>
      <c r="Z297" s="473"/>
      <c r="AA297" s="473"/>
      <c r="AB297" s="473"/>
      <c r="AC297" s="473"/>
      <c r="AD297" s="473"/>
      <c r="AE297" s="473"/>
      <c r="AF297" s="473"/>
      <c r="AG297" s="510"/>
      <c r="AH297" s="495"/>
      <c r="AI297" s="495"/>
      <c r="AJ297" s="495"/>
      <c r="AK297" s="495"/>
      <c r="AL297" s="495"/>
      <c r="AM297" s="495"/>
      <c r="AN297" s="495"/>
      <c r="AO297" s="495"/>
      <c r="AP297" s="495"/>
      <c r="AQ297" s="495"/>
      <c r="AR297" s="497"/>
      <c r="AS297" s="509"/>
      <c r="AT297" s="495"/>
      <c r="AU297" s="495"/>
      <c r="AV297" s="480"/>
      <c r="AW297" s="496"/>
      <c r="AX297" s="495"/>
      <c r="AY297" s="495"/>
      <c r="AZ297" s="496"/>
      <c r="BA297" s="496"/>
      <c r="BB297" s="496"/>
      <c r="BC297" s="496"/>
      <c r="BD297" s="511"/>
      <c r="BE297" s="482">
        <f t="shared" si="29"/>
        <v>0</v>
      </c>
      <c r="BF297" s="482">
        <f>SUM($U297:V297)</f>
        <v>0</v>
      </c>
      <c r="BG297" s="482">
        <f>SUM($U297:W297)</f>
        <v>0</v>
      </c>
      <c r="BH297" s="482">
        <f>SUM($U297:X297)</f>
        <v>0</v>
      </c>
      <c r="BI297" s="482">
        <f>SUM($U297:Y297)</f>
        <v>0</v>
      </c>
      <c r="BJ297" s="482">
        <f>SUM($U297:Z297)</f>
        <v>0</v>
      </c>
      <c r="BK297" s="482">
        <f>SUM($U297:AA297)</f>
        <v>0</v>
      </c>
      <c r="BL297" s="482">
        <f>SUM($U297:AB297)</f>
        <v>0</v>
      </c>
      <c r="BM297" s="482">
        <f>SUM($U297:AC297)</f>
        <v>0</v>
      </c>
      <c r="BN297" s="482">
        <f>SUM($U297:AD297)</f>
        <v>0</v>
      </c>
      <c r="BO297" s="482">
        <f>SUM($U297:AE297)</f>
        <v>0</v>
      </c>
      <c r="BP297" s="483">
        <f>SUM($U297:AF297)</f>
        <v>0</v>
      </c>
      <c r="BQ297" s="484">
        <f t="shared" si="30"/>
        <v>0</v>
      </c>
      <c r="BR297" s="482">
        <f>SUM($AS297:AT297)</f>
        <v>0</v>
      </c>
      <c r="BS297" s="482">
        <f>SUM($AS297:AU297)</f>
        <v>0</v>
      </c>
      <c r="BT297" s="482">
        <f>SUM($AS297:AV297)</f>
        <v>0</v>
      </c>
      <c r="BU297" s="482">
        <f>SUM($AS297:AW297)</f>
        <v>0</v>
      </c>
      <c r="BV297" s="482">
        <f>SUM($AS297:AX297)</f>
        <v>0</v>
      </c>
      <c r="BW297" s="482">
        <f>SUM($AS297:AY297)</f>
        <v>0</v>
      </c>
      <c r="BX297" s="482">
        <f>SUM($AS297:AZ297)</f>
        <v>0</v>
      </c>
      <c r="BY297" s="482">
        <f>SUM($AS297:BA297)</f>
        <v>0</v>
      </c>
      <c r="BZ297" s="482">
        <f>SUM($AS297:BB297)</f>
        <v>0</v>
      </c>
      <c r="CA297" s="482">
        <f>SUM($AS297:BC297)</f>
        <v>0</v>
      </c>
      <c r="CB297" s="483">
        <f>SUM($AS297:BD297)</f>
        <v>0</v>
      </c>
    </row>
    <row r="298" spans="1:80" s="471" customFormat="1" ht="12.75" hidden="1" customHeight="1">
      <c r="A298" s="471">
        <f t="shared" si="28"/>
        <v>289</v>
      </c>
      <c r="B298" s="628"/>
      <c r="C298" s="533"/>
      <c r="D298" s="533"/>
      <c r="E298" s="427"/>
      <c r="F298" s="586"/>
      <c r="G298" s="629"/>
      <c r="H298" s="582">
        <f t="shared" si="31"/>
        <v>291</v>
      </c>
      <c r="I298" s="524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4"/>
      <c r="U298" s="475"/>
      <c r="V298" s="473"/>
      <c r="W298" s="473"/>
      <c r="X298" s="473"/>
      <c r="Y298" s="473"/>
      <c r="Z298" s="473"/>
      <c r="AA298" s="473"/>
      <c r="AB298" s="473"/>
      <c r="AC298" s="473"/>
      <c r="AD298" s="473"/>
      <c r="AE298" s="473"/>
      <c r="AF298" s="473"/>
      <c r="AG298" s="510"/>
      <c r="AH298" s="495"/>
      <c r="AI298" s="495"/>
      <c r="AJ298" s="495"/>
      <c r="AK298" s="495"/>
      <c r="AL298" s="495"/>
      <c r="AM298" s="495"/>
      <c r="AN298" s="495"/>
      <c r="AO298" s="495"/>
      <c r="AP298" s="495"/>
      <c r="AQ298" s="495"/>
      <c r="AR298" s="497"/>
      <c r="AS298" s="509"/>
      <c r="AT298" s="495"/>
      <c r="AU298" s="495"/>
      <c r="AV298" s="480"/>
      <c r="AW298" s="496"/>
      <c r="AX298" s="495"/>
      <c r="AY298" s="495"/>
      <c r="AZ298" s="496"/>
      <c r="BA298" s="496"/>
      <c r="BB298" s="496"/>
      <c r="BC298" s="496"/>
      <c r="BD298" s="511"/>
      <c r="BE298" s="482">
        <f t="shared" si="29"/>
        <v>0</v>
      </c>
      <c r="BF298" s="482">
        <f>SUM($U298:V298)</f>
        <v>0</v>
      </c>
      <c r="BG298" s="482">
        <f>SUM($U298:W298)</f>
        <v>0</v>
      </c>
      <c r="BH298" s="482">
        <f>SUM($U298:X298)</f>
        <v>0</v>
      </c>
      <c r="BI298" s="482">
        <f>SUM($U298:Y298)</f>
        <v>0</v>
      </c>
      <c r="BJ298" s="482">
        <f>SUM($U298:Z298)</f>
        <v>0</v>
      </c>
      <c r="BK298" s="482">
        <f>SUM($U298:AA298)</f>
        <v>0</v>
      </c>
      <c r="BL298" s="482">
        <f>SUM($U298:AB298)</f>
        <v>0</v>
      </c>
      <c r="BM298" s="482">
        <f>SUM($U298:AC298)</f>
        <v>0</v>
      </c>
      <c r="BN298" s="482">
        <f>SUM($U298:AD298)</f>
        <v>0</v>
      </c>
      <c r="BO298" s="482">
        <f>SUM($U298:AE298)</f>
        <v>0</v>
      </c>
      <c r="BP298" s="483">
        <f>SUM($U298:AF298)</f>
        <v>0</v>
      </c>
      <c r="BQ298" s="484">
        <f t="shared" si="30"/>
        <v>0</v>
      </c>
      <c r="BR298" s="482">
        <f>SUM($AS298:AT298)</f>
        <v>0</v>
      </c>
      <c r="BS298" s="482">
        <f>SUM($AS298:AU298)</f>
        <v>0</v>
      </c>
      <c r="BT298" s="482">
        <f>SUM($AS298:AV298)</f>
        <v>0</v>
      </c>
      <c r="BU298" s="482">
        <f>SUM($AS298:AW298)</f>
        <v>0</v>
      </c>
      <c r="BV298" s="482">
        <f>SUM($AS298:AX298)</f>
        <v>0</v>
      </c>
      <c r="BW298" s="482">
        <f>SUM($AS298:AY298)</f>
        <v>0</v>
      </c>
      <c r="BX298" s="482">
        <f>SUM($AS298:AZ298)</f>
        <v>0</v>
      </c>
      <c r="BY298" s="482">
        <f>SUM($AS298:BA298)</f>
        <v>0</v>
      </c>
      <c r="BZ298" s="482">
        <f>SUM($AS298:BB298)</f>
        <v>0</v>
      </c>
      <c r="CA298" s="482">
        <f>SUM($AS298:BC298)</f>
        <v>0</v>
      </c>
      <c r="CB298" s="483">
        <f>SUM($AS298:BD298)</f>
        <v>0</v>
      </c>
    </row>
    <row r="299" spans="1:80" s="471" customFormat="1" ht="12.75" hidden="1" customHeight="1">
      <c r="A299" s="471">
        <f t="shared" si="28"/>
        <v>290</v>
      </c>
      <c r="B299" s="628"/>
      <c r="C299" s="533"/>
      <c r="D299" s="533"/>
      <c r="E299" s="427"/>
      <c r="F299" s="586"/>
      <c r="G299" s="629"/>
      <c r="H299" s="582">
        <f t="shared" si="31"/>
        <v>292</v>
      </c>
      <c r="I299" s="524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4"/>
      <c r="U299" s="475"/>
      <c r="V299" s="473"/>
      <c r="W299" s="473"/>
      <c r="X299" s="473"/>
      <c r="Y299" s="473"/>
      <c r="Z299" s="473"/>
      <c r="AA299" s="473"/>
      <c r="AB299" s="473"/>
      <c r="AC299" s="473"/>
      <c r="AD299" s="473"/>
      <c r="AE299" s="473"/>
      <c r="AF299" s="473"/>
      <c r="AG299" s="510"/>
      <c r="AH299" s="495"/>
      <c r="AI299" s="495"/>
      <c r="AJ299" s="495"/>
      <c r="AK299" s="495"/>
      <c r="AL299" s="495"/>
      <c r="AM299" s="495"/>
      <c r="AN299" s="495"/>
      <c r="AO299" s="495"/>
      <c r="AP299" s="495"/>
      <c r="AQ299" s="495"/>
      <c r="AR299" s="497"/>
      <c r="AS299" s="509"/>
      <c r="AT299" s="495"/>
      <c r="AU299" s="495"/>
      <c r="AV299" s="480"/>
      <c r="AW299" s="496"/>
      <c r="AX299" s="495"/>
      <c r="AY299" s="495"/>
      <c r="AZ299" s="496"/>
      <c r="BA299" s="496"/>
      <c r="BB299" s="496"/>
      <c r="BC299" s="496"/>
      <c r="BD299" s="511"/>
      <c r="BE299" s="482">
        <f t="shared" si="29"/>
        <v>0</v>
      </c>
      <c r="BF299" s="482">
        <f>SUM($U299:V299)</f>
        <v>0</v>
      </c>
      <c r="BG299" s="482">
        <f>SUM($U299:W299)</f>
        <v>0</v>
      </c>
      <c r="BH299" s="482">
        <f>SUM($U299:X299)</f>
        <v>0</v>
      </c>
      <c r="BI299" s="482">
        <f>SUM($U299:Y299)</f>
        <v>0</v>
      </c>
      <c r="BJ299" s="482">
        <f>SUM($U299:Z299)</f>
        <v>0</v>
      </c>
      <c r="BK299" s="482">
        <f>SUM($U299:AA299)</f>
        <v>0</v>
      </c>
      <c r="BL299" s="482">
        <f>SUM($U299:AB299)</f>
        <v>0</v>
      </c>
      <c r="BM299" s="482">
        <f>SUM($U299:AC299)</f>
        <v>0</v>
      </c>
      <c r="BN299" s="482">
        <f>SUM($U299:AD299)</f>
        <v>0</v>
      </c>
      <c r="BO299" s="482">
        <f>SUM($U299:AE299)</f>
        <v>0</v>
      </c>
      <c r="BP299" s="483">
        <f>SUM($U299:AF299)</f>
        <v>0</v>
      </c>
      <c r="BQ299" s="484">
        <f t="shared" si="30"/>
        <v>0</v>
      </c>
      <c r="BR299" s="482">
        <f>SUM($AS299:AT299)</f>
        <v>0</v>
      </c>
      <c r="BS299" s="482">
        <f>SUM($AS299:AU299)</f>
        <v>0</v>
      </c>
      <c r="BT299" s="482">
        <f>SUM($AS299:AV299)</f>
        <v>0</v>
      </c>
      <c r="BU299" s="482">
        <f>SUM($AS299:AW299)</f>
        <v>0</v>
      </c>
      <c r="BV299" s="482">
        <f>SUM($AS299:AX299)</f>
        <v>0</v>
      </c>
      <c r="BW299" s="482">
        <f>SUM($AS299:AY299)</f>
        <v>0</v>
      </c>
      <c r="BX299" s="482">
        <f>SUM($AS299:AZ299)</f>
        <v>0</v>
      </c>
      <c r="BY299" s="482">
        <f>SUM($AS299:BA299)</f>
        <v>0</v>
      </c>
      <c r="BZ299" s="482">
        <f>SUM($AS299:BB299)</f>
        <v>0</v>
      </c>
      <c r="CA299" s="482">
        <f>SUM($AS299:BC299)</f>
        <v>0</v>
      </c>
      <c r="CB299" s="483">
        <f>SUM($AS299:BD299)</f>
        <v>0</v>
      </c>
    </row>
    <row r="300" spans="1:80" s="471" customFormat="1" ht="12.75" hidden="1" customHeight="1">
      <c r="A300" s="471">
        <f t="shared" si="28"/>
        <v>291</v>
      </c>
      <c r="B300" s="628"/>
      <c r="C300" s="533"/>
      <c r="D300" s="533"/>
      <c r="E300" s="427"/>
      <c r="F300" s="586"/>
      <c r="G300" s="629"/>
      <c r="H300" s="582">
        <f t="shared" si="31"/>
        <v>293</v>
      </c>
      <c r="I300" s="524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4"/>
      <c r="U300" s="475"/>
      <c r="V300" s="473"/>
      <c r="W300" s="473"/>
      <c r="X300" s="473"/>
      <c r="Y300" s="473"/>
      <c r="Z300" s="473"/>
      <c r="AA300" s="473"/>
      <c r="AB300" s="473"/>
      <c r="AC300" s="473"/>
      <c r="AD300" s="473"/>
      <c r="AE300" s="473"/>
      <c r="AF300" s="473"/>
      <c r="AG300" s="510"/>
      <c r="AH300" s="495"/>
      <c r="AI300" s="495"/>
      <c r="AJ300" s="495"/>
      <c r="AK300" s="495"/>
      <c r="AL300" s="495"/>
      <c r="AM300" s="495"/>
      <c r="AN300" s="495"/>
      <c r="AO300" s="495"/>
      <c r="AP300" s="495"/>
      <c r="AQ300" s="495"/>
      <c r="AR300" s="497"/>
      <c r="AS300" s="509"/>
      <c r="AT300" s="495"/>
      <c r="AU300" s="495"/>
      <c r="AV300" s="480"/>
      <c r="AW300" s="496"/>
      <c r="AX300" s="495"/>
      <c r="AY300" s="495"/>
      <c r="AZ300" s="496"/>
      <c r="BA300" s="496"/>
      <c r="BB300" s="496"/>
      <c r="BC300" s="496"/>
      <c r="BD300" s="511"/>
      <c r="BE300" s="482">
        <f t="shared" si="29"/>
        <v>0</v>
      </c>
      <c r="BF300" s="482">
        <f>SUM($U300:V300)</f>
        <v>0</v>
      </c>
      <c r="BG300" s="482">
        <f>SUM($U300:W300)</f>
        <v>0</v>
      </c>
      <c r="BH300" s="482">
        <f>SUM($U300:X300)</f>
        <v>0</v>
      </c>
      <c r="BI300" s="482">
        <f>SUM($U300:Y300)</f>
        <v>0</v>
      </c>
      <c r="BJ300" s="482">
        <f>SUM($U300:Z300)</f>
        <v>0</v>
      </c>
      <c r="BK300" s="482">
        <f>SUM($U300:AA300)</f>
        <v>0</v>
      </c>
      <c r="BL300" s="482">
        <f>SUM($U300:AB300)</f>
        <v>0</v>
      </c>
      <c r="BM300" s="482">
        <f>SUM($U300:AC300)</f>
        <v>0</v>
      </c>
      <c r="BN300" s="482">
        <f>SUM($U300:AD300)</f>
        <v>0</v>
      </c>
      <c r="BO300" s="482">
        <f>SUM($U300:AE300)</f>
        <v>0</v>
      </c>
      <c r="BP300" s="483">
        <f>SUM($U300:AF300)</f>
        <v>0</v>
      </c>
      <c r="BQ300" s="484">
        <f t="shared" si="30"/>
        <v>0</v>
      </c>
      <c r="BR300" s="482">
        <f>SUM($AS300:AT300)</f>
        <v>0</v>
      </c>
      <c r="BS300" s="482">
        <f>SUM($AS300:AU300)</f>
        <v>0</v>
      </c>
      <c r="BT300" s="482">
        <f>SUM($AS300:AV300)</f>
        <v>0</v>
      </c>
      <c r="BU300" s="482">
        <f>SUM($AS300:AW300)</f>
        <v>0</v>
      </c>
      <c r="BV300" s="482">
        <f>SUM($AS300:AX300)</f>
        <v>0</v>
      </c>
      <c r="BW300" s="482">
        <f>SUM($AS300:AY300)</f>
        <v>0</v>
      </c>
      <c r="BX300" s="482">
        <f>SUM($AS300:AZ300)</f>
        <v>0</v>
      </c>
      <c r="BY300" s="482">
        <f>SUM($AS300:BA300)</f>
        <v>0</v>
      </c>
      <c r="BZ300" s="482">
        <f>SUM($AS300:BB300)</f>
        <v>0</v>
      </c>
      <c r="CA300" s="482">
        <f>SUM($AS300:BC300)</f>
        <v>0</v>
      </c>
      <c r="CB300" s="483">
        <f>SUM($AS300:BD300)</f>
        <v>0</v>
      </c>
    </row>
    <row r="301" spans="1:80" s="471" customFormat="1" ht="12.75" hidden="1" customHeight="1">
      <c r="A301" s="471">
        <f t="shared" si="28"/>
        <v>292</v>
      </c>
      <c r="B301" s="628"/>
      <c r="C301" s="533"/>
      <c r="D301" s="533"/>
      <c r="E301" s="427"/>
      <c r="F301" s="586"/>
      <c r="G301" s="629"/>
      <c r="H301" s="582">
        <f t="shared" si="31"/>
        <v>294</v>
      </c>
      <c r="I301" s="524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4"/>
      <c r="U301" s="475"/>
      <c r="V301" s="473"/>
      <c r="W301" s="473"/>
      <c r="X301" s="473"/>
      <c r="Y301" s="473"/>
      <c r="Z301" s="473"/>
      <c r="AA301" s="473"/>
      <c r="AB301" s="473"/>
      <c r="AC301" s="473"/>
      <c r="AD301" s="473"/>
      <c r="AE301" s="473"/>
      <c r="AF301" s="473"/>
      <c r="AG301" s="510"/>
      <c r="AH301" s="495"/>
      <c r="AI301" s="495"/>
      <c r="AJ301" s="495"/>
      <c r="AK301" s="495"/>
      <c r="AL301" s="495"/>
      <c r="AM301" s="495"/>
      <c r="AN301" s="495"/>
      <c r="AO301" s="495"/>
      <c r="AP301" s="495"/>
      <c r="AQ301" s="495"/>
      <c r="AR301" s="497"/>
      <c r="AS301" s="509"/>
      <c r="AT301" s="495"/>
      <c r="AU301" s="495"/>
      <c r="AV301" s="480"/>
      <c r="AW301" s="496"/>
      <c r="AX301" s="495"/>
      <c r="AY301" s="495"/>
      <c r="AZ301" s="496"/>
      <c r="BA301" s="496"/>
      <c r="BB301" s="496"/>
      <c r="BC301" s="496"/>
      <c r="BD301" s="511"/>
      <c r="BE301" s="482">
        <f t="shared" si="29"/>
        <v>0</v>
      </c>
      <c r="BF301" s="482">
        <f>SUM($U301:V301)</f>
        <v>0</v>
      </c>
      <c r="BG301" s="482">
        <f>SUM($U301:W301)</f>
        <v>0</v>
      </c>
      <c r="BH301" s="482">
        <f>SUM($U301:X301)</f>
        <v>0</v>
      </c>
      <c r="BI301" s="482">
        <f>SUM($U301:Y301)</f>
        <v>0</v>
      </c>
      <c r="BJ301" s="482">
        <f>SUM($U301:Z301)</f>
        <v>0</v>
      </c>
      <c r="BK301" s="482">
        <f>SUM($U301:AA301)</f>
        <v>0</v>
      </c>
      <c r="BL301" s="482">
        <f>SUM($U301:AB301)</f>
        <v>0</v>
      </c>
      <c r="BM301" s="482">
        <f>SUM($U301:AC301)</f>
        <v>0</v>
      </c>
      <c r="BN301" s="482">
        <f>SUM($U301:AD301)</f>
        <v>0</v>
      </c>
      <c r="BO301" s="482">
        <f>SUM($U301:AE301)</f>
        <v>0</v>
      </c>
      <c r="BP301" s="483">
        <f>SUM($U301:AF301)</f>
        <v>0</v>
      </c>
      <c r="BQ301" s="484">
        <f t="shared" si="30"/>
        <v>0</v>
      </c>
      <c r="BR301" s="482">
        <f>SUM($AS301:AT301)</f>
        <v>0</v>
      </c>
      <c r="BS301" s="482">
        <f>SUM($AS301:AU301)</f>
        <v>0</v>
      </c>
      <c r="BT301" s="482">
        <f>SUM($AS301:AV301)</f>
        <v>0</v>
      </c>
      <c r="BU301" s="482">
        <f>SUM($AS301:AW301)</f>
        <v>0</v>
      </c>
      <c r="BV301" s="482">
        <f>SUM($AS301:AX301)</f>
        <v>0</v>
      </c>
      <c r="BW301" s="482">
        <f>SUM($AS301:AY301)</f>
        <v>0</v>
      </c>
      <c r="BX301" s="482">
        <f>SUM($AS301:AZ301)</f>
        <v>0</v>
      </c>
      <c r="BY301" s="482">
        <f>SUM($AS301:BA301)</f>
        <v>0</v>
      </c>
      <c r="BZ301" s="482">
        <f>SUM($AS301:BB301)</f>
        <v>0</v>
      </c>
      <c r="CA301" s="482">
        <f>SUM($AS301:BC301)</f>
        <v>0</v>
      </c>
      <c r="CB301" s="483">
        <f>SUM($AS301:BD301)</f>
        <v>0</v>
      </c>
    </row>
    <row r="302" spans="1:80" s="471" customFormat="1" ht="12.75" hidden="1" customHeight="1">
      <c r="A302" s="471">
        <f t="shared" si="28"/>
        <v>293</v>
      </c>
      <c r="B302" s="628"/>
      <c r="C302" s="533"/>
      <c r="D302" s="533"/>
      <c r="E302" s="427"/>
      <c r="F302" s="586"/>
      <c r="G302" s="629"/>
      <c r="H302" s="582">
        <f t="shared" si="31"/>
        <v>295</v>
      </c>
      <c r="I302" s="524"/>
      <c r="J302" s="473"/>
      <c r="K302" s="473"/>
      <c r="L302" s="473"/>
      <c r="M302" s="473"/>
      <c r="N302" s="473"/>
      <c r="O302" s="473"/>
      <c r="P302" s="473"/>
      <c r="Q302" s="473"/>
      <c r="R302" s="473"/>
      <c r="S302" s="473"/>
      <c r="T302" s="474"/>
      <c r="U302" s="475"/>
      <c r="V302" s="473"/>
      <c r="W302" s="473"/>
      <c r="X302" s="473"/>
      <c r="Y302" s="473"/>
      <c r="Z302" s="473"/>
      <c r="AA302" s="473"/>
      <c r="AB302" s="473"/>
      <c r="AC302" s="473"/>
      <c r="AD302" s="473"/>
      <c r="AE302" s="473"/>
      <c r="AF302" s="473"/>
      <c r="AG302" s="510"/>
      <c r="AH302" s="495"/>
      <c r="AI302" s="495"/>
      <c r="AJ302" s="495"/>
      <c r="AK302" s="495"/>
      <c r="AL302" s="495"/>
      <c r="AM302" s="495"/>
      <c r="AN302" s="495"/>
      <c r="AO302" s="495"/>
      <c r="AP302" s="495"/>
      <c r="AQ302" s="495"/>
      <c r="AR302" s="497"/>
      <c r="AS302" s="509"/>
      <c r="AT302" s="495"/>
      <c r="AU302" s="495"/>
      <c r="AV302" s="480"/>
      <c r="AW302" s="496"/>
      <c r="AX302" s="495"/>
      <c r="AY302" s="495"/>
      <c r="AZ302" s="496"/>
      <c r="BA302" s="496"/>
      <c r="BB302" s="496"/>
      <c r="BC302" s="496"/>
      <c r="BD302" s="511"/>
      <c r="BE302" s="482">
        <f t="shared" si="29"/>
        <v>0</v>
      </c>
      <c r="BF302" s="482">
        <f>SUM($U302:V302)</f>
        <v>0</v>
      </c>
      <c r="BG302" s="482">
        <f>SUM($U302:W302)</f>
        <v>0</v>
      </c>
      <c r="BH302" s="482">
        <f>SUM($U302:X302)</f>
        <v>0</v>
      </c>
      <c r="BI302" s="482">
        <f>SUM($U302:Y302)</f>
        <v>0</v>
      </c>
      <c r="BJ302" s="482">
        <f>SUM($U302:Z302)</f>
        <v>0</v>
      </c>
      <c r="BK302" s="482">
        <f>SUM($U302:AA302)</f>
        <v>0</v>
      </c>
      <c r="BL302" s="482">
        <f>SUM($U302:AB302)</f>
        <v>0</v>
      </c>
      <c r="BM302" s="482">
        <f>SUM($U302:AC302)</f>
        <v>0</v>
      </c>
      <c r="BN302" s="482">
        <f>SUM($U302:AD302)</f>
        <v>0</v>
      </c>
      <c r="BO302" s="482">
        <f>SUM($U302:AE302)</f>
        <v>0</v>
      </c>
      <c r="BP302" s="483">
        <f>SUM($U302:AF302)</f>
        <v>0</v>
      </c>
      <c r="BQ302" s="484">
        <f t="shared" si="30"/>
        <v>0</v>
      </c>
      <c r="BR302" s="482">
        <f>SUM($AS302:AT302)</f>
        <v>0</v>
      </c>
      <c r="BS302" s="482">
        <f>SUM($AS302:AU302)</f>
        <v>0</v>
      </c>
      <c r="BT302" s="482">
        <f>SUM($AS302:AV302)</f>
        <v>0</v>
      </c>
      <c r="BU302" s="482">
        <f>SUM($AS302:AW302)</f>
        <v>0</v>
      </c>
      <c r="BV302" s="482">
        <f>SUM($AS302:AX302)</f>
        <v>0</v>
      </c>
      <c r="BW302" s="482">
        <f>SUM($AS302:AY302)</f>
        <v>0</v>
      </c>
      <c r="BX302" s="482">
        <f>SUM($AS302:AZ302)</f>
        <v>0</v>
      </c>
      <c r="BY302" s="482">
        <f>SUM($AS302:BA302)</f>
        <v>0</v>
      </c>
      <c r="BZ302" s="482">
        <f>SUM($AS302:BB302)</f>
        <v>0</v>
      </c>
      <c r="CA302" s="482">
        <f>SUM($AS302:BC302)</f>
        <v>0</v>
      </c>
      <c r="CB302" s="483">
        <f>SUM($AS302:BD302)</f>
        <v>0</v>
      </c>
    </row>
    <row r="303" spans="1:80" s="471" customFormat="1" ht="12.75" hidden="1" customHeight="1">
      <c r="A303" s="471">
        <f t="shared" si="28"/>
        <v>294</v>
      </c>
      <c r="B303" s="628"/>
      <c r="C303" s="533"/>
      <c r="D303" s="533"/>
      <c r="E303" s="427"/>
      <c r="F303" s="586"/>
      <c r="G303" s="629"/>
      <c r="H303" s="582">
        <f t="shared" si="31"/>
        <v>296</v>
      </c>
      <c r="I303" s="524"/>
      <c r="J303" s="473"/>
      <c r="K303" s="473"/>
      <c r="L303" s="473"/>
      <c r="M303" s="473"/>
      <c r="N303" s="473"/>
      <c r="O303" s="473"/>
      <c r="P303" s="473"/>
      <c r="Q303" s="473"/>
      <c r="R303" s="473"/>
      <c r="S303" s="473"/>
      <c r="T303" s="474"/>
      <c r="U303" s="475"/>
      <c r="V303" s="473"/>
      <c r="W303" s="473"/>
      <c r="X303" s="473"/>
      <c r="Y303" s="473"/>
      <c r="Z303" s="473"/>
      <c r="AA303" s="473"/>
      <c r="AB303" s="473"/>
      <c r="AC303" s="473"/>
      <c r="AD303" s="473"/>
      <c r="AE303" s="473"/>
      <c r="AF303" s="473"/>
      <c r="AG303" s="510"/>
      <c r="AH303" s="495"/>
      <c r="AI303" s="495"/>
      <c r="AJ303" s="495"/>
      <c r="AK303" s="495"/>
      <c r="AL303" s="495"/>
      <c r="AM303" s="495"/>
      <c r="AN303" s="495"/>
      <c r="AO303" s="495"/>
      <c r="AP303" s="495"/>
      <c r="AQ303" s="495"/>
      <c r="AR303" s="497"/>
      <c r="AS303" s="509"/>
      <c r="AT303" s="495"/>
      <c r="AU303" s="495"/>
      <c r="AV303" s="480"/>
      <c r="AW303" s="496"/>
      <c r="AX303" s="495"/>
      <c r="AY303" s="495"/>
      <c r="AZ303" s="496"/>
      <c r="BA303" s="496"/>
      <c r="BB303" s="496"/>
      <c r="BC303" s="496"/>
      <c r="BD303" s="511"/>
      <c r="BE303" s="482">
        <f t="shared" si="29"/>
        <v>0</v>
      </c>
      <c r="BF303" s="482">
        <f>SUM($U303:V303)</f>
        <v>0</v>
      </c>
      <c r="BG303" s="482">
        <f>SUM($U303:W303)</f>
        <v>0</v>
      </c>
      <c r="BH303" s="482">
        <f>SUM($U303:X303)</f>
        <v>0</v>
      </c>
      <c r="BI303" s="482">
        <f>SUM($U303:Y303)</f>
        <v>0</v>
      </c>
      <c r="BJ303" s="482">
        <f>SUM($U303:Z303)</f>
        <v>0</v>
      </c>
      <c r="BK303" s="482">
        <f>SUM($U303:AA303)</f>
        <v>0</v>
      </c>
      <c r="BL303" s="482">
        <f>SUM($U303:AB303)</f>
        <v>0</v>
      </c>
      <c r="BM303" s="482">
        <f>SUM($U303:AC303)</f>
        <v>0</v>
      </c>
      <c r="BN303" s="482">
        <f>SUM($U303:AD303)</f>
        <v>0</v>
      </c>
      <c r="BO303" s="482">
        <f>SUM($U303:AE303)</f>
        <v>0</v>
      </c>
      <c r="BP303" s="483">
        <f>SUM($U303:AF303)</f>
        <v>0</v>
      </c>
      <c r="BQ303" s="484">
        <f t="shared" si="30"/>
        <v>0</v>
      </c>
      <c r="BR303" s="482">
        <f>SUM($AS303:AT303)</f>
        <v>0</v>
      </c>
      <c r="BS303" s="482">
        <f>SUM($AS303:AU303)</f>
        <v>0</v>
      </c>
      <c r="BT303" s="482">
        <f>SUM($AS303:AV303)</f>
        <v>0</v>
      </c>
      <c r="BU303" s="482">
        <f>SUM($AS303:AW303)</f>
        <v>0</v>
      </c>
      <c r="BV303" s="482">
        <f>SUM($AS303:AX303)</f>
        <v>0</v>
      </c>
      <c r="BW303" s="482">
        <f>SUM($AS303:AY303)</f>
        <v>0</v>
      </c>
      <c r="BX303" s="482">
        <f>SUM($AS303:AZ303)</f>
        <v>0</v>
      </c>
      <c r="BY303" s="482">
        <f>SUM($AS303:BA303)</f>
        <v>0</v>
      </c>
      <c r="BZ303" s="482">
        <f>SUM($AS303:BB303)</f>
        <v>0</v>
      </c>
      <c r="CA303" s="482">
        <f>SUM($AS303:BC303)</f>
        <v>0</v>
      </c>
      <c r="CB303" s="483">
        <f>SUM($AS303:BD303)</f>
        <v>0</v>
      </c>
    </row>
    <row r="304" spans="1:80" s="471" customFormat="1" ht="12.75" hidden="1" customHeight="1">
      <c r="A304" s="471">
        <f t="shared" si="28"/>
        <v>295</v>
      </c>
      <c r="B304" s="628"/>
      <c r="C304" s="533"/>
      <c r="D304" s="533"/>
      <c r="E304" s="427"/>
      <c r="F304" s="586"/>
      <c r="G304" s="629"/>
      <c r="H304" s="582">
        <f t="shared" si="31"/>
        <v>297</v>
      </c>
      <c r="I304" s="524"/>
      <c r="J304" s="473"/>
      <c r="K304" s="473"/>
      <c r="L304" s="473"/>
      <c r="M304" s="473"/>
      <c r="N304" s="473"/>
      <c r="O304" s="473"/>
      <c r="P304" s="473"/>
      <c r="Q304" s="473"/>
      <c r="R304" s="473"/>
      <c r="S304" s="473"/>
      <c r="T304" s="474"/>
      <c r="U304" s="475"/>
      <c r="V304" s="473"/>
      <c r="W304" s="473"/>
      <c r="X304" s="473"/>
      <c r="Y304" s="473"/>
      <c r="Z304" s="473"/>
      <c r="AA304" s="473"/>
      <c r="AB304" s="473"/>
      <c r="AC304" s="473"/>
      <c r="AD304" s="473"/>
      <c r="AE304" s="473"/>
      <c r="AF304" s="473"/>
      <c r="AG304" s="510"/>
      <c r="AH304" s="495"/>
      <c r="AI304" s="495"/>
      <c r="AJ304" s="495"/>
      <c r="AK304" s="495"/>
      <c r="AL304" s="495"/>
      <c r="AM304" s="495"/>
      <c r="AN304" s="495"/>
      <c r="AO304" s="495"/>
      <c r="AP304" s="495"/>
      <c r="AQ304" s="495"/>
      <c r="AR304" s="497"/>
      <c r="AS304" s="509"/>
      <c r="AT304" s="495"/>
      <c r="AU304" s="495"/>
      <c r="AV304" s="480"/>
      <c r="AW304" s="496"/>
      <c r="AX304" s="495"/>
      <c r="AY304" s="495"/>
      <c r="AZ304" s="496"/>
      <c r="BA304" s="496"/>
      <c r="BB304" s="496"/>
      <c r="BC304" s="496"/>
      <c r="BD304" s="511"/>
      <c r="BE304" s="482">
        <f t="shared" si="29"/>
        <v>0</v>
      </c>
      <c r="BF304" s="482">
        <f>SUM($U304:V304)</f>
        <v>0</v>
      </c>
      <c r="BG304" s="482">
        <f>SUM($U304:W304)</f>
        <v>0</v>
      </c>
      <c r="BH304" s="482">
        <f>SUM($U304:X304)</f>
        <v>0</v>
      </c>
      <c r="BI304" s="482">
        <f>SUM($U304:Y304)</f>
        <v>0</v>
      </c>
      <c r="BJ304" s="482">
        <f>SUM($U304:Z304)</f>
        <v>0</v>
      </c>
      <c r="BK304" s="482">
        <f>SUM($U304:AA304)</f>
        <v>0</v>
      </c>
      <c r="BL304" s="482">
        <f>SUM($U304:AB304)</f>
        <v>0</v>
      </c>
      <c r="BM304" s="482">
        <f>SUM($U304:AC304)</f>
        <v>0</v>
      </c>
      <c r="BN304" s="482">
        <f>SUM($U304:AD304)</f>
        <v>0</v>
      </c>
      <c r="BO304" s="482">
        <f>SUM($U304:AE304)</f>
        <v>0</v>
      </c>
      <c r="BP304" s="483">
        <f>SUM($U304:AF304)</f>
        <v>0</v>
      </c>
      <c r="BQ304" s="484">
        <f t="shared" si="30"/>
        <v>0</v>
      </c>
      <c r="BR304" s="482">
        <f>SUM($AS304:AT304)</f>
        <v>0</v>
      </c>
      <c r="BS304" s="482">
        <f>SUM($AS304:AU304)</f>
        <v>0</v>
      </c>
      <c r="BT304" s="482">
        <f>SUM($AS304:AV304)</f>
        <v>0</v>
      </c>
      <c r="BU304" s="482">
        <f>SUM($AS304:AW304)</f>
        <v>0</v>
      </c>
      <c r="BV304" s="482">
        <f>SUM($AS304:AX304)</f>
        <v>0</v>
      </c>
      <c r="BW304" s="482">
        <f>SUM($AS304:AY304)</f>
        <v>0</v>
      </c>
      <c r="BX304" s="482">
        <f>SUM($AS304:AZ304)</f>
        <v>0</v>
      </c>
      <c r="BY304" s="482">
        <f>SUM($AS304:BA304)</f>
        <v>0</v>
      </c>
      <c r="BZ304" s="482">
        <f>SUM($AS304:BB304)</f>
        <v>0</v>
      </c>
      <c r="CA304" s="482">
        <f>SUM($AS304:BC304)</f>
        <v>0</v>
      </c>
      <c r="CB304" s="483">
        <f>SUM($AS304:BD304)</f>
        <v>0</v>
      </c>
    </row>
    <row r="305" spans="1:80" s="471" customFormat="1" ht="12.75" hidden="1" customHeight="1">
      <c r="A305" s="471">
        <f t="shared" si="28"/>
        <v>296</v>
      </c>
      <c r="B305" s="628"/>
      <c r="C305" s="533"/>
      <c r="D305" s="533"/>
      <c r="E305" s="427"/>
      <c r="F305" s="586"/>
      <c r="G305" s="629"/>
      <c r="H305" s="582">
        <f t="shared" si="31"/>
        <v>298</v>
      </c>
      <c r="I305" s="524"/>
      <c r="J305" s="473"/>
      <c r="K305" s="473"/>
      <c r="L305" s="473"/>
      <c r="M305" s="473"/>
      <c r="N305" s="473"/>
      <c r="O305" s="473"/>
      <c r="P305" s="473"/>
      <c r="Q305" s="473"/>
      <c r="R305" s="473"/>
      <c r="S305" s="473"/>
      <c r="T305" s="474"/>
      <c r="U305" s="475"/>
      <c r="V305" s="473"/>
      <c r="W305" s="473"/>
      <c r="X305" s="473"/>
      <c r="Y305" s="473"/>
      <c r="Z305" s="473"/>
      <c r="AA305" s="473"/>
      <c r="AB305" s="473"/>
      <c r="AC305" s="473"/>
      <c r="AD305" s="473"/>
      <c r="AE305" s="473"/>
      <c r="AF305" s="473"/>
      <c r="AG305" s="510"/>
      <c r="AH305" s="495"/>
      <c r="AI305" s="495"/>
      <c r="AJ305" s="495"/>
      <c r="AK305" s="495"/>
      <c r="AL305" s="495"/>
      <c r="AM305" s="495"/>
      <c r="AN305" s="495"/>
      <c r="AO305" s="495"/>
      <c r="AP305" s="495"/>
      <c r="AQ305" s="495"/>
      <c r="AR305" s="497"/>
      <c r="AS305" s="509"/>
      <c r="AT305" s="495"/>
      <c r="AU305" s="495"/>
      <c r="AV305" s="480"/>
      <c r="AW305" s="496"/>
      <c r="AX305" s="495"/>
      <c r="AY305" s="495"/>
      <c r="AZ305" s="496"/>
      <c r="BA305" s="496"/>
      <c r="BB305" s="496"/>
      <c r="BC305" s="496"/>
      <c r="BD305" s="511"/>
      <c r="BE305" s="482">
        <f t="shared" ref="BE305:BE327" si="32">(U305)</f>
        <v>0</v>
      </c>
      <c r="BF305" s="482">
        <f>SUM($U305:V305)</f>
        <v>0</v>
      </c>
      <c r="BG305" s="482">
        <f>SUM($U305:W305)</f>
        <v>0</v>
      </c>
      <c r="BH305" s="482">
        <f>SUM($U305:X305)</f>
        <v>0</v>
      </c>
      <c r="BI305" s="482">
        <f>SUM($U305:Y305)</f>
        <v>0</v>
      </c>
      <c r="BJ305" s="482">
        <f>SUM($U305:Z305)</f>
        <v>0</v>
      </c>
      <c r="BK305" s="482">
        <f>SUM($U305:AA305)</f>
        <v>0</v>
      </c>
      <c r="BL305" s="482">
        <f>SUM($U305:AB305)</f>
        <v>0</v>
      </c>
      <c r="BM305" s="482">
        <f>SUM($U305:AC305)</f>
        <v>0</v>
      </c>
      <c r="BN305" s="482">
        <f>SUM($U305:AD305)</f>
        <v>0</v>
      </c>
      <c r="BO305" s="482">
        <f>SUM($U305:AE305)</f>
        <v>0</v>
      </c>
      <c r="BP305" s="483">
        <f>SUM($U305:AF305)</f>
        <v>0</v>
      </c>
      <c r="BQ305" s="484">
        <f t="shared" ref="BQ305:BQ328" si="33">(AS305)</f>
        <v>0</v>
      </c>
      <c r="BR305" s="482">
        <f>SUM($AS305:AT305)</f>
        <v>0</v>
      </c>
      <c r="BS305" s="482">
        <f>SUM($AS305:AU305)</f>
        <v>0</v>
      </c>
      <c r="BT305" s="482">
        <f>SUM($AS305:AV305)</f>
        <v>0</v>
      </c>
      <c r="BU305" s="482">
        <f>SUM($AS305:AW305)</f>
        <v>0</v>
      </c>
      <c r="BV305" s="482">
        <f>SUM($AS305:AX305)</f>
        <v>0</v>
      </c>
      <c r="BW305" s="482">
        <f>SUM($AS305:AY305)</f>
        <v>0</v>
      </c>
      <c r="BX305" s="482">
        <f>SUM($AS305:AZ305)</f>
        <v>0</v>
      </c>
      <c r="BY305" s="482">
        <f>SUM($AS305:BA305)</f>
        <v>0</v>
      </c>
      <c r="BZ305" s="482">
        <f>SUM($AS305:BB305)</f>
        <v>0</v>
      </c>
      <c r="CA305" s="482">
        <f>SUM($AS305:BC305)</f>
        <v>0</v>
      </c>
      <c r="CB305" s="483">
        <f>SUM($AS305:BD305)</f>
        <v>0</v>
      </c>
    </row>
    <row r="306" spans="1:80" s="471" customFormat="1" ht="12.75" hidden="1" customHeight="1">
      <c r="A306" s="471">
        <f t="shared" si="28"/>
        <v>297</v>
      </c>
      <c r="B306" s="628"/>
      <c r="C306" s="533"/>
      <c r="D306" s="533"/>
      <c r="E306" s="427"/>
      <c r="F306" s="586"/>
      <c r="G306" s="629"/>
      <c r="H306" s="582">
        <f t="shared" si="31"/>
        <v>299</v>
      </c>
      <c r="I306" s="524"/>
      <c r="J306" s="473"/>
      <c r="K306" s="473"/>
      <c r="L306" s="473"/>
      <c r="M306" s="473"/>
      <c r="N306" s="473"/>
      <c r="O306" s="473"/>
      <c r="P306" s="473"/>
      <c r="Q306" s="473"/>
      <c r="R306" s="473"/>
      <c r="S306" s="473"/>
      <c r="T306" s="474"/>
      <c r="U306" s="475"/>
      <c r="V306" s="473"/>
      <c r="W306" s="473"/>
      <c r="X306" s="473"/>
      <c r="Y306" s="473"/>
      <c r="Z306" s="473"/>
      <c r="AA306" s="473"/>
      <c r="AB306" s="473"/>
      <c r="AC306" s="473"/>
      <c r="AD306" s="473"/>
      <c r="AE306" s="473"/>
      <c r="AF306" s="473"/>
      <c r="AG306" s="510"/>
      <c r="AH306" s="495"/>
      <c r="AI306" s="495"/>
      <c r="AJ306" s="495"/>
      <c r="AK306" s="495"/>
      <c r="AL306" s="495"/>
      <c r="AM306" s="495"/>
      <c r="AN306" s="495"/>
      <c r="AO306" s="495"/>
      <c r="AP306" s="495"/>
      <c r="AQ306" s="495"/>
      <c r="AR306" s="497"/>
      <c r="AS306" s="509"/>
      <c r="AT306" s="495"/>
      <c r="AU306" s="495"/>
      <c r="AV306" s="480"/>
      <c r="AW306" s="496"/>
      <c r="AX306" s="495"/>
      <c r="AY306" s="495"/>
      <c r="AZ306" s="496"/>
      <c r="BA306" s="496"/>
      <c r="BB306" s="496"/>
      <c r="BC306" s="496"/>
      <c r="BD306" s="511"/>
      <c r="BE306" s="482">
        <f t="shared" si="32"/>
        <v>0</v>
      </c>
      <c r="BF306" s="482">
        <f>SUM($U306:V306)</f>
        <v>0</v>
      </c>
      <c r="BG306" s="482">
        <f>SUM($U306:W306)</f>
        <v>0</v>
      </c>
      <c r="BH306" s="482">
        <f>SUM($U306:X306)</f>
        <v>0</v>
      </c>
      <c r="BI306" s="482">
        <f>SUM($U306:Y306)</f>
        <v>0</v>
      </c>
      <c r="BJ306" s="482">
        <f>SUM($U306:Z306)</f>
        <v>0</v>
      </c>
      <c r="BK306" s="482">
        <f>SUM($U306:AA306)</f>
        <v>0</v>
      </c>
      <c r="BL306" s="482">
        <f>SUM($U306:AB306)</f>
        <v>0</v>
      </c>
      <c r="BM306" s="482">
        <f>SUM($U306:AC306)</f>
        <v>0</v>
      </c>
      <c r="BN306" s="482">
        <f>SUM($U306:AD306)</f>
        <v>0</v>
      </c>
      <c r="BO306" s="482">
        <f>SUM($U306:AE306)</f>
        <v>0</v>
      </c>
      <c r="BP306" s="483">
        <f>SUM($U306:AF306)</f>
        <v>0</v>
      </c>
      <c r="BQ306" s="484">
        <f t="shared" si="33"/>
        <v>0</v>
      </c>
      <c r="BR306" s="482">
        <f>SUM($AS306:AT306)</f>
        <v>0</v>
      </c>
      <c r="BS306" s="482">
        <f>SUM($AS306:AU306)</f>
        <v>0</v>
      </c>
      <c r="BT306" s="482">
        <f>SUM($AS306:AV306)</f>
        <v>0</v>
      </c>
      <c r="BU306" s="482">
        <f>SUM($AS306:AW306)</f>
        <v>0</v>
      </c>
      <c r="BV306" s="482">
        <f>SUM($AS306:AX306)</f>
        <v>0</v>
      </c>
      <c r="BW306" s="482">
        <f>SUM($AS306:AY306)</f>
        <v>0</v>
      </c>
      <c r="BX306" s="482">
        <f>SUM($AS306:AZ306)</f>
        <v>0</v>
      </c>
      <c r="BY306" s="482">
        <f>SUM($AS306:BA306)</f>
        <v>0</v>
      </c>
      <c r="BZ306" s="482">
        <f>SUM($AS306:BB306)</f>
        <v>0</v>
      </c>
      <c r="CA306" s="482">
        <f>SUM($AS306:BC306)</f>
        <v>0</v>
      </c>
      <c r="CB306" s="483">
        <f>SUM($AS306:BD306)</f>
        <v>0</v>
      </c>
    </row>
    <row r="307" spans="1:80" s="471" customFormat="1" ht="12.75" hidden="1" customHeight="1">
      <c r="A307" s="471">
        <f t="shared" si="28"/>
        <v>298</v>
      </c>
      <c r="B307" s="628"/>
      <c r="C307" s="533"/>
      <c r="D307" s="533"/>
      <c r="E307" s="427"/>
      <c r="F307" s="586"/>
      <c r="G307" s="629"/>
      <c r="H307" s="582">
        <f t="shared" si="31"/>
        <v>300</v>
      </c>
      <c r="I307" s="524"/>
      <c r="J307" s="473"/>
      <c r="K307" s="473"/>
      <c r="L307" s="473"/>
      <c r="M307" s="473"/>
      <c r="N307" s="473"/>
      <c r="O307" s="473"/>
      <c r="P307" s="473"/>
      <c r="Q307" s="473"/>
      <c r="R307" s="473"/>
      <c r="S307" s="473"/>
      <c r="T307" s="474"/>
      <c r="U307" s="475"/>
      <c r="V307" s="473"/>
      <c r="W307" s="473"/>
      <c r="X307" s="473"/>
      <c r="Y307" s="473"/>
      <c r="Z307" s="473"/>
      <c r="AA307" s="473"/>
      <c r="AB307" s="473"/>
      <c r="AC307" s="473"/>
      <c r="AD307" s="473"/>
      <c r="AE307" s="473"/>
      <c r="AF307" s="473"/>
      <c r="AG307" s="510"/>
      <c r="AH307" s="495"/>
      <c r="AI307" s="495"/>
      <c r="AJ307" s="495"/>
      <c r="AK307" s="495"/>
      <c r="AL307" s="495"/>
      <c r="AM307" s="495"/>
      <c r="AN307" s="495"/>
      <c r="AO307" s="495"/>
      <c r="AP307" s="495"/>
      <c r="AQ307" s="495"/>
      <c r="AR307" s="497"/>
      <c r="AS307" s="509"/>
      <c r="AT307" s="495"/>
      <c r="AU307" s="495"/>
      <c r="AV307" s="480"/>
      <c r="AW307" s="496"/>
      <c r="AX307" s="495"/>
      <c r="AY307" s="495"/>
      <c r="AZ307" s="496"/>
      <c r="BA307" s="496"/>
      <c r="BB307" s="496"/>
      <c r="BC307" s="496"/>
      <c r="BD307" s="511"/>
      <c r="BE307" s="482">
        <f t="shared" si="32"/>
        <v>0</v>
      </c>
      <c r="BF307" s="482">
        <f>SUM($U307:V307)</f>
        <v>0</v>
      </c>
      <c r="BG307" s="482">
        <f>SUM($U307:W307)</f>
        <v>0</v>
      </c>
      <c r="BH307" s="482">
        <f>SUM($U307:X307)</f>
        <v>0</v>
      </c>
      <c r="BI307" s="482">
        <f>SUM($U307:Y307)</f>
        <v>0</v>
      </c>
      <c r="BJ307" s="482">
        <f>SUM($U307:Z307)</f>
        <v>0</v>
      </c>
      <c r="BK307" s="482">
        <f>SUM($U307:AA307)</f>
        <v>0</v>
      </c>
      <c r="BL307" s="482">
        <f>SUM($U307:AB307)</f>
        <v>0</v>
      </c>
      <c r="BM307" s="482">
        <f>SUM($U307:AC307)</f>
        <v>0</v>
      </c>
      <c r="BN307" s="482">
        <f>SUM($U307:AD307)</f>
        <v>0</v>
      </c>
      <c r="BO307" s="482">
        <f>SUM($U307:AE307)</f>
        <v>0</v>
      </c>
      <c r="BP307" s="483">
        <f>SUM($U307:AF307)</f>
        <v>0</v>
      </c>
      <c r="BQ307" s="484">
        <f t="shared" si="33"/>
        <v>0</v>
      </c>
      <c r="BR307" s="482">
        <f>SUM($AS307:AT307)</f>
        <v>0</v>
      </c>
      <c r="BS307" s="482">
        <f>SUM($AS307:AU307)</f>
        <v>0</v>
      </c>
      <c r="BT307" s="482">
        <f>SUM($AS307:AV307)</f>
        <v>0</v>
      </c>
      <c r="BU307" s="482">
        <f>SUM($AS307:AW307)</f>
        <v>0</v>
      </c>
      <c r="BV307" s="482">
        <f>SUM($AS307:AX307)</f>
        <v>0</v>
      </c>
      <c r="BW307" s="482">
        <f>SUM($AS307:AY307)</f>
        <v>0</v>
      </c>
      <c r="BX307" s="482">
        <f>SUM($AS307:AZ307)</f>
        <v>0</v>
      </c>
      <c r="BY307" s="482">
        <f>SUM($AS307:BA307)</f>
        <v>0</v>
      </c>
      <c r="BZ307" s="482">
        <f>SUM($AS307:BB307)</f>
        <v>0</v>
      </c>
      <c r="CA307" s="482">
        <f>SUM($AS307:BC307)</f>
        <v>0</v>
      </c>
      <c r="CB307" s="483">
        <f>SUM($AS307:BD307)</f>
        <v>0</v>
      </c>
    </row>
    <row r="308" spans="1:80" s="471" customFormat="1" ht="12.75" hidden="1" customHeight="1">
      <c r="A308" s="471">
        <f t="shared" si="28"/>
        <v>299</v>
      </c>
      <c r="B308" s="628"/>
      <c r="C308" s="533"/>
      <c r="D308" s="533"/>
      <c r="E308" s="427"/>
      <c r="F308" s="586"/>
      <c r="G308" s="629"/>
      <c r="H308" s="582">
        <f t="shared" si="31"/>
        <v>301</v>
      </c>
      <c r="I308" s="524"/>
      <c r="J308" s="473"/>
      <c r="K308" s="473"/>
      <c r="L308" s="473"/>
      <c r="M308" s="473"/>
      <c r="N308" s="473"/>
      <c r="O308" s="473"/>
      <c r="P308" s="473"/>
      <c r="Q308" s="473"/>
      <c r="R308" s="473"/>
      <c r="S308" s="473"/>
      <c r="T308" s="474"/>
      <c r="U308" s="475"/>
      <c r="V308" s="473"/>
      <c r="W308" s="473"/>
      <c r="X308" s="473"/>
      <c r="Y308" s="473"/>
      <c r="Z308" s="473"/>
      <c r="AA308" s="473"/>
      <c r="AB308" s="473"/>
      <c r="AC308" s="473"/>
      <c r="AD308" s="473"/>
      <c r="AE308" s="473"/>
      <c r="AF308" s="473"/>
      <c r="AG308" s="510"/>
      <c r="AH308" s="495"/>
      <c r="AI308" s="495"/>
      <c r="AJ308" s="495"/>
      <c r="AK308" s="495"/>
      <c r="AL308" s="495"/>
      <c r="AM308" s="495"/>
      <c r="AN308" s="495"/>
      <c r="AO308" s="495"/>
      <c r="AP308" s="495"/>
      <c r="AQ308" s="495"/>
      <c r="AR308" s="497"/>
      <c r="AS308" s="509"/>
      <c r="AT308" s="495"/>
      <c r="AU308" s="495"/>
      <c r="AV308" s="480"/>
      <c r="AW308" s="496"/>
      <c r="AX308" s="495"/>
      <c r="AY308" s="495"/>
      <c r="AZ308" s="496"/>
      <c r="BA308" s="496"/>
      <c r="BB308" s="496"/>
      <c r="BC308" s="496"/>
      <c r="BD308" s="511"/>
      <c r="BE308" s="482">
        <f t="shared" si="32"/>
        <v>0</v>
      </c>
      <c r="BF308" s="482">
        <f>SUM($U308:V308)</f>
        <v>0</v>
      </c>
      <c r="BG308" s="482">
        <f>SUM($U308:W308)</f>
        <v>0</v>
      </c>
      <c r="BH308" s="482">
        <f>SUM($U308:X308)</f>
        <v>0</v>
      </c>
      <c r="BI308" s="482">
        <f>SUM($U308:Y308)</f>
        <v>0</v>
      </c>
      <c r="BJ308" s="482">
        <f>SUM($U308:Z308)</f>
        <v>0</v>
      </c>
      <c r="BK308" s="482">
        <f>SUM($U308:AA308)</f>
        <v>0</v>
      </c>
      <c r="BL308" s="482">
        <f>SUM($U308:AB308)</f>
        <v>0</v>
      </c>
      <c r="BM308" s="482">
        <f>SUM($U308:AC308)</f>
        <v>0</v>
      </c>
      <c r="BN308" s="482">
        <f>SUM($U308:AD308)</f>
        <v>0</v>
      </c>
      <c r="BO308" s="482">
        <f>SUM($U308:AE308)</f>
        <v>0</v>
      </c>
      <c r="BP308" s="483">
        <f>SUM($U308:AF308)</f>
        <v>0</v>
      </c>
      <c r="BQ308" s="484">
        <f t="shared" si="33"/>
        <v>0</v>
      </c>
      <c r="BR308" s="482">
        <f>SUM($AS308:AT308)</f>
        <v>0</v>
      </c>
      <c r="BS308" s="482">
        <f>SUM($AS308:AU308)</f>
        <v>0</v>
      </c>
      <c r="BT308" s="482">
        <f>SUM($AS308:AV308)</f>
        <v>0</v>
      </c>
      <c r="BU308" s="482">
        <f>SUM($AS308:AW308)</f>
        <v>0</v>
      </c>
      <c r="BV308" s="482">
        <f>SUM($AS308:AX308)</f>
        <v>0</v>
      </c>
      <c r="BW308" s="482">
        <f>SUM($AS308:AY308)</f>
        <v>0</v>
      </c>
      <c r="BX308" s="482">
        <f>SUM($AS308:AZ308)</f>
        <v>0</v>
      </c>
      <c r="BY308" s="482">
        <f>SUM($AS308:BA308)</f>
        <v>0</v>
      </c>
      <c r="BZ308" s="482">
        <f>SUM($AS308:BB308)</f>
        <v>0</v>
      </c>
      <c r="CA308" s="482">
        <f>SUM($AS308:BC308)</f>
        <v>0</v>
      </c>
      <c r="CB308" s="483">
        <f>SUM($AS308:BD308)</f>
        <v>0</v>
      </c>
    </row>
    <row r="309" spans="1:80" s="471" customFormat="1" ht="12.75" hidden="1" customHeight="1">
      <c r="A309" s="471">
        <f t="shared" si="28"/>
        <v>300</v>
      </c>
      <c r="B309" s="628"/>
      <c r="C309" s="533"/>
      <c r="D309" s="533"/>
      <c r="E309" s="427"/>
      <c r="F309" s="586"/>
      <c r="G309" s="629"/>
      <c r="H309" s="582">
        <f t="shared" si="31"/>
        <v>302</v>
      </c>
      <c r="I309" s="524"/>
      <c r="J309" s="473"/>
      <c r="K309" s="473"/>
      <c r="L309" s="473"/>
      <c r="M309" s="473"/>
      <c r="N309" s="473"/>
      <c r="O309" s="473"/>
      <c r="P309" s="473"/>
      <c r="Q309" s="473"/>
      <c r="R309" s="473"/>
      <c r="S309" s="473"/>
      <c r="T309" s="474"/>
      <c r="U309" s="475"/>
      <c r="V309" s="473"/>
      <c r="W309" s="473"/>
      <c r="X309" s="473"/>
      <c r="Y309" s="473"/>
      <c r="Z309" s="473"/>
      <c r="AA309" s="473"/>
      <c r="AB309" s="473"/>
      <c r="AC309" s="473"/>
      <c r="AD309" s="473"/>
      <c r="AE309" s="473"/>
      <c r="AF309" s="473"/>
      <c r="AG309" s="510"/>
      <c r="AH309" s="495"/>
      <c r="AI309" s="495"/>
      <c r="AJ309" s="495"/>
      <c r="AK309" s="495"/>
      <c r="AL309" s="495"/>
      <c r="AM309" s="495"/>
      <c r="AN309" s="495"/>
      <c r="AO309" s="495"/>
      <c r="AP309" s="495"/>
      <c r="AQ309" s="495"/>
      <c r="AR309" s="497"/>
      <c r="AS309" s="509"/>
      <c r="AT309" s="495"/>
      <c r="AU309" s="495"/>
      <c r="AV309" s="480"/>
      <c r="AW309" s="496"/>
      <c r="AX309" s="495"/>
      <c r="AY309" s="495"/>
      <c r="AZ309" s="496"/>
      <c r="BA309" s="496"/>
      <c r="BB309" s="496"/>
      <c r="BC309" s="496"/>
      <c r="BD309" s="511"/>
      <c r="BE309" s="482">
        <f t="shared" si="32"/>
        <v>0</v>
      </c>
      <c r="BF309" s="482">
        <f>SUM($U309:V309)</f>
        <v>0</v>
      </c>
      <c r="BG309" s="482">
        <f>SUM($U309:W309)</f>
        <v>0</v>
      </c>
      <c r="BH309" s="482">
        <f>SUM($U309:X309)</f>
        <v>0</v>
      </c>
      <c r="BI309" s="482">
        <f>SUM($U309:Y309)</f>
        <v>0</v>
      </c>
      <c r="BJ309" s="482">
        <f>SUM($U309:Z309)</f>
        <v>0</v>
      </c>
      <c r="BK309" s="482">
        <f>SUM($U309:AA309)</f>
        <v>0</v>
      </c>
      <c r="BL309" s="482">
        <f>SUM($U309:AB309)</f>
        <v>0</v>
      </c>
      <c r="BM309" s="482">
        <f>SUM($U309:AC309)</f>
        <v>0</v>
      </c>
      <c r="BN309" s="482">
        <f>SUM($U309:AD309)</f>
        <v>0</v>
      </c>
      <c r="BO309" s="482">
        <f>SUM($U309:AE309)</f>
        <v>0</v>
      </c>
      <c r="BP309" s="483">
        <f>SUM($U309:AF309)</f>
        <v>0</v>
      </c>
      <c r="BQ309" s="484">
        <f t="shared" si="33"/>
        <v>0</v>
      </c>
      <c r="BR309" s="482">
        <f>SUM($AS309:AT309)</f>
        <v>0</v>
      </c>
      <c r="BS309" s="482">
        <f>SUM($AS309:AU309)</f>
        <v>0</v>
      </c>
      <c r="BT309" s="482">
        <f>SUM($AS309:AV309)</f>
        <v>0</v>
      </c>
      <c r="BU309" s="482">
        <f>SUM($AS309:AW309)</f>
        <v>0</v>
      </c>
      <c r="BV309" s="482">
        <f>SUM($AS309:AX309)</f>
        <v>0</v>
      </c>
      <c r="BW309" s="482">
        <f>SUM($AS309:AY309)</f>
        <v>0</v>
      </c>
      <c r="BX309" s="482">
        <f>SUM($AS309:AZ309)</f>
        <v>0</v>
      </c>
      <c r="BY309" s="482">
        <f>SUM($AS309:BA309)</f>
        <v>0</v>
      </c>
      <c r="BZ309" s="482">
        <f>SUM($AS309:BB309)</f>
        <v>0</v>
      </c>
      <c r="CA309" s="482">
        <f>SUM($AS309:BC309)</f>
        <v>0</v>
      </c>
      <c r="CB309" s="483">
        <f>SUM($AS309:BD309)</f>
        <v>0</v>
      </c>
    </row>
    <row r="310" spans="1:80" s="471" customFormat="1" ht="12.75" hidden="1" customHeight="1">
      <c r="A310" s="471">
        <f t="shared" si="28"/>
        <v>301</v>
      </c>
      <c r="B310" s="628"/>
      <c r="C310" s="533"/>
      <c r="D310" s="533"/>
      <c r="E310" s="427"/>
      <c r="F310" s="586"/>
      <c r="G310" s="629"/>
      <c r="H310" s="582">
        <f t="shared" si="31"/>
        <v>303</v>
      </c>
      <c r="I310" s="524"/>
      <c r="J310" s="473"/>
      <c r="K310" s="473"/>
      <c r="L310" s="473"/>
      <c r="M310" s="473"/>
      <c r="N310" s="473"/>
      <c r="O310" s="473"/>
      <c r="P310" s="473"/>
      <c r="Q310" s="473"/>
      <c r="R310" s="473"/>
      <c r="S310" s="473"/>
      <c r="T310" s="474"/>
      <c r="U310" s="475"/>
      <c r="V310" s="473"/>
      <c r="W310" s="473"/>
      <c r="X310" s="473"/>
      <c r="Y310" s="473"/>
      <c r="Z310" s="473"/>
      <c r="AA310" s="473"/>
      <c r="AB310" s="473"/>
      <c r="AC310" s="473"/>
      <c r="AD310" s="473"/>
      <c r="AE310" s="473"/>
      <c r="AF310" s="473"/>
      <c r="AG310" s="510"/>
      <c r="AH310" s="495"/>
      <c r="AI310" s="495"/>
      <c r="AJ310" s="495"/>
      <c r="AK310" s="495"/>
      <c r="AL310" s="495"/>
      <c r="AM310" s="495"/>
      <c r="AN310" s="495"/>
      <c r="AO310" s="495"/>
      <c r="AP310" s="495"/>
      <c r="AQ310" s="495"/>
      <c r="AR310" s="497"/>
      <c r="AS310" s="509"/>
      <c r="AT310" s="495"/>
      <c r="AU310" s="495"/>
      <c r="AV310" s="480"/>
      <c r="AW310" s="496"/>
      <c r="AX310" s="495"/>
      <c r="AY310" s="495"/>
      <c r="AZ310" s="496"/>
      <c r="BA310" s="496"/>
      <c r="BB310" s="496"/>
      <c r="BC310" s="496"/>
      <c r="BD310" s="511"/>
      <c r="BE310" s="482">
        <f t="shared" si="32"/>
        <v>0</v>
      </c>
      <c r="BF310" s="482">
        <f>SUM($U310:V310)</f>
        <v>0</v>
      </c>
      <c r="BG310" s="482">
        <f>SUM($U310:W310)</f>
        <v>0</v>
      </c>
      <c r="BH310" s="482">
        <f>SUM($U310:X310)</f>
        <v>0</v>
      </c>
      <c r="BI310" s="482">
        <f>SUM($U310:Y310)</f>
        <v>0</v>
      </c>
      <c r="BJ310" s="482">
        <f>SUM($U310:Z310)</f>
        <v>0</v>
      </c>
      <c r="BK310" s="482">
        <f>SUM($U310:AA310)</f>
        <v>0</v>
      </c>
      <c r="BL310" s="482">
        <f>SUM($U310:AB310)</f>
        <v>0</v>
      </c>
      <c r="BM310" s="482">
        <f>SUM($U310:AC310)</f>
        <v>0</v>
      </c>
      <c r="BN310" s="482">
        <f>SUM($U310:AD310)</f>
        <v>0</v>
      </c>
      <c r="BO310" s="482">
        <f>SUM($U310:AE310)</f>
        <v>0</v>
      </c>
      <c r="BP310" s="483">
        <f>SUM($U310:AF310)</f>
        <v>0</v>
      </c>
      <c r="BQ310" s="484">
        <f t="shared" si="33"/>
        <v>0</v>
      </c>
      <c r="BR310" s="482">
        <f>SUM($AS310:AT310)</f>
        <v>0</v>
      </c>
      <c r="BS310" s="482">
        <f>SUM($AS310:AU310)</f>
        <v>0</v>
      </c>
      <c r="BT310" s="482">
        <f>SUM($AS310:AV310)</f>
        <v>0</v>
      </c>
      <c r="BU310" s="482">
        <f>SUM($AS310:AW310)</f>
        <v>0</v>
      </c>
      <c r="BV310" s="482">
        <f>SUM($AS310:AX310)</f>
        <v>0</v>
      </c>
      <c r="BW310" s="482">
        <f>SUM($AS310:AY310)</f>
        <v>0</v>
      </c>
      <c r="BX310" s="482">
        <f>SUM($AS310:AZ310)</f>
        <v>0</v>
      </c>
      <c r="BY310" s="482">
        <f>SUM($AS310:BA310)</f>
        <v>0</v>
      </c>
      <c r="BZ310" s="482">
        <f>SUM($AS310:BB310)</f>
        <v>0</v>
      </c>
      <c r="CA310" s="482">
        <f>SUM($AS310:BC310)</f>
        <v>0</v>
      </c>
      <c r="CB310" s="483">
        <f>SUM($AS310:BD310)</f>
        <v>0</v>
      </c>
    </row>
    <row r="311" spans="1:80" s="471" customFormat="1" ht="12.75" hidden="1" customHeight="1">
      <c r="A311" s="471">
        <f t="shared" si="28"/>
        <v>302</v>
      </c>
      <c r="B311" s="628"/>
      <c r="C311" s="533"/>
      <c r="D311" s="533"/>
      <c r="E311" s="427"/>
      <c r="F311" s="586"/>
      <c r="G311" s="629"/>
      <c r="H311" s="582">
        <f t="shared" si="31"/>
        <v>304</v>
      </c>
      <c r="I311" s="524"/>
      <c r="J311" s="473"/>
      <c r="K311" s="473"/>
      <c r="L311" s="473"/>
      <c r="M311" s="473"/>
      <c r="N311" s="473"/>
      <c r="O311" s="473"/>
      <c r="P311" s="473"/>
      <c r="Q311" s="473"/>
      <c r="R311" s="473"/>
      <c r="S311" s="473"/>
      <c r="T311" s="474"/>
      <c r="U311" s="475"/>
      <c r="V311" s="473"/>
      <c r="W311" s="473"/>
      <c r="X311" s="473"/>
      <c r="Y311" s="473"/>
      <c r="Z311" s="473"/>
      <c r="AA311" s="473"/>
      <c r="AB311" s="473"/>
      <c r="AC311" s="473"/>
      <c r="AD311" s="473"/>
      <c r="AE311" s="473"/>
      <c r="AF311" s="473"/>
      <c r="AG311" s="510"/>
      <c r="AH311" s="495"/>
      <c r="AI311" s="495"/>
      <c r="AJ311" s="495"/>
      <c r="AK311" s="495"/>
      <c r="AL311" s="495"/>
      <c r="AM311" s="495"/>
      <c r="AN311" s="495"/>
      <c r="AO311" s="495"/>
      <c r="AP311" s="495"/>
      <c r="AQ311" s="495"/>
      <c r="AR311" s="497"/>
      <c r="AS311" s="509"/>
      <c r="AT311" s="495"/>
      <c r="AU311" s="495"/>
      <c r="AV311" s="480"/>
      <c r="AW311" s="496"/>
      <c r="AX311" s="495"/>
      <c r="AY311" s="495"/>
      <c r="AZ311" s="496"/>
      <c r="BA311" s="496"/>
      <c r="BB311" s="496"/>
      <c r="BC311" s="496"/>
      <c r="BD311" s="511"/>
      <c r="BE311" s="482">
        <f t="shared" si="32"/>
        <v>0</v>
      </c>
      <c r="BF311" s="482">
        <f>SUM($U311:V311)</f>
        <v>0</v>
      </c>
      <c r="BG311" s="482">
        <f>SUM($U311:W311)</f>
        <v>0</v>
      </c>
      <c r="BH311" s="482">
        <f>SUM($U311:X311)</f>
        <v>0</v>
      </c>
      <c r="BI311" s="482">
        <f>SUM($U311:Y311)</f>
        <v>0</v>
      </c>
      <c r="BJ311" s="482">
        <f>SUM($U311:Z311)</f>
        <v>0</v>
      </c>
      <c r="BK311" s="482">
        <f>SUM($U311:AA311)</f>
        <v>0</v>
      </c>
      <c r="BL311" s="482">
        <f>SUM($U311:AB311)</f>
        <v>0</v>
      </c>
      <c r="BM311" s="482">
        <f>SUM($U311:AC311)</f>
        <v>0</v>
      </c>
      <c r="BN311" s="482">
        <f>SUM($U311:AD311)</f>
        <v>0</v>
      </c>
      <c r="BO311" s="482">
        <f>SUM($U311:AE311)</f>
        <v>0</v>
      </c>
      <c r="BP311" s="483">
        <f>SUM($U311:AF311)</f>
        <v>0</v>
      </c>
      <c r="BQ311" s="484">
        <f t="shared" si="33"/>
        <v>0</v>
      </c>
      <c r="BR311" s="482">
        <f>SUM($AS311:AT311)</f>
        <v>0</v>
      </c>
      <c r="BS311" s="482">
        <f>SUM($AS311:AU311)</f>
        <v>0</v>
      </c>
      <c r="BT311" s="482">
        <f>SUM($AS311:AV311)</f>
        <v>0</v>
      </c>
      <c r="BU311" s="482">
        <f>SUM($AS311:AW311)</f>
        <v>0</v>
      </c>
      <c r="BV311" s="482">
        <f>SUM($AS311:AX311)</f>
        <v>0</v>
      </c>
      <c r="BW311" s="482">
        <f>SUM($AS311:AY311)</f>
        <v>0</v>
      </c>
      <c r="BX311" s="482">
        <f>SUM($AS311:AZ311)</f>
        <v>0</v>
      </c>
      <c r="BY311" s="482">
        <f>SUM($AS311:BA311)</f>
        <v>0</v>
      </c>
      <c r="BZ311" s="482">
        <f>SUM($AS311:BB311)</f>
        <v>0</v>
      </c>
      <c r="CA311" s="482">
        <f>SUM($AS311:BC311)</f>
        <v>0</v>
      </c>
      <c r="CB311" s="483">
        <f>SUM($AS311:BD311)</f>
        <v>0</v>
      </c>
    </row>
    <row r="312" spans="1:80" s="471" customFormat="1" ht="12.75" hidden="1" customHeight="1">
      <c r="A312" s="471">
        <f t="shared" si="28"/>
        <v>303</v>
      </c>
      <c r="B312" s="628"/>
      <c r="C312" s="533"/>
      <c r="D312" s="533"/>
      <c r="E312" s="427"/>
      <c r="F312" s="586"/>
      <c r="G312" s="629"/>
      <c r="H312" s="582">
        <f t="shared" si="31"/>
        <v>305</v>
      </c>
      <c r="I312" s="524"/>
      <c r="J312" s="473"/>
      <c r="K312" s="473"/>
      <c r="L312" s="473"/>
      <c r="M312" s="473"/>
      <c r="N312" s="473"/>
      <c r="O312" s="473"/>
      <c r="P312" s="473"/>
      <c r="Q312" s="473"/>
      <c r="R312" s="473"/>
      <c r="S312" s="473"/>
      <c r="T312" s="474"/>
      <c r="U312" s="475"/>
      <c r="V312" s="473"/>
      <c r="W312" s="473"/>
      <c r="X312" s="473"/>
      <c r="Y312" s="473"/>
      <c r="Z312" s="473"/>
      <c r="AA312" s="473"/>
      <c r="AB312" s="473"/>
      <c r="AC312" s="473"/>
      <c r="AD312" s="473"/>
      <c r="AE312" s="473"/>
      <c r="AF312" s="473"/>
      <c r="AG312" s="510"/>
      <c r="AH312" s="495"/>
      <c r="AI312" s="495"/>
      <c r="AJ312" s="495"/>
      <c r="AK312" s="495"/>
      <c r="AL312" s="495"/>
      <c r="AM312" s="495"/>
      <c r="AN312" s="495"/>
      <c r="AO312" s="495"/>
      <c r="AP312" s="495"/>
      <c r="AQ312" s="495"/>
      <c r="AR312" s="497"/>
      <c r="AS312" s="509"/>
      <c r="AT312" s="495"/>
      <c r="AU312" s="495"/>
      <c r="AV312" s="480"/>
      <c r="AW312" s="496"/>
      <c r="AX312" s="495"/>
      <c r="AY312" s="495"/>
      <c r="AZ312" s="496"/>
      <c r="BA312" s="496"/>
      <c r="BB312" s="496"/>
      <c r="BC312" s="496"/>
      <c r="BD312" s="511"/>
      <c r="BE312" s="482">
        <f t="shared" si="32"/>
        <v>0</v>
      </c>
      <c r="BF312" s="482">
        <f>SUM($U312:V312)</f>
        <v>0</v>
      </c>
      <c r="BG312" s="482">
        <f>SUM($U312:W312)</f>
        <v>0</v>
      </c>
      <c r="BH312" s="482">
        <f>SUM($U312:X312)</f>
        <v>0</v>
      </c>
      <c r="BI312" s="482">
        <f>SUM($U312:Y312)</f>
        <v>0</v>
      </c>
      <c r="BJ312" s="482">
        <f>SUM($U312:Z312)</f>
        <v>0</v>
      </c>
      <c r="BK312" s="482">
        <f>SUM($U312:AA312)</f>
        <v>0</v>
      </c>
      <c r="BL312" s="482">
        <f>SUM($U312:AB312)</f>
        <v>0</v>
      </c>
      <c r="BM312" s="482">
        <f>SUM($U312:AC312)</f>
        <v>0</v>
      </c>
      <c r="BN312" s="482">
        <f>SUM($U312:AD312)</f>
        <v>0</v>
      </c>
      <c r="BO312" s="482">
        <f>SUM($U312:AE312)</f>
        <v>0</v>
      </c>
      <c r="BP312" s="483">
        <f>SUM($U312:AF312)</f>
        <v>0</v>
      </c>
      <c r="BQ312" s="484">
        <f t="shared" si="33"/>
        <v>0</v>
      </c>
      <c r="BR312" s="482">
        <f>SUM($AS312:AT312)</f>
        <v>0</v>
      </c>
      <c r="BS312" s="482">
        <f>SUM($AS312:AU312)</f>
        <v>0</v>
      </c>
      <c r="BT312" s="482">
        <f>SUM($AS312:AV312)</f>
        <v>0</v>
      </c>
      <c r="BU312" s="482">
        <f>SUM($AS312:AW312)</f>
        <v>0</v>
      </c>
      <c r="BV312" s="482">
        <f>SUM($AS312:AX312)</f>
        <v>0</v>
      </c>
      <c r="BW312" s="482">
        <f>SUM($AS312:AY312)</f>
        <v>0</v>
      </c>
      <c r="BX312" s="482">
        <f>SUM($AS312:AZ312)</f>
        <v>0</v>
      </c>
      <c r="BY312" s="482">
        <f>SUM($AS312:BA312)</f>
        <v>0</v>
      </c>
      <c r="BZ312" s="482">
        <f>SUM($AS312:BB312)</f>
        <v>0</v>
      </c>
      <c r="CA312" s="482">
        <f>SUM($AS312:BC312)</f>
        <v>0</v>
      </c>
      <c r="CB312" s="483">
        <f>SUM($AS312:BD312)</f>
        <v>0</v>
      </c>
    </row>
    <row r="313" spans="1:80" s="471" customFormat="1" ht="12.75" hidden="1" customHeight="1">
      <c r="A313" s="471">
        <f t="shared" si="28"/>
        <v>304</v>
      </c>
      <c r="B313" s="628"/>
      <c r="C313" s="533"/>
      <c r="D313" s="533"/>
      <c r="E313" s="427"/>
      <c r="F313" s="586"/>
      <c r="G313" s="629"/>
      <c r="H313" s="582">
        <f t="shared" si="31"/>
        <v>306</v>
      </c>
      <c r="I313" s="524"/>
      <c r="J313" s="473"/>
      <c r="K313" s="473"/>
      <c r="L313" s="473"/>
      <c r="M313" s="473"/>
      <c r="N313" s="473"/>
      <c r="O313" s="473"/>
      <c r="P313" s="473"/>
      <c r="Q313" s="473"/>
      <c r="R313" s="473"/>
      <c r="S313" s="473"/>
      <c r="T313" s="474"/>
      <c r="U313" s="475"/>
      <c r="V313" s="473"/>
      <c r="W313" s="473"/>
      <c r="X313" s="473"/>
      <c r="Y313" s="473"/>
      <c r="Z313" s="473"/>
      <c r="AA313" s="473"/>
      <c r="AB313" s="473"/>
      <c r="AC313" s="473"/>
      <c r="AD313" s="473"/>
      <c r="AE313" s="473"/>
      <c r="AF313" s="473"/>
      <c r="AG313" s="510"/>
      <c r="AH313" s="495"/>
      <c r="AI313" s="495"/>
      <c r="AJ313" s="495"/>
      <c r="AK313" s="495"/>
      <c r="AL313" s="495"/>
      <c r="AM313" s="495"/>
      <c r="AN313" s="495"/>
      <c r="AO313" s="495"/>
      <c r="AP313" s="495"/>
      <c r="AQ313" s="495"/>
      <c r="AR313" s="497"/>
      <c r="AS313" s="509"/>
      <c r="AT313" s="495"/>
      <c r="AU313" s="495"/>
      <c r="AV313" s="480"/>
      <c r="AW313" s="496"/>
      <c r="AX313" s="495"/>
      <c r="AY313" s="495"/>
      <c r="AZ313" s="496"/>
      <c r="BA313" s="496"/>
      <c r="BB313" s="496"/>
      <c r="BC313" s="496"/>
      <c r="BD313" s="511"/>
      <c r="BE313" s="482">
        <f t="shared" si="32"/>
        <v>0</v>
      </c>
      <c r="BF313" s="482">
        <f>SUM($U313:V313)</f>
        <v>0</v>
      </c>
      <c r="BG313" s="482">
        <f>SUM($U313:W313)</f>
        <v>0</v>
      </c>
      <c r="BH313" s="482">
        <f>SUM($U313:X313)</f>
        <v>0</v>
      </c>
      <c r="BI313" s="482">
        <f>SUM($U313:Y313)</f>
        <v>0</v>
      </c>
      <c r="BJ313" s="482">
        <f>SUM($U313:Z313)</f>
        <v>0</v>
      </c>
      <c r="BK313" s="482">
        <f>SUM($U313:AA313)</f>
        <v>0</v>
      </c>
      <c r="BL313" s="482">
        <f>SUM($U313:AB313)</f>
        <v>0</v>
      </c>
      <c r="BM313" s="482">
        <f>SUM($U313:AC313)</f>
        <v>0</v>
      </c>
      <c r="BN313" s="482">
        <f>SUM($U313:AD313)</f>
        <v>0</v>
      </c>
      <c r="BO313" s="482">
        <f>SUM($U313:AE313)</f>
        <v>0</v>
      </c>
      <c r="BP313" s="483">
        <f>SUM($U313:AF313)</f>
        <v>0</v>
      </c>
      <c r="BQ313" s="484">
        <f t="shared" si="33"/>
        <v>0</v>
      </c>
      <c r="BR313" s="482">
        <f>SUM($AS313:AT313)</f>
        <v>0</v>
      </c>
      <c r="BS313" s="482">
        <f>SUM($AS313:AU313)</f>
        <v>0</v>
      </c>
      <c r="BT313" s="482">
        <f>SUM($AS313:AV313)</f>
        <v>0</v>
      </c>
      <c r="BU313" s="482">
        <f>SUM($AS313:AW313)</f>
        <v>0</v>
      </c>
      <c r="BV313" s="482">
        <f>SUM($AS313:AX313)</f>
        <v>0</v>
      </c>
      <c r="BW313" s="482">
        <f>SUM($AS313:AY313)</f>
        <v>0</v>
      </c>
      <c r="BX313" s="482">
        <f>SUM($AS313:AZ313)</f>
        <v>0</v>
      </c>
      <c r="BY313" s="482">
        <f>SUM($AS313:BA313)</f>
        <v>0</v>
      </c>
      <c r="BZ313" s="482">
        <f>SUM($AS313:BB313)</f>
        <v>0</v>
      </c>
      <c r="CA313" s="482">
        <f>SUM($AS313:BC313)</f>
        <v>0</v>
      </c>
      <c r="CB313" s="483">
        <f>SUM($AS313:BD313)</f>
        <v>0</v>
      </c>
    </row>
    <row r="314" spans="1:80" s="471" customFormat="1" ht="12.75" hidden="1" customHeight="1">
      <c r="A314" s="471">
        <f t="shared" si="28"/>
        <v>305</v>
      </c>
      <c r="B314" s="628"/>
      <c r="C314" s="533"/>
      <c r="D314" s="533"/>
      <c r="E314" s="427"/>
      <c r="F314" s="586"/>
      <c r="G314" s="629"/>
      <c r="H314" s="582">
        <f t="shared" si="31"/>
        <v>307</v>
      </c>
      <c r="I314" s="524"/>
      <c r="J314" s="473"/>
      <c r="K314" s="473"/>
      <c r="L314" s="473"/>
      <c r="M314" s="473"/>
      <c r="N314" s="473"/>
      <c r="O314" s="473"/>
      <c r="P314" s="473"/>
      <c r="Q314" s="473"/>
      <c r="R314" s="473"/>
      <c r="S314" s="473"/>
      <c r="T314" s="474"/>
      <c r="U314" s="475"/>
      <c r="V314" s="473"/>
      <c r="W314" s="473"/>
      <c r="X314" s="473"/>
      <c r="Y314" s="473"/>
      <c r="Z314" s="473"/>
      <c r="AA314" s="473"/>
      <c r="AB314" s="473"/>
      <c r="AC314" s="473"/>
      <c r="AD314" s="473"/>
      <c r="AE314" s="473"/>
      <c r="AF314" s="473"/>
      <c r="AG314" s="510"/>
      <c r="AH314" s="495"/>
      <c r="AI314" s="495"/>
      <c r="AJ314" s="495"/>
      <c r="AK314" s="495"/>
      <c r="AL314" s="495"/>
      <c r="AM314" s="495"/>
      <c r="AN314" s="495"/>
      <c r="AO314" s="495"/>
      <c r="AP314" s="495"/>
      <c r="AQ314" s="495"/>
      <c r="AR314" s="497"/>
      <c r="AS314" s="509"/>
      <c r="AT314" s="495"/>
      <c r="AU314" s="495"/>
      <c r="AV314" s="480"/>
      <c r="AW314" s="496"/>
      <c r="AX314" s="495"/>
      <c r="AY314" s="495"/>
      <c r="AZ314" s="496"/>
      <c r="BA314" s="496"/>
      <c r="BB314" s="496"/>
      <c r="BC314" s="496"/>
      <c r="BD314" s="511"/>
      <c r="BE314" s="482">
        <f t="shared" si="32"/>
        <v>0</v>
      </c>
      <c r="BF314" s="482">
        <f>SUM($U314:V314)</f>
        <v>0</v>
      </c>
      <c r="BG314" s="482">
        <f>SUM($U314:W314)</f>
        <v>0</v>
      </c>
      <c r="BH314" s="482">
        <f>SUM($U314:X314)</f>
        <v>0</v>
      </c>
      <c r="BI314" s="482">
        <f>SUM($U314:Y314)</f>
        <v>0</v>
      </c>
      <c r="BJ314" s="482">
        <f>SUM($U314:Z314)</f>
        <v>0</v>
      </c>
      <c r="BK314" s="482">
        <f>SUM($U314:AA314)</f>
        <v>0</v>
      </c>
      <c r="BL314" s="482">
        <f>SUM($U314:AB314)</f>
        <v>0</v>
      </c>
      <c r="BM314" s="482">
        <f>SUM($U314:AC314)</f>
        <v>0</v>
      </c>
      <c r="BN314" s="482">
        <f>SUM($U314:AD314)</f>
        <v>0</v>
      </c>
      <c r="BO314" s="482">
        <f>SUM($U314:AE314)</f>
        <v>0</v>
      </c>
      <c r="BP314" s="483">
        <f>SUM($U314:AF314)</f>
        <v>0</v>
      </c>
      <c r="BQ314" s="484">
        <f t="shared" si="33"/>
        <v>0</v>
      </c>
      <c r="BR314" s="482">
        <f>SUM($AS314:AT314)</f>
        <v>0</v>
      </c>
      <c r="BS314" s="482">
        <f>SUM($AS314:AU314)</f>
        <v>0</v>
      </c>
      <c r="BT314" s="482">
        <f>SUM($AS314:AV314)</f>
        <v>0</v>
      </c>
      <c r="BU314" s="482">
        <f>SUM($AS314:AW314)</f>
        <v>0</v>
      </c>
      <c r="BV314" s="482">
        <f>SUM($AS314:AX314)</f>
        <v>0</v>
      </c>
      <c r="BW314" s="482">
        <f>SUM($AS314:AY314)</f>
        <v>0</v>
      </c>
      <c r="BX314" s="482">
        <f>SUM($AS314:AZ314)</f>
        <v>0</v>
      </c>
      <c r="BY314" s="482">
        <f>SUM($AS314:BA314)</f>
        <v>0</v>
      </c>
      <c r="BZ314" s="482">
        <f>SUM($AS314:BB314)</f>
        <v>0</v>
      </c>
      <c r="CA314" s="482">
        <f>SUM($AS314:BC314)</f>
        <v>0</v>
      </c>
      <c r="CB314" s="483">
        <f>SUM($AS314:BD314)</f>
        <v>0</v>
      </c>
    </row>
    <row r="315" spans="1:80" s="471" customFormat="1" ht="12.75" hidden="1" customHeight="1">
      <c r="A315" s="471">
        <f t="shared" si="28"/>
        <v>306</v>
      </c>
      <c r="B315" s="628"/>
      <c r="C315" s="533"/>
      <c r="D315" s="533"/>
      <c r="E315" s="427"/>
      <c r="F315" s="586"/>
      <c r="G315" s="629"/>
      <c r="H315" s="582">
        <f t="shared" si="31"/>
        <v>308</v>
      </c>
      <c r="I315" s="524"/>
      <c r="J315" s="473"/>
      <c r="K315" s="473"/>
      <c r="L315" s="473"/>
      <c r="M315" s="473"/>
      <c r="N315" s="473"/>
      <c r="O315" s="473"/>
      <c r="P315" s="473"/>
      <c r="Q315" s="473"/>
      <c r="R315" s="473"/>
      <c r="S315" s="473"/>
      <c r="T315" s="474"/>
      <c r="U315" s="475"/>
      <c r="V315" s="473"/>
      <c r="W315" s="473"/>
      <c r="X315" s="473"/>
      <c r="Y315" s="473"/>
      <c r="Z315" s="473"/>
      <c r="AA315" s="473"/>
      <c r="AB315" s="473"/>
      <c r="AC315" s="473"/>
      <c r="AD315" s="473"/>
      <c r="AE315" s="473"/>
      <c r="AF315" s="473"/>
      <c r="AG315" s="510"/>
      <c r="AH315" s="495"/>
      <c r="AI315" s="495"/>
      <c r="AJ315" s="495"/>
      <c r="AK315" s="495"/>
      <c r="AL315" s="495"/>
      <c r="AM315" s="495"/>
      <c r="AN315" s="495"/>
      <c r="AO315" s="495"/>
      <c r="AP315" s="495"/>
      <c r="AQ315" s="495"/>
      <c r="AR315" s="497"/>
      <c r="AS315" s="509"/>
      <c r="AT315" s="495"/>
      <c r="AU315" s="495"/>
      <c r="AV315" s="480"/>
      <c r="AW315" s="496"/>
      <c r="AX315" s="495"/>
      <c r="AY315" s="495"/>
      <c r="AZ315" s="496"/>
      <c r="BA315" s="496"/>
      <c r="BB315" s="496"/>
      <c r="BC315" s="496"/>
      <c r="BD315" s="511"/>
      <c r="BE315" s="482">
        <f t="shared" si="32"/>
        <v>0</v>
      </c>
      <c r="BF315" s="482">
        <f>SUM($U315:V315)</f>
        <v>0</v>
      </c>
      <c r="BG315" s="482">
        <f>SUM($U315:W315)</f>
        <v>0</v>
      </c>
      <c r="BH315" s="482">
        <f>SUM($U315:X315)</f>
        <v>0</v>
      </c>
      <c r="BI315" s="482">
        <f>SUM($U315:Y315)</f>
        <v>0</v>
      </c>
      <c r="BJ315" s="482">
        <f>SUM($U315:Z315)</f>
        <v>0</v>
      </c>
      <c r="BK315" s="482">
        <f>SUM($U315:AA315)</f>
        <v>0</v>
      </c>
      <c r="BL315" s="482">
        <f>SUM($U315:AB315)</f>
        <v>0</v>
      </c>
      <c r="BM315" s="482">
        <f>SUM($U315:AC315)</f>
        <v>0</v>
      </c>
      <c r="BN315" s="482">
        <f>SUM($U315:AD315)</f>
        <v>0</v>
      </c>
      <c r="BO315" s="482">
        <f>SUM($U315:AE315)</f>
        <v>0</v>
      </c>
      <c r="BP315" s="483">
        <f>SUM($U315:AF315)</f>
        <v>0</v>
      </c>
      <c r="BQ315" s="484">
        <f t="shared" si="33"/>
        <v>0</v>
      </c>
      <c r="BR315" s="482">
        <f>SUM($AS315:AT315)</f>
        <v>0</v>
      </c>
      <c r="BS315" s="482">
        <f>SUM($AS315:AU315)</f>
        <v>0</v>
      </c>
      <c r="BT315" s="482">
        <f>SUM($AS315:AV315)</f>
        <v>0</v>
      </c>
      <c r="BU315" s="482">
        <f>SUM($AS315:AW315)</f>
        <v>0</v>
      </c>
      <c r="BV315" s="482">
        <f>SUM($AS315:AX315)</f>
        <v>0</v>
      </c>
      <c r="BW315" s="482">
        <f>SUM($AS315:AY315)</f>
        <v>0</v>
      </c>
      <c r="BX315" s="482">
        <f>SUM($AS315:AZ315)</f>
        <v>0</v>
      </c>
      <c r="BY315" s="482">
        <f>SUM($AS315:BA315)</f>
        <v>0</v>
      </c>
      <c r="BZ315" s="482">
        <f>SUM($AS315:BB315)</f>
        <v>0</v>
      </c>
      <c r="CA315" s="482">
        <f>SUM($AS315:BC315)</f>
        <v>0</v>
      </c>
      <c r="CB315" s="483">
        <f>SUM($AS315:BD315)</f>
        <v>0</v>
      </c>
    </row>
    <row r="316" spans="1:80" s="471" customFormat="1" ht="12.75" hidden="1" customHeight="1">
      <c r="A316" s="471">
        <f t="shared" si="28"/>
        <v>307</v>
      </c>
      <c r="B316" s="628"/>
      <c r="C316" s="533"/>
      <c r="D316" s="533"/>
      <c r="E316" s="427"/>
      <c r="F316" s="586"/>
      <c r="G316" s="629"/>
      <c r="H316" s="582">
        <f t="shared" si="31"/>
        <v>309</v>
      </c>
      <c r="I316" s="524"/>
      <c r="J316" s="473"/>
      <c r="K316" s="473"/>
      <c r="L316" s="473"/>
      <c r="M316" s="473"/>
      <c r="N316" s="473"/>
      <c r="O316" s="473"/>
      <c r="P316" s="473"/>
      <c r="Q316" s="473"/>
      <c r="R316" s="473"/>
      <c r="S316" s="473"/>
      <c r="T316" s="474"/>
      <c r="U316" s="475"/>
      <c r="V316" s="473"/>
      <c r="W316" s="473"/>
      <c r="X316" s="473"/>
      <c r="Y316" s="473"/>
      <c r="Z316" s="473"/>
      <c r="AA316" s="473"/>
      <c r="AB316" s="473"/>
      <c r="AC316" s="473"/>
      <c r="AD316" s="473"/>
      <c r="AE316" s="473"/>
      <c r="AF316" s="473"/>
      <c r="AG316" s="510"/>
      <c r="AH316" s="495"/>
      <c r="AI316" s="495"/>
      <c r="AJ316" s="495"/>
      <c r="AK316" s="495"/>
      <c r="AL316" s="495"/>
      <c r="AM316" s="495"/>
      <c r="AN316" s="495"/>
      <c r="AO316" s="495"/>
      <c r="AP316" s="495"/>
      <c r="AQ316" s="495"/>
      <c r="AR316" s="497"/>
      <c r="AS316" s="509"/>
      <c r="AT316" s="495"/>
      <c r="AU316" s="495"/>
      <c r="AV316" s="480"/>
      <c r="AW316" s="496"/>
      <c r="AX316" s="495"/>
      <c r="AY316" s="495"/>
      <c r="AZ316" s="496"/>
      <c r="BA316" s="496"/>
      <c r="BB316" s="496"/>
      <c r="BC316" s="496"/>
      <c r="BD316" s="511"/>
      <c r="BE316" s="482">
        <f t="shared" si="32"/>
        <v>0</v>
      </c>
      <c r="BF316" s="482">
        <f>SUM($U316:V316)</f>
        <v>0</v>
      </c>
      <c r="BG316" s="482">
        <f>SUM($U316:W316)</f>
        <v>0</v>
      </c>
      <c r="BH316" s="482">
        <f>SUM($U316:X316)</f>
        <v>0</v>
      </c>
      <c r="BI316" s="482">
        <f>SUM($U316:Y316)</f>
        <v>0</v>
      </c>
      <c r="BJ316" s="482">
        <f>SUM($U316:Z316)</f>
        <v>0</v>
      </c>
      <c r="BK316" s="482">
        <f>SUM($U316:AA316)</f>
        <v>0</v>
      </c>
      <c r="BL316" s="482">
        <f>SUM($U316:AB316)</f>
        <v>0</v>
      </c>
      <c r="BM316" s="482">
        <f>SUM($U316:AC316)</f>
        <v>0</v>
      </c>
      <c r="BN316" s="482">
        <f>SUM($U316:AD316)</f>
        <v>0</v>
      </c>
      <c r="BO316" s="482">
        <f>SUM($U316:AE316)</f>
        <v>0</v>
      </c>
      <c r="BP316" s="483">
        <f>SUM($U316:AF316)</f>
        <v>0</v>
      </c>
      <c r="BQ316" s="484">
        <f t="shared" si="33"/>
        <v>0</v>
      </c>
      <c r="BR316" s="482">
        <f>SUM($AS316:AT316)</f>
        <v>0</v>
      </c>
      <c r="BS316" s="482">
        <f>SUM($AS316:AU316)</f>
        <v>0</v>
      </c>
      <c r="BT316" s="482">
        <f>SUM($AS316:AV316)</f>
        <v>0</v>
      </c>
      <c r="BU316" s="482">
        <f>SUM($AS316:AW316)</f>
        <v>0</v>
      </c>
      <c r="BV316" s="482">
        <f>SUM($AS316:AX316)</f>
        <v>0</v>
      </c>
      <c r="BW316" s="482">
        <f>SUM($AS316:AY316)</f>
        <v>0</v>
      </c>
      <c r="BX316" s="482">
        <f>SUM($AS316:AZ316)</f>
        <v>0</v>
      </c>
      <c r="BY316" s="482">
        <f>SUM($AS316:BA316)</f>
        <v>0</v>
      </c>
      <c r="BZ316" s="482">
        <f>SUM($AS316:BB316)</f>
        <v>0</v>
      </c>
      <c r="CA316" s="482">
        <f>SUM($AS316:BC316)</f>
        <v>0</v>
      </c>
      <c r="CB316" s="483">
        <f>SUM($AS316:BD316)</f>
        <v>0</v>
      </c>
    </row>
    <row r="317" spans="1:80" s="471" customFormat="1" ht="12.75" hidden="1" customHeight="1">
      <c r="A317" s="471">
        <f t="shared" si="28"/>
        <v>308</v>
      </c>
      <c r="B317" s="628"/>
      <c r="C317" s="533"/>
      <c r="D317" s="533"/>
      <c r="E317" s="427"/>
      <c r="F317" s="586"/>
      <c r="G317" s="629"/>
      <c r="H317" s="582">
        <f t="shared" si="31"/>
        <v>310</v>
      </c>
      <c r="I317" s="524"/>
      <c r="J317" s="473"/>
      <c r="K317" s="473"/>
      <c r="L317" s="473"/>
      <c r="M317" s="473"/>
      <c r="N317" s="473"/>
      <c r="O317" s="473"/>
      <c r="P317" s="473"/>
      <c r="Q317" s="473"/>
      <c r="R317" s="473"/>
      <c r="S317" s="473"/>
      <c r="T317" s="474"/>
      <c r="U317" s="475"/>
      <c r="V317" s="473"/>
      <c r="W317" s="473"/>
      <c r="X317" s="473"/>
      <c r="Y317" s="473"/>
      <c r="Z317" s="473"/>
      <c r="AA317" s="473"/>
      <c r="AB317" s="473"/>
      <c r="AC317" s="473"/>
      <c r="AD317" s="473"/>
      <c r="AE317" s="473"/>
      <c r="AF317" s="473"/>
      <c r="AG317" s="510"/>
      <c r="AH317" s="495"/>
      <c r="AI317" s="495"/>
      <c r="AJ317" s="495"/>
      <c r="AK317" s="495"/>
      <c r="AL317" s="495"/>
      <c r="AM317" s="495"/>
      <c r="AN317" s="495"/>
      <c r="AO317" s="495"/>
      <c r="AP317" s="495"/>
      <c r="AQ317" s="495"/>
      <c r="AR317" s="497"/>
      <c r="AS317" s="509"/>
      <c r="AT317" s="495"/>
      <c r="AU317" s="495"/>
      <c r="AV317" s="480"/>
      <c r="AW317" s="496"/>
      <c r="AX317" s="495"/>
      <c r="AY317" s="495"/>
      <c r="AZ317" s="496"/>
      <c r="BA317" s="496"/>
      <c r="BB317" s="496"/>
      <c r="BC317" s="496"/>
      <c r="BD317" s="511"/>
      <c r="BE317" s="482">
        <f t="shared" si="32"/>
        <v>0</v>
      </c>
      <c r="BF317" s="482">
        <f>SUM($U317:V317)</f>
        <v>0</v>
      </c>
      <c r="BG317" s="482">
        <f>SUM($U317:W317)</f>
        <v>0</v>
      </c>
      <c r="BH317" s="482">
        <f>SUM($U317:X317)</f>
        <v>0</v>
      </c>
      <c r="BI317" s="482">
        <f>SUM($U317:Y317)</f>
        <v>0</v>
      </c>
      <c r="BJ317" s="482">
        <f>SUM($U317:Z317)</f>
        <v>0</v>
      </c>
      <c r="BK317" s="482">
        <f>SUM($U317:AA317)</f>
        <v>0</v>
      </c>
      <c r="BL317" s="482">
        <f>SUM($U317:AB317)</f>
        <v>0</v>
      </c>
      <c r="BM317" s="482">
        <f>SUM($U317:AC317)</f>
        <v>0</v>
      </c>
      <c r="BN317" s="482">
        <f>SUM($U317:AD317)</f>
        <v>0</v>
      </c>
      <c r="BO317" s="482">
        <f>SUM($U317:AE317)</f>
        <v>0</v>
      </c>
      <c r="BP317" s="483">
        <f>SUM($U317:AF317)</f>
        <v>0</v>
      </c>
      <c r="BQ317" s="484">
        <f t="shared" si="33"/>
        <v>0</v>
      </c>
      <c r="BR317" s="482">
        <f>SUM($AS317:AT317)</f>
        <v>0</v>
      </c>
      <c r="BS317" s="482">
        <f>SUM($AS317:AU317)</f>
        <v>0</v>
      </c>
      <c r="BT317" s="482">
        <f>SUM($AS317:AV317)</f>
        <v>0</v>
      </c>
      <c r="BU317" s="482">
        <f>SUM($AS317:AW317)</f>
        <v>0</v>
      </c>
      <c r="BV317" s="482">
        <f>SUM($AS317:AX317)</f>
        <v>0</v>
      </c>
      <c r="BW317" s="482">
        <f>SUM($AS317:AY317)</f>
        <v>0</v>
      </c>
      <c r="BX317" s="482">
        <f>SUM($AS317:AZ317)</f>
        <v>0</v>
      </c>
      <c r="BY317" s="482">
        <f>SUM($AS317:BA317)</f>
        <v>0</v>
      </c>
      <c r="BZ317" s="482">
        <f>SUM($AS317:BB317)</f>
        <v>0</v>
      </c>
      <c r="CA317" s="482">
        <f>SUM($AS317:BC317)</f>
        <v>0</v>
      </c>
      <c r="CB317" s="483">
        <f>SUM($AS317:BD317)</f>
        <v>0</v>
      </c>
    </row>
    <row r="318" spans="1:80" s="471" customFormat="1" ht="12.75" hidden="1" customHeight="1">
      <c r="A318" s="471">
        <f t="shared" si="28"/>
        <v>309</v>
      </c>
      <c r="B318" s="628"/>
      <c r="C318" s="533"/>
      <c r="D318" s="533"/>
      <c r="E318" s="427"/>
      <c r="F318" s="586"/>
      <c r="G318" s="629"/>
      <c r="H318" s="582">
        <f t="shared" si="31"/>
        <v>311</v>
      </c>
      <c r="I318" s="524"/>
      <c r="J318" s="473"/>
      <c r="K318" s="473"/>
      <c r="L318" s="473"/>
      <c r="M318" s="473"/>
      <c r="N318" s="473"/>
      <c r="O318" s="473"/>
      <c r="P318" s="473"/>
      <c r="Q318" s="473"/>
      <c r="R318" s="473"/>
      <c r="S318" s="473"/>
      <c r="T318" s="474"/>
      <c r="U318" s="475"/>
      <c r="V318" s="473"/>
      <c r="W318" s="473"/>
      <c r="X318" s="473"/>
      <c r="Y318" s="473"/>
      <c r="Z318" s="473"/>
      <c r="AA318" s="473"/>
      <c r="AB318" s="473"/>
      <c r="AC318" s="473"/>
      <c r="AD318" s="473"/>
      <c r="AE318" s="473"/>
      <c r="AF318" s="473"/>
      <c r="AG318" s="510"/>
      <c r="AH318" s="495"/>
      <c r="AI318" s="495"/>
      <c r="AJ318" s="495"/>
      <c r="AK318" s="495"/>
      <c r="AL318" s="495"/>
      <c r="AM318" s="495"/>
      <c r="AN318" s="495"/>
      <c r="AO318" s="495"/>
      <c r="AP318" s="495"/>
      <c r="AQ318" s="495"/>
      <c r="AR318" s="497"/>
      <c r="AS318" s="509"/>
      <c r="AT318" s="495"/>
      <c r="AU318" s="495"/>
      <c r="AV318" s="480"/>
      <c r="AW318" s="496"/>
      <c r="AX318" s="495"/>
      <c r="AY318" s="495"/>
      <c r="AZ318" s="496"/>
      <c r="BA318" s="496"/>
      <c r="BB318" s="496"/>
      <c r="BC318" s="496"/>
      <c r="BD318" s="511"/>
      <c r="BE318" s="482">
        <f t="shared" si="32"/>
        <v>0</v>
      </c>
      <c r="BF318" s="482">
        <f>SUM($U318:V318)</f>
        <v>0</v>
      </c>
      <c r="BG318" s="482">
        <f>SUM($U318:W318)</f>
        <v>0</v>
      </c>
      <c r="BH318" s="482">
        <f>SUM($U318:X318)</f>
        <v>0</v>
      </c>
      <c r="BI318" s="482">
        <f>SUM($U318:Y318)</f>
        <v>0</v>
      </c>
      <c r="BJ318" s="482">
        <f>SUM($U318:Z318)</f>
        <v>0</v>
      </c>
      <c r="BK318" s="482">
        <f>SUM($U318:AA318)</f>
        <v>0</v>
      </c>
      <c r="BL318" s="482">
        <f>SUM($U318:AB318)</f>
        <v>0</v>
      </c>
      <c r="BM318" s="482">
        <f>SUM($U318:AC318)</f>
        <v>0</v>
      </c>
      <c r="BN318" s="482">
        <f>SUM($U318:AD318)</f>
        <v>0</v>
      </c>
      <c r="BO318" s="482">
        <f>SUM($U318:AE318)</f>
        <v>0</v>
      </c>
      <c r="BP318" s="483">
        <f>SUM($U318:AF318)</f>
        <v>0</v>
      </c>
      <c r="BQ318" s="484">
        <f t="shared" si="33"/>
        <v>0</v>
      </c>
      <c r="BR318" s="482">
        <f>SUM($AS318:AT318)</f>
        <v>0</v>
      </c>
      <c r="BS318" s="482">
        <f>SUM($AS318:AU318)</f>
        <v>0</v>
      </c>
      <c r="BT318" s="482">
        <f>SUM($AS318:AV318)</f>
        <v>0</v>
      </c>
      <c r="BU318" s="482">
        <f>SUM($AS318:AW318)</f>
        <v>0</v>
      </c>
      <c r="BV318" s="482">
        <f>SUM($AS318:AX318)</f>
        <v>0</v>
      </c>
      <c r="BW318" s="482">
        <f>SUM($AS318:AY318)</f>
        <v>0</v>
      </c>
      <c r="BX318" s="482">
        <f>SUM($AS318:AZ318)</f>
        <v>0</v>
      </c>
      <c r="BY318" s="482">
        <f>SUM($AS318:BA318)</f>
        <v>0</v>
      </c>
      <c r="BZ318" s="482">
        <f>SUM($AS318:BB318)</f>
        <v>0</v>
      </c>
      <c r="CA318" s="482">
        <f>SUM($AS318:BC318)</f>
        <v>0</v>
      </c>
      <c r="CB318" s="483">
        <f>SUM($AS318:BD318)</f>
        <v>0</v>
      </c>
    </row>
    <row r="319" spans="1:80" s="471" customFormat="1" ht="12.75" hidden="1" customHeight="1">
      <c r="A319" s="471">
        <f t="shared" si="28"/>
        <v>310</v>
      </c>
      <c r="B319" s="628"/>
      <c r="C319" s="533"/>
      <c r="D319" s="533"/>
      <c r="E319" s="427"/>
      <c r="F319" s="586"/>
      <c r="G319" s="629"/>
      <c r="H319" s="582">
        <f t="shared" si="31"/>
        <v>312</v>
      </c>
      <c r="I319" s="524"/>
      <c r="J319" s="473"/>
      <c r="K319" s="473"/>
      <c r="L319" s="473"/>
      <c r="M319" s="473"/>
      <c r="N319" s="473"/>
      <c r="O319" s="473"/>
      <c r="P319" s="473"/>
      <c r="Q319" s="473"/>
      <c r="R319" s="473"/>
      <c r="S319" s="473"/>
      <c r="T319" s="474"/>
      <c r="U319" s="475"/>
      <c r="V319" s="473"/>
      <c r="W319" s="473"/>
      <c r="X319" s="473"/>
      <c r="Y319" s="473"/>
      <c r="Z319" s="473"/>
      <c r="AA319" s="473"/>
      <c r="AB319" s="473"/>
      <c r="AC319" s="473"/>
      <c r="AD319" s="473"/>
      <c r="AE319" s="473"/>
      <c r="AF319" s="473"/>
      <c r="AG319" s="510"/>
      <c r="AH319" s="495"/>
      <c r="AI319" s="495"/>
      <c r="AJ319" s="495"/>
      <c r="AK319" s="495"/>
      <c r="AL319" s="495"/>
      <c r="AM319" s="495"/>
      <c r="AN319" s="495"/>
      <c r="AO319" s="495"/>
      <c r="AP319" s="495"/>
      <c r="AQ319" s="495"/>
      <c r="AR319" s="497"/>
      <c r="AS319" s="509"/>
      <c r="AT319" s="495"/>
      <c r="AU319" s="495"/>
      <c r="AV319" s="480"/>
      <c r="AW319" s="496"/>
      <c r="AX319" s="495"/>
      <c r="AY319" s="495"/>
      <c r="AZ319" s="496"/>
      <c r="BA319" s="496"/>
      <c r="BB319" s="496"/>
      <c r="BC319" s="496"/>
      <c r="BD319" s="511"/>
      <c r="BE319" s="482">
        <f t="shared" si="32"/>
        <v>0</v>
      </c>
      <c r="BF319" s="482">
        <f>SUM($U319:V319)</f>
        <v>0</v>
      </c>
      <c r="BG319" s="482">
        <f>SUM($U319:W319)</f>
        <v>0</v>
      </c>
      <c r="BH319" s="482">
        <f>SUM($U319:X319)</f>
        <v>0</v>
      </c>
      <c r="BI319" s="482">
        <f>SUM($U319:Y319)</f>
        <v>0</v>
      </c>
      <c r="BJ319" s="482">
        <f>SUM($U319:Z319)</f>
        <v>0</v>
      </c>
      <c r="BK319" s="482">
        <f>SUM($U319:AA319)</f>
        <v>0</v>
      </c>
      <c r="BL319" s="482">
        <f>SUM($U319:AB319)</f>
        <v>0</v>
      </c>
      <c r="BM319" s="482">
        <f>SUM($U319:AC319)</f>
        <v>0</v>
      </c>
      <c r="BN319" s="482">
        <f>SUM($U319:AD319)</f>
        <v>0</v>
      </c>
      <c r="BO319" s="482">
        <f>SUM($U319:AE319)</f>
        <v>0</v>
      </c>
      <c r="BP319" s="483">
        <f>SUM($U319:AF319)</f>
        <v>0</v>
      </c>
      <c r="BQ319" s="484">
        <f t="shared" si="33"/>
        <v>0</v>
      </c>
      <c r="BR319" s="482">
        <f>SUM($AS319:AT319)</f>
        <v>0</v>
      </c>
      <c r="BS319" s="482">
        <f>SUM($AS319:AU319)</f>
        <v>0</v>
      </c>
      <c r="BT319" s="482">
        <f>SUM($AS319:AV319)</f>
        <v>0</v>
      </c>
      <c r="BU319" s="482">
        <f>SUM($AS319:AW319)</f>
        <v>0</v>
      </c>
      <c r="BV319" s="482">
        <f>SUM($AS319:AX319)</f>
        <v>0</v>
      </c>
      <c r="BW319" s="482">
        <f>SUM($AS319:AY319)</f>
        <v>0</v>
      </c>
      <c r="BX319" s="482">
        <f>SUM($AS319:AZ319)</f>
        <v>0</v>
      </c>
      <c r="BY319" s="482">
        <f>SUM($AS319:BA319)</f>
        <v>0</v>
      </c>
      <c r="BZ319" s="482">
        <f>SUM($AS319:BB319)</f>
        <v>0</v>
      </c>
      <c r="CA319" s="482">
        <f>SUM($AS319:BC319)</f>
        <v>0</v>
      </c>
      <c r="CB319" s="483">
        <f>SUM($AS319:BD319)</f>
        <v>0</v>
      </c>
    </row>
    <row r="320" spans="1:80" s="471" customFormat="1" ht="12.75" hidden="1" customHeight="1">
      <c r="A320" s="471">
        <f t="shared" si="28"/>
        <v>311</v>
      </c>
      <c r="B320" s="628"/>
      <c r="C320" s="533"/>
      <c r="D320" s="533"/>
      <c r="E320" s="427"/>
      <c r="F320" s="586"/>
      <c r="G320" s="629"/>
      <c r="H320" s="582">
        <f t="shared" si="31"/>
        <v>313</v>
      </c>
      <c r="I320" s="524"/>
      <c r="J320" s="473"/>
      <c r="K320" s="473"/>
      <c r="L320" s="473"/>
      <c r="M320" s="473"/>
      <c r="N320" s="473"/>
      <c r="O320" s="473"/>
      <c r="P320" s="473"/>
      <c r="Q320" s="473"/>
      <c r="R320" s="473"/>
      <c r="S320" s="473"/>
      <c r="T320" s="474"/>
      <c r="U320" s="475"/>
      <c r="V320" s="473"/>
      <c r="W320" s="473"/>
      <c r="X320" s="473"/>
      <c r="Y320" s="473"/>
      <c r="Z320" s="473"/>
      <c r="AA320" s="473"/>
      <c r="AB320" s="473"/>
      <c r="AC320" s="473"/>
      <c r="AD320" s="473"/>
      <c r="AE320" s="473"/>
      <c r="AF320" s="473"/>
      <c r="AG320" s="510"/>
      <c r="AH320" s="495"/>
      <c r="AI320" s="495"/>
      <c r="AJ320" s="495"/>
      <c r="AK320" s="495"/>
      <c r="AL320" s="495"/>
      <c r="AM320" s="495"/>
      <c r="AN320" s="495"/>
      <c r="AO320" s="495"/>
      <c r="AP320" s="495"/>
      <c r="AQ320" s="495"/>
      <c r="AR320" s="497"/>
      <c r="AS320" s="509"/>
      <c r="AT320" s="495"/>
      <c r="AU320" s="495"/>
      <c r="AV320" s="480"/>
      <c r="AW320" s="496"/>
      <c r="AX320" s="495"/>
      <c r="AY320" s="495"/>
      <c r="AZ320" s="496"/>
      <c r="BA320" s="496"/>
      <c r="BB320" s="496"/>
      <c r="BC320" s="496"/>
      <c r="BD320" s="511"/>
      <c r="BE320" s="482">
        <f t="shared" si="32"/>
        <v>0</v>
      </c>
      <c r="BF320" s="482">
        <f>SUM($U320:V320)</f>
        <v>0</v>
      </c>
      <c r="BG320" s="482">
        <f>SUM($U320:W320)</f>
        <v>0</v>
      </c>
      <c r="BH320" s="482">
        <f>SUM($U320:X320)</f>
        <v>0</v>
      </c>
      <c r="BI320" s="482">
        <f>SUM($U320:Y320)</f>
        <v>0</v>
      </c>
      <c r="BJ320" s="482">
        <f>SUM($U320:Z320)</f>
        <v>0</v>
      </c>
      <c r="BK320" s="482">
        <f>SUM($U320:AA320)</f>
        <v>0</v>
      </c>
      <c r="BL320" s="482">
        <f>SUM($U320:AB320)</f>
        <v>0</v>
      </c>
      <c r="BM320" s="482">
        <f>SUM($U320:AC320)</f>
        <v>0</v>
      </c>
      <c r="BN320" s="482">
        <f>SUM($U320:AD320)</f>
        <v>0</v>
      </c>
      <c r="BO320" s="482">
        <f>SUM($U320:AE320)</f>
        <v>0</v>
      </c>
      <c r="BP320" s="483">
        <f>SUM($U320:AF320)</f>
        <v>0</v>
      </c>
      <c r="BQ320" s="484">
        <f t="shared" si="33"/>
        <v>0</v>
      </c>
      <c r="BR320" s="482">
        <f>SUM($AS320:AT320)</f>
        <v>0</v>
      </c>
      <c r="BS320" s="482">
        <f>SUM($AS320:AU320)</f>
        <v>0</v>
      </c>
      <c r="BT320" s="482">
        <f>SUM($AS320:AV320)</f>
        <v>0</v>
      </c>
      <c r="BU320" s="482">
        <f>SUM($AS320:AW320)</f>
        <v>0</v>
      </c>
      <c r="BV320" s="482">
        <f>SUM($AS320:AX320)</f>
        <v>0</v>
      </c>
      <c r="BW320" s="482">
        <f>SUM($AS320:AY320)</f>
        <v>0</v>
      </c>
      <c r="BX320" s="482">
        <f>SUM($AS320:AZ320)</f>
        <v>0</v>
      </c>
      <c r="BY320" s="482">
        <f>SUM($AS320:BA320)</f>
        <v>0</v>
      </c>
      <c r="BZ320" s="482">
        <f>SUM($AS320:BB320)</f>
        <v>0</v>
      </c>
      <c r="CA320" s="482">
        <f>SUM($AS320:BC320)</f>
        <v>0</v>
      </c>
      <c r="CB320" s="483">
        <f>SUM($AS320:BD320)</f>
        <v>0</v>
      </c>
    </row>
    <row r="321" spans="1:80" s="471" customFormat="1" ht="12.75" hidden="1" customHeight="1">
      <c r="A321" s="471">
        <f t="shared" si="28"/>
        <v>312</v>
      </c>
      <c r="B321" s="628"/>
      <c r="C321" s="533"/>
      <c r="D321" s="533"/>
      <c r="E321" s="427"/>
      <c r="F321" s="586"/>
      <c r="G321" s="629"/>
      <c r="H321" s="582">
        <f t="shared" si="31"/>
        <v>314</v>
      </c>
      <c r="I321" s="524"/>
      <c r="J321" s="473"/>
      <c r="K321" s="473"/>
      <c r="L321" s="473"/>
      <c r="M321" s="473"/>
      <c r="N321" s="473"/>
      <c r="O321" s="473"/>
      <c r="P321" s="473"/>
      <c r="Q321" s="473"/>
      <c r="R321" s="473"/>
      <c r="S321" s="473"/>
      <c r="T321" s="474"/>
      <c r="U321" s="475"/>
      <c r="V321" s="473"/>
      <c r="W321" s="473"/>
      <c r="X321" s="473"/>
      <c r="Y321" s="473"/>
      <c r="Z321" s="473"/>
      <c r="AA321" s="473"/>
      <c r="AB321" s="473"/>
      <c r="AC321" s="473"/>
      <c r="AD321" s="473"/>
      <c r="AE321" s="473"/>
      <c r="AF321" s="473"/>
      <c r="AG321" s="510"/>
      <c r="AH321" s="495"/>
      <c r="AI321" s="495"/>
      <c r="AJ321" s="495"/>
      <c r="AK321" s="495"/>
      <c r="AL321" s="495"/>
      <c r="AM321" s="495"/>
      <c r="AN321" s="495"/>
      <c r="AO321" s="495"/>
      <c r="AP321" s="495"/>
      <c r="AQ321" s="495"/>
      <c r="AR321" s="497"/>
      <c r="AS321" s="509"/>
      <c r="AT321" s="495"/>
      <c r="AU321" s="495"/>
      <c r="AV321" s="480"/>
      <c r="AW321" s="496"/>
      <c r="AX321" s="495"/>
      <c r="AY321" s="495"/>
      <c r="AZ321" s="496"/>
      <c r="BA321" s="496"/>
      <c r="BB321" s="496"/>
      <c r="BC321" s="496"/>
      <c r="BD321" s="511"/>
      <c r="BE321" s="482">
        <f t="shared" si="32"/>
        <v>0</v>
      </c>
      <c r="BF321" s="482">
        <f>SUM($U321:V321)</f>
        <v>0</v>
      </c>
      <c r="BG321" s="482">
        <f>SUM($U321:W321)</f>
        <v>0</v>
      </c>
      <c r="BH321" s="482">
        <f>SUM($U321:X321)</f>
        <v>0</v>
      </c>
      <c r="BI321" s="482">
        <f>SUM($U321:Y321)</f>
        <v>0</v>
      </c>
      <c r="BJ321" s="482">
        <f>SUM($U321:Z321)</f>
        <v>0</v>
      </c>
      <c r="BK321" s="482">
        <f>SUM($U321:AA321)</f>
        <v>0</v>
      </c>
      <c r="BL321" s="482">
        <f>SUM($U321:AB321)</f>
        <v>0</v>
      </c>
      <c r="BM321" s="482">
        <f>SUM($U321:AC321)</f>
        <v>0</v>
      </c>
      <c r="BN321" s="482">
        <f>SUM($U321:AD321)</f>
        <v>0</v>
      </c>
      <c r="BO321" s="482">
        <f>SUM($U321:AE321)</f>
        <v>0</v>
      </c>
      <c r="BP321" s="483">
        <f>SUM($U321:AF321)</f>
        <v>0</v>
      </c>
      <c r="BQ321" s="484">
        <f t="shared" si="33"/>
        <v>0</v>
      </c>
      <c r="BR321" s="482">
        <f>SUM($AS321:AT321)</f>
        <v>0</v>
      </c>
      <c r="BS321" s="482">
        <f>SUM($AS321:AU321)</f>
        <v>0</v>
      </c>
      <c r="BT321" s="482">
        <f>SUM($AS321:AV321)</f>
        <v>0</v>
      </c>
      <c r="BU321" s="482">
        <f>SUM($AS321:AW321)</f>
        <v>0</v>
      </c>
      <c r="BV321" s="482">
        <f>SUM($AS321:AX321)</f>
        <v>0</v>
      </c>
      <c r="BW321" s="482">
        <f>SUM($AS321:AY321)</f>
        <v>0</v>
      </c>
      <c r="BX321" s="482">
        <f>SUM($AS321:AZ321)</f>
        <v>0</v>
      </c>
      <c r="BY321" s="482">
        <f>SUM($AS321:BA321)</f>
        <v>0</v>
      </c>
      <c r="BZ321" s="482">
        <f>SUM($AS321:BB321)</f>
        <v>0</v>
      </c>
      <c r="CA321" s="482">
        <f>SUM($AS321:BC321)</f>
        <v>0</v>
      </c>
      <c r="CB321" s="483">
        <f>SUM($AS321:BD321)</f>
        <v>0</v>
      </c>
    </row>
    <row r="322" spans="1:80" s="471" customFormat="1" ht="12.75" hidden="1" customHeight="1">
      <c r="A322" s="471">
        <f t="shared" si="28"/>
        <v>313</v>
      </c>
      <c r="B322" s="628"/>
      <c r="C322" s="533"/>
      <c r="D322" s="533"/>
      <c r="E322" s="427"/>
      <c r="F322" s="586"/>
      <c r="G322" s="629"/>
      <c r="H322" s="582">
        <f t="shared" si="31"/>
        <v>315</v>
      </c>
      <c r="I322" s="524"/>
      <c r="J322" s="473"/>
      <c r="K322" s="473"/>
      <c r="L322" s="473"/>
      <c r="M322" s="473"/>
      <c r="N322" s="473"/>
      <c r="O322" s="473"/>
      <c r="P322" s="473"/>
      <c r="Q322" s="473"/>
      <c r="R322" s="473"/>
      <c r="S322" s="473"/>
      <c r="T322" s="474"/>
      <c r="U322" s="475"/>
      <c r="V322" s="473"/>
      <c r="W322" s="473"/>
      <c r="X322" s="473"/>
      <c r="Y322" s="473"/>
      <c r="Z322" s="473"/>
      <c r="AA322" s="473"/>
      <c r="AB322" s="473"/>
      <c r="AC322" s="473"/>
      <c r="AD322" s="473"/>
      <c r="AE322" s="473"/>
      <c r="AF322" s="473"/>
      <c r="AG322" s="510"/>
      <c r="AH322" s="495"/>
      <c r="AI322" s="495"/>
      <c r="AJ322" s="495"/>
      <c r="AK322" s="495"/>
      <c r="AL322" s="495"/>
      <c r="AM322" s="495"/>
      <c r="AN322" s="495"/>
      <c r="AO322" s="495"/>
      <c r="AP322" s="495"/>
      <c r="AQ322" s="495"/>
      <c r="AR322" s="497"/>
      <c r="AS322" s="509"/>
      <c r="AT322" s="495"/>
      <c r="AU322" s="495"/>
      <c r="AV322" s="480"/>
      <c r="AW322" s="496"/>
      <c r="AX322" s="495"/>
      <c r="AY322" s="495"/>
      <c r="AZ322" s="496"/>
      <c r="BA322" s="496"/>
      <c r="BB322" s="496"/>
      <c r="BC322" s="496"/>
      <c r="BD322" s="511"/>
      <c r="BE322" s="482">
        <f t="shared" si="32"/>
        <v>0</v>
      </c>
      <c r="BF322" s="482">
        <f>SUM($U322:V322)</f>
        <v>0</v>
      </c>
      <c r="BG322" s="482">
        <f>SUM($U322:W322)</f>
        <v>0</v>
      </c>
      <c r="BH322" s="482">
        <f>SUM($U322:X322)</f>
        <v>0</v>
      </c>
      <c r="BI322" s="482">
        <f>SUM($U322:Y322)</f>
        <v>0</v>
      </c>
      <c r="BJ322" s="482">
        <f>SUM($U322:Z322)</f>
        <v>0</v>
      </c>
      <c r="BK322" s="482">
        <f>SUM($U322:AA322)</f>
        <v>0</v>
      </c>
      <c r="BL322" s="482">
        <f>SUM($U322:AB322)</f>
        <v>0</v>
      </c>
      <c r="BM322" s="482">
        <f>SUM($U322:AC322)</f>
        <v>0</v>
      </c>
      <c r="BN322" s="482">
        <f>SUM($U322:AD322)</f>
        <v>0</v>
      </c>
      <c r="BO322" s="482">
        <f>SUM($U322:AE322)</f>
        <v>0</v>
      </c>
      <c r="BP322" s="483">
        <f>SUM($U322:AF322)</f>
        <v>0</v>
      </c>
      <c r="BQ322" s="484">
        <f t="shared" si="33"/>
        <v>0</v>
      </c>
      <c r="BR322" s="482">
        <f>SUM($AS322:AT322)</f>
        <v>0</v>
      </c>
      <c r="BS322" s="482">
        <f>SUM($AS322:AU322)</f>
        <v>0</v>
      </c>
      <c r="BT322" s="482">
        <f>SUM($AS322:AV322)</f>
        <v>0</v>
      </c>
      <c r="BU322" s="482">
        <f>SUM($AS322:AW322)</f>
        <v>0</v>
      </c>
      <c r="BV322" s="482">
        <f>SUM($AS322:AX322)</f>
        <v>0</v>
      </c>
      <c r="BW322" s="482">
        <f>SUM($AS322:AY322)</f>
        <v>0</v>
      </c>
      <c r="BX322" s="482">
        <f>SUM($AS322:AZ322)</f>
        <v>0</v>
      </c>
      <c r="BY322" s="482">
        <f>SUM($AS322:BA322)</f>
        <v>0</v>
      </c>
      <c r="BZ322" s="482">
        <f>SUM($AS322:BB322)</f>
        <v>0</v>
      </c>
      <c r="CA322" s="482">
        <f>SUM($AS322:BC322)</f>
        <v>0</v>
      </c>
      <c r="CB322" s="483">
        <f>SUM($AS322:BD322)</f>
        <v>0</v>
      </c>
    </row>
    <row r="323" spans="1:80" s="471" customFormat="1" ht="12.75" hidden="1" customHeight="1">
      <c r="A323" s="471">
        <f t="shared" si="28"/>
        <v>314</v>
      </c>
      <c r="B323" s="628"/>
      <c r="C323" s="533"/>
      <c r="D323" s="533"/>
      <c r="E323" s="427"/>
      <c r="F323" s="586"/>
      <c r="G323" s="629"/>
      <c r="H323" s="582">
        <f t="shared" si="31"/>
        <v>316</v>
      </c>
      <c r="I323" s="524"/>
      <c r="J323" s="473"/>
      <c r="K323" s="473"/>
      <c r="L323" s="473"/>
      <c r="M323" s="473"/>
      <c r="N323" s="473"/>
      <c r="O323" s="473"/>
      <c r="P323" s="473"/>
      <c r="Q323" s="473"/>
      <c r="R323" s="473"/>
      <c r="S323" s="473"/>
      <c r="T323" s="474"/>
      <c r="U323" s="475"/>
      <c r="V323" s="473"/>
      <c r="W323" s="473"/>
      <c r="X323" s="473"/>
      <c r="Y323" s="473"/>
      <c r="Z323" s="473"/>
      <c r="AA323" s="473"/>
      <c r="AB323" s="473"/>
      <c r="AC323" s="473"/>
      <c r="AD323" s="473"/>
      <c r="AE323" s="473"/>
      <c r="AF323" s="473"/>
      <c r="AG323" s="510"/>
      <c r="AH323" s="495"/>
      <c r="AI323" s="495"/>
      <c r="AJ323" s="495"/>
      <c r="AK323" s="495"/>
      <c r="AL323" s="495"/>
      <c r="AM323" s="495"/>
      <c r="AN323" s="495"/>
      <c r="AO323" s="495"/>
      <c r="AP323" s="495"/>
      <c r="AQ323" s="495"/>
      <c r="AR323" s="497"/>
      <c r="AS323" s="509"/>
      <c r="AT323" s="495"/>
      <c r="AU323" s="495"/>
      <c r="AV323" s="480"/>
      <c r="AW323" s="496"/>
      <c r="AX323" s="495"/>
      <c r="AY323" s="495"/>
      <c r="AZ323" s="496"/>
      <c r="BA323" s="496"/>
      <c r="BB323" s="496"/>
      <c r="BC323" s="496"/>
      <c r="BD323" s="511"/>
      <c r="BE323" s="482">
        <f t="shared" si="32"/>
        <v>0</v>
      </c>
      <c r="BF323" s="482">
        <f>SUM($U323:V323)</f>
        <v>0</v>
      </c>
      <c r="BG323" s="482">
        <f>SUM($U323:W323)</f>
        <v>0</v>
      </c>
      <c r="BH323" s="482">
        <f>SUM($U323:X323)</f>
        <v>0</v>
      </c>
      <c r="BI323" s="482">
        <f>SUM($U323:Y323)</f>
        <v>0</v>
      </c>
      <c r="BJ323" s="482">
        <f>SUM($U323:Z323)</f>
        <v>0</v>
      </c>
      <c r="BK323" s="482">
        <f>SUM($U323:AA323)</f>
        <v>0</v>
      </c>
      <c r="BL323" s="482">
        <f>SUM($U323:AB323)</f>
        <v>0</v>
      </c>
      <c r="BM323" s="482">
        <f>SUM($U323:AC323)</f>
        <v>0</v>
      </c>
      <c r="BN323" s="482">
        <f>SUM($U323:AD323)</f>
        <v>0</v>
      </c>
      <c r="BO323" s="482">
        <f>SUM($U323:AE323)</f>
        <v>0</v>
      </c>
      <c r="BP323" s="483">
        <f>SUM($U323:AF323)</f>
        <v>0</v>
      </c>
      <c r="BQ323" s="484">
        <f t="shared" si="33"/>
        <v>0</v>
      </c>
      <c r="BR323" s="482">
        <f>SUM($AS323:AT323)</f>
        <v>0</v>
      </c>
      <c r="BS323" s="482">
        <f>SUM($AS323:AU323)</f>
        <v>0</v>
      </c>
      <c r="BT323" s="482">
        <f>SUM($AS323:AV323)</f>
        <v>0</v>
      </c>
      <c r="BU323" s="482">
        <f>SUM($AS323:AW323)</f>
        <v>0</v>
      </c>
      <c r="BV323" s="482">
        <f>SUM($AS323:AX323)</f>
        <v>0</v>
      </c>
      <c r="BW323" s="482">
        <f>SUM($AS323:AY323)</f>
        <v>0</v>
      </c>
      <c r="BX323" s="482">
        <f>SUM($AS323:AZ323)</f>
        <v>0</v>
      </c>
      <c r="BY323" s="482">
        <f>SUM($AS323:BA323)</f>
        <v>0</v>
      </c>
      <c r="BZ323" s="482">
        <f>SUM($AS323:BB323)</f>
        <v>0</v>
      </c>
      <c r="CA323" s="482">
        <f>SUM($AS323:BC323)</f>
        <v>0</v>
      </c>
      <c r="CB323" s="483">
        <f>SUM($AS323:BD323)</f>
        <v>0</v>
      </c>
    </row>
    <row r="324" spans="1:80" s="471" customFormat="1" ht="12.75" hidden="1" customHeight="1">
      <c r="A324" s="471">
        <f t="shared" si="28"/>
        <v>315</v>
      </c>
      <c r="B324" s="628"/>
      <c r="C324" s="533"/>
      <c r="D324" s="533"/>
      <c r="E324" s="427"/>
      <c r="F324" s="586"/>
      <c r="G324" s="629"/>
      <c r="H324" s="582">
        <f t="shared" si="31"/>
        <v>317</v>
      </c>
      <c r="I324" s="524"/>
      <c r="J324" s="473"/>
      <c r="K324" s="473"/>
      <c r="L324" s="473"/>
      <c r="M324" s="473"/>
      <c r="N324" s="473"/>
      <c r="O324" s="473"/>
      <c r="P324" s="473"/>
      <c r="Q324" s="473"/>
      <c r="R324" s="473"/>
      <c r="S324" s="473"/>
      <c r="T324" s="474"/>
      <c r="U324" s="475"/>
      <c r="V324" s="473"/>
      <c r="W324" s="473"/>
      <c r="X324" s="473"/>
      <c r="Y324" s="473"/>
      <c r="Z324" s="473"/>
      <c r="AA324" s="473"/>
      <c r="AB324" s="473"/>
      <c r="AC324" s="473"/>
      <c r="AD324" s="473"/>
      <c r="AE324" s="473"/>
      <c r="AF324" s="473"/>
      <c r="AG324" s="510"/>
      <c r="AH324" s="495"/>
      <c r="AI324" s="495"/>
      <c r="AJ324" s="495"/>
      <c r="AK324" s="495"/>
      <c r="AL324" s="495"/>
      <c r="AM324" s="495"/>
      <c r="AN324" s="495"/>
      <c r="AO324" s="495"/>
      <c r="AP324" s="495"/>
      <c r="AQ324" s="495"/>
      <c r="AR324" s="497"/>
      <c r="AS324" s="509"/>
      <c r="AT324" s="495"/>
      <c r="AU324" s="495"/>
      <c r="AV324" s="480"/>
      <c r="AW324" s="496"/>
      <c r="AX324" s="495"/>
      <c r="AY324" s="495"/>
      <c r="AZ324" s="496"/>
      <c r="BA324" s="496"/>
      <c r="BB324" s="496"/>
      <c r="BC324" s="496"/>
      <c r="BD324" s="511"/>
      <c r="BE324" s="482">
        <f t="shared" si="32"/>
        <v>0</v>
      </c>
      <c r="BF324" s="482">
        <f>SUM($U324:V324)</f>
        <v>0</v>
      </c>
      <c r="BG324" s="482">
        <f>SUM($U324:W324)</f>
        <v>0</v>
      </c>
      <c r="BH324" s="482">
        <f>SUM($U324:X324)</f>
        <v>0</v>
      </c>
      <c r="BI324" s="482">
        <f>SUM($U324:Y324)</f>
        <v>0</v>
      </c>
      <c r="BJ324" s="482">
        <f>SUM($U324:Z324)</f>
        <v>0</v>
      </c>
      <c r="BK324" s="482">
        <f>SUM($U324:AA324)</f>
        <v>0</v>
      </c>
      <c r="BL324" s="482">
        <f>SUM($U324:AB324)</f>
        <v>0</v>
      </c>
      <c r="BM324" s="482">
        <f>SUM($U324:AC324)</f>
        <v>0</v>
      </c>
      <c r="BN324" s="482">
        <f>SUM($U324:AD324)</f>
        <v>0</v>
      </c>
      <c r="BO324" s="482">
        <f>SUM($U324:AE324)</f>
        <v>0</v>
      </c>
      <c r="BP324" s="483">
        <f>SUM($U324:AF324)</f>
        <v>0</v>
      </c>
      <c r="BQ324" s="484">
        <f t="shared" si="33"/>
        <v>0</v>
      </c>
      <c r="BR324" s="482">
        <f>SUM($AS324:AT324)</f>
        <v>0</v>
      </c>
      <c r="BS324" s="482">
        <f>SUM($AS324:AU324)</f>
        <v>0</v>
      </c>
      <c r="BT324" s="482">
        <f>SUM($AS324:AV324)</f>
        <v>0</v>
      </c>
      <c r="BU324" s="482">
        <f>SUM($AS324:AW324)</f>
        <v>0</v>
      </c>
      <c r="BV324" s="482">
        <f>SUM($AS324:AX324)</f>
        <v>0</v>
      </c>
      <c r="BW324" s="482">
        <f>SUM($AS324:AY324)</f>
        <v>0</v>
      </c>
      <c r="BX324" s="482">
        <f>SUM($AS324:AZ324)</f>
        <v>0</v>
      </c>
      <c r="BY324" s="482">
        <f>SUM($AS324:BA324)</f>
        <v>0</v>
      </c>
      <c r="BZ324" s="482">
        <f>SUM($AS324:BB324)</f>
        <v>0</v>
      </c>
      <c r="CA324" s="482">
        <f>SUM($AS324:BC324)</f>
        <v>0</v>
      </c>
      <c r="CB324" s="483">
        <f>SUM($AS324:BD324)</f>
        <v>0</v>
      </c>
    </row>
    <row r="325" spans="1:80" s="471" customFormat="1" ht="12.75" hidden="1" customHeight="1">
      <c r="A325" s="471">
        <f t="shared" si="28"/>
        <v>316</v>
      </c>
      <c r="B325" s="628"/>
      <c r="C325" s="533"/>
      <c r="D325" s="533"/>
      <c r="E325" s="427"/>
      <c r="F325" s="586"/>
      <c r="G325" s="629"/>
      <c r="H325" s="582">
        <f t="shared" si="31"/>
        <v>318</v>
      </c>
      <c r="I325" s="524"/>
      <c r="J325" s="473"/>
      <c r="K325" s="473"/>
      <c r="L325" s="473"/>
      <c r="M325" s="473"/>
      <c r="N325" s="473"/>
      <c r="O325" s="473"/>
      <c r="P325" s="473"/>
      <c r="Q325" s="473"/>
      <c r="R325" s="473"/>
      <c r="S325" s="473"/>
      <c r="T325" s="474"/>
      <c r="U325" s="475"/>
      <c r="V325" s="473"/>
      <c r="W325" s="473"/>
      <c r="X325" s="473"/>
      <c r="Y325" s="473"/>
      <c r="Z325" s="473"/>
      <c r="AA325" s="473"/>
      <c r="AB325" s="473"/>
      <c r="AC325" s="473"/>
      <c r="AD325" s="473"/>
      <c r="AE325" s="473"/>
      <c r="AF325" s="473"/>
      <c r="AG325" s="510"/>
      <c r="AH325" s="495"/>
      <c r="AI325" s="495"/>
      <c r="AJ325" s="495"/>
      <c r="AK325" s="495"/>
      <c r="AL325" s="495"/>
      <c r="AM325" s="495"/>
      <c r="AN325" s="495"/>
      <c r="AO325" s="495"/>
      <c r="AP325" s="495"/>
      <c r="AQ325" s="495"/>
      <c r="AR325" s="497"/>
      <c r="AS325" s="509"/>
      <c r="AT325" s="495"/>
      <c r="AU325" s="495"/>
      <c r="AV325" s="480"/>
      <c r="AW325" s="496"/>
      <c r="AX325" s="495"/>
      <c r="AY325" s="495"/>
      <c r="AZ325" s="496"/>
      <c r="BA325" s="496"/>
      <c r="BB325" s="496"/>
      <c r="BC325" s="496"/>
      <c r="BD325" s="511"/>
      <c r="BE325" s="482">
        <f t="shared" si="32"/>
        <v>0</v>
      </c>
      <c r="BF325" s="482">
        <f>SUM($U325:V325)</f>
        <v>0</v>
      </c>
      <c r="BG325" s="482">
        <f>SUM($U325:W325)</f>
        <v>0</v>
      </c>
      <c r="BH325" s="482">
        <f>SUM($U325:X325)</f>
        <v>0</v>
      </c>
      <c r="BI325" s="482">
        <f>SUM($U325:Y325)</f>
        <v>0</v>
      </c>
      <c r="BJ325" s="482">
        <f>SUM($U325:Z325)</f>
        <v>0</v>
      </c>
      <c r="BK325" s="482">
        <f>SUM($U325:AA325)</f>
        <v>0</v>
      </c>
      <c r="BL325" s="482">
        <f>SUM($U325:AB325)</f>
        <v>0</v>
      </c>
      <c r="BM325" s="482">
        <f>SUM($U325:AC325)</f>
        <v>0</v>
      </c>
      <c r="BN325" s="482">
        <f>SUM($U325:AD325)</f>
        <v>0</v>
      </c>
      <c r="BO325" s="482">
        <f>SUM($U325:AE325)</f>
        <v>0</v>
      </c>
      <c r="BP325" s="483">
        <f>SUM($U325:AF325)</f>
        <v>0</v>
      </c>
      <c r="BQ325" s="484">
        <f t="shared" si="33"/>
        <v>0</v>
      </c>
      <c r="BR325" s="482">
        <f>SUM($AS325:AT325)</f>
        <v>0</v>
      </c>
      <c r="BS325" s="482">
        <f>SUM($AS325:AU325)</f>
        <v>0</v>
      </c>
      <c r="BT325" s="482">
        <f>SUM($AS325:AV325)</f>
        <v>0</v>
      </c>
      <c r="BU325" s="482">
        <f>SUM($AS325:AW325)</f>
        <v>0</v>
      </c>
      <c r="BV325" s="482">
        <f>SUM($AS325:AX325)</f>
        <v>0</v>
      </c>
      <c r="BW325" s="482">
        <f>SUM($AS325:AY325)</f>
        <v>0</v>
      </c>
      <c r="BX325" s="482">
        <f>SUM($AS325:AZ325)</f>
        <v>0</v>
      </c>
      <c r="BY325" s="482">
        <f>SUM($AS325:BA325)</f>
        <v>0</v>
      </c>
      <c r="BZ325" s="482">
        <f>SUM($AS325:BB325)</f>
        <v>0</v>
      </c>
      <c r="CA325" s="482">
        <f>SUM($AS325:BC325)</f>
        <v>0</v>
      </c>
      <c r="CB325" s="483">
        <f>SUM($AS325:BD325)</f>
        <v>0</v>
      </c>
    </row>
    <row r="326" spans="1:80" s="471" customFormat="1" ht="12.75" hidden="1" customHeight="1">
      <c r="A326" s="471">
        <f t="shared" si="28"/>
        <v>317</v>
      </c>
      <c r="B326" s="628"/>
      <c r="C326" s="533"/>
      <c r="D326" s="533"/>
      <c r="E326" s="427"/>
      <c r="F326" s="586"/>
      <c r="G326" s="629"/>
      <c r="H326" s="582">
        <f t="shared" si="31"/>
        <v>319</v>
      </c>
      <c r="I326" s="524"/>
      <c r="J326" s="473"/>
      <c r="K326" s="473"/>
      <c r="L326" s="473"/>
      <c r="M326" s="473"/>
      <c r="N326" s="473"/>
      <c r="O326" s="473"/>
      <c r="P326" s="473"/>
      <c r="Q326" s="473"/>
      <c r="R326" s="473"/>
      <c r="S326" s="473"/>
      <c r="T326" s="474"/>
      <c r="U326" s="475"/>
      <c r="V326" s="473"/>
      <c r="W326" s="473"/>
      <c r="X326" s="473"/>
      <c r="Y326" s="473"/>
      <c r="Z326" s="473"/>
      <c r="AA326" s="473"/>
      <c r="AB326" s="473"/>
      <c r="AC326" s="473"/>
      <c r="AD326" s="473"/>
      <c r="AE326" s="473"/>
      <c r="AF326" s="473"/>
      <c r="AG326" s="510"/>
      <c r="AH326" s="495"/>
      <c r="AI326" s="495"/>
      <c r="AJ326" s="495"/>
      <c r="AK326" s="495"/>
      <c r="AL326" s="495"/>
      <c r="AM326" s="495"/>
      <c r="AN326" s="495"/>
      <c r="AO326" s="495"/>
      <c r="AP326" s="495"/>
      <c r="AQ326" s="495"/>
      <c r="AR326" s="497"/>
      <c r="AS326" s="509"/>
      <c r="AT326" s="495"/>
      <c r="AU326" s="495"/>
      <c r="AV326" s="480"/>
      <c r="AW326" s="496"/>
      <c r="AX326" s="495"/>
      <c r="AY326" s="495"/>
      <c r="AZ326" s="496"/>
      <c r="BA326" s="496"/>
      <c r="BB326" s="496"/>
      <c r="BC326" s="496"/>
      <c r="BD326" s="511"/>
      <c r="BE326" s="482">
        <f t="shared" si="32"/>
        <v>0</v>
      </c>
      <c r="BF326" s="482">
        <f>SUM($U326:V326)</f>
        <v>0</v>
      </c>
      <c r="BG326" s="482">
        <f>SUM($U326:W326)</f>
        <v>0</v>
      </c>
      <c r="BH326" s="482">
        <f>SUM($U326:X326)</f>
        <v>0</v>
      </c>
      <c r="BI326" s="482">
        <f>SUM($U326:Y326)</f>
        <v>0</v>
      </c>
      <c r="BJ326" s="482">
        <f>SUM($U326:Z326)</f>
        <v>0</v>
      </c>
      <c r="BK326" s="482">
        <f>SUM($U326:AA326)</f>
        <v>0</v>
      </c>
      <c r="BL326" s="482">
        <f>SUM($U326:AB326)</f>
        <v>0</v>
      </c>
      <c r="BM326" s="482">
        <f>SUM($U326:AC326)</f>
        <v>0</v>
      </c>
      <c r="BN326" s="482">
        <f>SUM($U326:AD326)</f>
        <v>0</v>
      </c>
      <c r="BO326" s="482">
        <f>SUM($U326:AE326)</f>
        <v>0</v>
      </c>
      <c r="BP326" s="483">
        <f>SUM($U326:AF326)</f>
        <v>0</v>
      </c>
      <c r="BQ326" s="484">
        <f t="shared" si="33"/>
        <v>0</v>
      </c>
      <c r="BR326" s="482">
        <f>SUM($AS326:AT326)</f>
        <v>0</v>
      </c>
      <c r="BS326" s="482">
        <f>SUM($AS326:AU326)</f>
        <v>0</v>
      </c>
      <c r="BT326" s="482">
        <f>SUM($AS326:AV326)</f>
        <v>0</v>
      </c>
      <c r="BU326" s="482">
        <f>SUM($AS326:AW326)</f>
        <v>0</v>
      </c>
      <c r="BV326" s="482">
        <f>SUM($AS326:AX326)</f>
        <v>0</v>
      </c>
      <c r="BW326" s="482">
        <f>SUM($AS326:AY326)</f>
        <v>0</v>
      </c>
      <c r="BX326" s="482">
        <f>SUM($AS326:AZ326)</f>
        <v>0</v>
      </c>
      <c r="BY326" s="482">
        <f>SUM($AS326:BA326)</f>
        <v>0</v>
      </c>
      <c r="BZ326" s="482">
        <f>SUM($AS326:BB326)</f>
        <v>0</v>
      </c>
      <c r="CA326" s="482">
        <f>SUM($AS326:BC326)</f>
        <v>0</v>
      </c>
      <c r="CB326" s="483">
        <f>SUM($AS326:BD326)</f>
        <v>0</v>
      </c>
    </row>
    <row r="327" spans="1:80" s="471" customFormat="1" hidden="1">
      <c r="A327" s="471">
        <f t="shared" si="28"/>
        <v>318</v>
      </c>
      <c r="B327" s="628"/>
      <c r="C327" s="533"/>
      <c r="D327" s="533"/>
      <c r="E327" s="427"/>
      <c r="F327" s="586"/>
      <c r="G327" s="629"/>
      <c r="H327" s="582">
        <f t="shared" si="31"/>
        <v>320</v>
      </c>
      <c r="I327" s="524"/>
      <c r="J327" s="473"/>
      <c r="K327" s="473"/>
      <c r="L327" s="473"/>
      <c r="M327" s="473"/>
      <c r="N327" s="473"/>
      <c r="O327" s="473"/>
      <c r="P327" s="473"/>
      <c r="Q327" s="473"/>
      <c r="R327" s="473"/>
      <c r="S327" s="473"/>
      <c r="T327" s="474"/>
      <c r="U327" s="475">
        <v>0</v>
      </c>
      <c r="V327" s="473">
        <v>0</v>
      </c>
      <c r="W327" s="473">
        <v>0</v>
      </c>
      <c r="X327" s="473"/>
      <c r="Y327" s="473"/>
      <c r="Z327" s="473"/>
      <c r="AA327" s="473"/>
      <c r="AB327" s="473"/>
      <c r="AC327" s="473"/>
      <c r="AD327" s="473"/>
      <c r="AE327" s="473"/>
      <c r="AF327" s="473"/>
      <c r="AG327" s="510"/>
      <c r="AH327" s="496"/>
      <c r="AI327" s="496"/>
      <c r="AJ327" s="496"/>
      <c r="AK327" s="496"/>
      <c r="AL327" s="496"/>
      <c r="AM327" s="496"/>
      <c r="AN327" s="496"/>
      <c r="AO327" s="496"/>
      <c r="AP327" s="496"/>
      <c r="AQ327" s="496"/>
      <c r="AR327" s="497"/>
      <c r="AS327" s="512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4"/>
      <c r="BE327" s="482">
        <f t="shared" si="32"/>
        <v>0</v>
      </c>
      <c r="BF327" s="482">
        <f>SUM($U327:V327)</f>
        <v>0</v>
      </c>
      <c r="BG327" s="482">
        <f>SUM($U327:W327)</f>
        <v>0</v>
      </c>
      <c r="BH327" s="482">
        <f>SUM($U327:X327)</f>
        <v>0</v>
      </c>
      <c r="BI327" s="482">
        <f>SUM($U327:Y327)</f>
        <v>0</v>
      </c>
      <c r="BJ327" s="482">
        <f>SUM($U327:Z327)</f>
        <v>0</v>
      </c>
      <c r="BK327" s="482">
        <f>SUM($U327:AA327)</f>
        <v>0</v>
      </c>
      <c r="BL327" s="482">
        <f>SUM($U327:AB327)</f>
        <v>0</v>
      </c>
      <c r="BM327" s="482">
        <f>SUM($U327:AC327)</f>
        <v>0</v>
      </c>
      <c r="BN327" s="482">
        <f>SUM($U327:AD327)</f>
        <v>0</v>
      </c>
      <c r="BO327" s="482">
        <f>SUM($U327:AE327)</f>
        <v>0</v>
      </c>
      <c r="BP327" s="483">
        <f>SUM($U327:AF327)</f>
        <v>0</v>
      </c>
      <c r="BQ327" s="484">
        <f t="shared" si="33"/>
        <v>0</v>
      </c>
      <c r="BR327" s="482">
        <f>SUM($AS327:AT327)</f>
        <v>0</v>
      </c>
      <c r="BS327" s="482">
        <f>SUM($AS327:AU327)</f>
        <v>0</v>
      </c>
      <c r="BT327" s="482">
        <f>SUM($AS327:AV327)</f>
        <v>0</v>
      </c>
      <c r="BU327" s="482">
        <f>SUM($AS327:AW327)</f>
        <v>0</v>
      </c>
      <c r="BV327" s="482">
        <f>SUM($AS327:AX327)</f>
        <v>0</v>
      </c>
      <c r="BW327" s="482">
        <f>SUM($AS327:AY327)</f>
        <v>0</v>
      </c>
      <c r="BX327" s="482">
        <f>SUM($AS327:AZ327)</f>
        <v>0</v>
      </c>
      <c r="BY327" s="482">
        <f>SUM($AS327:BA327)</f>
        <v>0</v>
      </c>
      <c r="BZ327" s="482">
        <f>SUM($AS327:BB327)</f>
        <v>0</v>
      </c>
      <c r="CA327" s="482">
        <f>SUM($AS327:BC327)</f>
        <v>0</v>
      </c>
      <c r="CB327" s="483">
        <f>SUM($AS327:BD327)</f>
        <v>0</v>
      </c>
    </row>
    <row r="328" spans="1:80" s="471" customFormat="1">
      <c r="A328" s="471">
        <f t="shared" si="28"/>
        <v>319</v>
      </c>
      <c r="B328" s="633" t="s">
        <v>241</v>
      </c>
      <c r="C328" s="533"/>
      <c r="D328" s="533"/>
      <c r="E328" s="420"/>
      <c r="F328" s="584" t="s">
        <v>242</v>
      </c>
      <c r="G328" s="584"/>
      <c r="H328" s="582">
        <f t="shared" si="31"/>
        <v>321</v>
      </c>
      <c r="I328" s="632"/>
      <c r="J328" s="1027"/>
      <c r="K328" s="1027"/>
      <c r="L328" s="1027"/>
      <c r="M328" s="1027"/>
      <c r="N328" s="1027"/>
      <c r="O328" s="1027"/>
      <c r="P328" s="1027"/>
      <c r="Q328" s="1027"/>
      <c r="R328" s="1027"/>
      <c r="S328" s="1027"/>
      <c r="T328" s="1028"/>
      <c r="U328" s="475">
        <v>0</v>
      </c>
      <c r="V328" s="473">
        <v>0</v>
      </c>
      <c r="W328" s="473">
        <v>0</v>
      </c>
      <c r="X328" s="473">
        <v>0</v>
      </c>
      <c r="Y328" s="473">
        <v>0</v>
      </c>
      <c r="Z328" s="473">
        <v>0</v>
      </c>
      <c r="AA328" s="473">
        <v>0</v>
      </c>
      <c r="AB328" s="473">
        <v>0</v>
      </c>
      <c r="AC328" s="473">
        <v>0</v>
      </c>
      <c r="AD328" s="473">
        <v>0</v>
      </c>
      <c r="AE328" s="473">
        <v>0</v>
      </c>
      <c r="AF328" s="473">
        <v>0</v>
      </c>
      <c r="AG328" s="515"/>
      <c r="AH328" s="516"/>
      <c r="AI328" s="491"/>
      <c r="AJ328" s="491"/>
      <c r="AK328" s="516"/>
      <c r="AL328" s="516"/>
      <c r="AM328" s="491"/>
      <c r="AN328" s="491"/>
      <c r="AO328" s="516"/>
      <c r="AP328" s="516"/>
      <c r="AQ328" s="491"/>
      <c r="AR328" s="493"/>
      <c r="AS328" s="517"/>
      <c r="AT328" s="516"/>
      <c r="AU328" s="491"/>
      <c r="AV328" s="491"/>
      <c r="AW328" s="516"/>
      <c r="AX328" s="516">
        <v>1</v>
      </c>
      <c r="AY328" s="491">
        <v>1</v>
      </c>
      <c r="AZ328" s="491">
        <v>1</v>
      </c>
      <c r="BA328" s="516">
        <v>1</v>
      </c>
      <c r="BB328" s="516">
        <v>1</v>
      </c>
      <c r="BC328" s="491">
        <v>1</v>
      </c>
      <c r="BD328" s="518">
        <v>1</v>
      </c>
      <c r="BE328" s="482">
        <f>(U328)-(AS328)</f>
        <v>0</v>
      </c>
      <c r="BF328" s="482">
        <f>SUM($U328:W328)-SUM($AS328:AT328)</f>
        <v>0</v>
      </c>
      <c r="BG328" s="482">
        <f>SUM($U328:X328)-SUM($AS328:AU328)</f>
        <v>0</v>
      </c>
      <c r="BH328" s="482">
        <f>SUM($U328:Y328)-SUM($AS328:AV328)</f>
        <v>0</v>
      </c>
      <c r="BI328" s="482">
        <f>SUM($U328:Z328)-SUM($AS328:AW328)</f>
        <v>0</v>
      </c>
      <c r="BJ328" s="482">
        <f>SUM($U328:AA328)-SUM($AS328:AX328)</f>
        <v>-1</v>
      </c>
      <c r="BK328" s="482">
        <f>SUM($U328:AB328)-SUM($AS328:AY328)</f>
        <v>-2</v>
      </c>
      <c r="BL328" s="482">
        <f>SUM($U328:AC328)-SUM($AS328:AZ328)</f>
        <v>-3</v>
      </c>
      <c r="BM328" s="482">
        <f>SUM($U328:AD328)-SUM($AS328:BA328)</f>
        <v>-4</v>
      </c>
      <c r="BN328" s="482">
        <f>SUM($U328:AE328)-SUM($AS328:BB328)</f>
        <v>-5</v>
      </c>
      <c r="BO328" s="482">
        <f>SUM($U328:AF328)-SUM($AS328:BC328)</f>
        <v>-6</v>
      </c>
      <c r="BP328" s="483">
        <f>SUM($U328:AG328)-SUM($AS328:BD328)</f>
        <v>-7</v>
      </c>
      <c r="BQ328" s="484">
        <f t="shared" si="33"/>
        <v>0</v>
      </c>
      <c r="BR328" s="482">
        <f>SUM($AS328:AT328)</f>
        <v>0</v>
      </c>
      <c r="BS328" s="482">
        <f>SUM($AS328:AU328)</f>
        <v>0</v>
      </c>
      <c r="BT328" s="482">
        <f>SUM($AS328:AV328)</f>
        <v>0</v>
      </c>
      <c r="BU328" s="482">
        <f>SUM($AS328:AW328)</f>
        <v>0</v>
      </c>
      <c r="BV328" s="482">
        <f>SUM($AS328:AX328)</f>
        <v>1</v>
      </c>
      <c r="BW328" s="482">
        <f>SUM($AS328:AY328)</f>
        <v>2</v>
      </c>
      <c r="BX328" s="482">
        <f>SUM($AS328:AZ328)</f>
        <v>3</v>
      </c>
      <c r="BY328" s="482">
        <f>SUM($AS328:BA328)</f>
        <v>4</v>
      </c>
      <c r="BZ328" s="482">
        <f>SUM($AS328:BB328)</f>
        <v>5</v>
      </c>
      <c r="CA328" s="482">
        <f>SUM($AS328:BC328)</f>
        <v>6</v>
      </c>
      <c r="CB328" s="483">
        <f>SUM($AS328:BD328)</f>
        <v>7</v>
      </c>
    </row>
    <row r="329" spans="1:80" s="471" customFormat="1" ht="13">
      <c r="C329" s="636"/>
      <c r="D329" s="636"/>
      <c r="E329" s="637"/>
      <c r="F329" s="638" t="s">
        <v>119</v>
      </c>
      <c r="G329" s="639">
        <f>SUM(G145:G328)</f>
        <v>51097</v>
      </c>
      <c r="H329" s="582">
        <f t="shared" si="31"/>
        <v>322</v>
      </c>
      <c r="I329" s="519">
        <f t="shared" ref="I329:AN329" si="34">SUM(I145:I328)</f>
        <v>51097</v>
      </c>
      <c r="J329" s="520">
        <f t="shared" si="34"/>
        <v>51097</v>
      </c>
      <c r="K329" s="520">
        <f t="shared" si="34"/>
        <v>51097</v>
      </c>
      <c r="L329" s="520">
        <f t="shared" si="34"/>
        <v>51097</v>
      </c>
      <c r="M329" s="520">
        <f t="shared" si="34"/>
        <v>51097</v>
      </c>
      <c r="N329" s="520">
        <f t="shared" si="34"/>
        <v>51097</v>
      </c>
      <c r="O329" s="520">
        <f t="shared" si="34"/>
        <v>51097</v>
      </c>
      <c r="P329" s="520">
        <f t="shared" si="34"/>
        <v>51097</v>
      </c>
      <c r="Q329" s="520">
        <f t="shared" si="34"/>
        <v>51097</v>
      </c>
      <c r="R329" s="520">
        <f t="shared" si="34"/>
        <v>51097</v>
      </c>
      <c r="S329" s="520">
        <f t="shared" si="34"/>
        <v>51097</v>
      </c>
      <c r="T329" s="521">
        <f>SUM(T145:T328)</f>
        <v>51097</v>
      </c>
      <c r="U329" s="522">
        <f t="shared" si="34"/>
        <v>105110.25</v>
      </c>
      <c r="V329" s="520">
        <f t="shared" si="34"/>
        <v>105110.25</v>
      </c>
      <c r="W329" s="520">
        <f t="shared" si="34"/>
        <v>105110.25</v>
      </c>
      <c r="X329" s="520">
        <f t="shared" si="34"/>
        <v>105701.48999999999</v>
      </c>
      <c r="Y329" s="520">
        <f t="shared" si="34"/>
        <v>105701.48999999999</v>
      </c>
      <c r="Z329" s="520">
        <f t="shared" si="34"/>
        <v>105701.48999999999</v>
      </c>
      <c r="AA329" s="520">
        <f t="shared" si="34"/>
        <v>107368.16</v>
      </c>
      <c r="AB329" s="520">
        <f t="shared" si="34"/>
        <v>107368.16</v>
      </c>
      <c r="AC329" s="520">
        <f t="shared" si="34"/>
        <v>107368.16</v>
      </c>
      <c r="AD329" s="520">
        <f t="shared" si="34"/>
        <v>107368.16</v>
      </c>
      <c r="AE329" s="520">
        <f t="shared" si="34"/>
        <v>107368.16</v>
      </c>
      <c r="AF329" s="520">
        <f t="shared" si="34"/>
        <v>107368.16</v>
      </c>
      <c r="AG329" s="519">
        <f t="shared" si="34"/>
        <v>51097</v>
      </c>
      <c r="AH329" s="520">
        <f t="shared" si="34"/>
        <v>51097</v>
      </c>
      <c r="AI329" s="520">
        <f t="shared" si="34"/>
        <v>51097</v>
      </c>
      <c r="AJ329" s="520">
        <f t="shared" si="34"/>
        <v>51097</v>
      </c>
      <c r="AK329" s="520">
        <f t="shared" si="34"/>
        <v>51097</v>
      </c>
      <c r="AL329" s="520">
        <f t="shared" si="34"/>
        <v>51097</v>
      </c>
      <c r="AM329" s="520">
        <f t="shared" si="34"/>
        <v>51097</v>
      </c>
      <c r="AN329" s="520">
        <f t="shared" si="34"/>
        <v>51097</v>
      </c>
      <c r="AO329" s="520">
        <f t="shared" ref="AO329:BT329" si="35">SUM(AO145:AO328)</f>
        <v>51097</v>
      </c>
      <c r="AP329" s="520">
        <f t="shared" si="35"/>
        <v>51097</v>
      </c>
      <c r="AQ329" s="520">
        <f t="shared" si="35"/>
        <v>51097</v>
      </c>
      <c r="AR329" s="521">
        <f t="shared" si="35"/>
        <v>51097</v>
      </c>
      <c r="AS329" s="522">
        <f t="shared" si="35"/>
        <v>105111</v>
      </c>
      <c r="AT329" s="520">
        <f t="shared" si="35"/>
        <v>105111</v>
      </c>
      <c r="AU329" s="520">
        <f t="shared" si="35"/>
        <v>105111</v>
      </c>
      <c r="AV329" s="520">
        <f t="shared" si="35"/>
        <v>105702</v>
      </c>
      <c r="AW329" s="520">
        <f t="shared" si="35"/>
        <v>105702</v>
      </c>
      <c r="AX329" s="520">
        <f t="shared" si="35"/>
        <v>105703</v>
      </c>
      <c r="AY329" s="520">
        <f t="shared" si="35"/>
        <v>107369</v>
      </c>
      <c r="AZ329" s="520">
        <f t="shared" si="35"/>
        <v>107369</v>
      </c>
      <c r="BA329" s="520">
        <f t="shared" si="35"/>
        <v>107369</v>
      </c>
      <c r="BB329" s="520">
        <f t="shared" si="35"/>
        <v>107369</v>
      </c>
      <c r="BC329" s="520">
        <f t="shared" si="35"/>
        <v>107369</v>
      </c>
      <c r="BD329" s="523">
        <f t="shared" si="35"/>
        <v>107369</v>
      </c>
      <c r="BE329" s="520">
        <f t="shared" si="35"/>
        <v>105110.25</v>
      </c>
      <c r="BF329" s="520">
        <f t="shared" si="35"/>
        <v>210220.5</v>
      </c>
      <c r="BG329" s="520">
        <f t="shared" si="35"/>
        <v>315330.75</v>
      </c>
      <c r="BH329" s="520">
        <f t="shared" si="35"/>
        <v>421032.24</v>
      </c>
      <c r="BI329" s="520">
        <f t="shared" si="35"/>
        <v>526733.73</v>
      </c>
      <c r="BJ329" s="520">
        <f t="shared" si="35"/>
        <v>632434.22</v>
      </c>
      <c r="BK329" s="520">
        <f t="shared" si="35"/>
        <v>739801.37999999989</v>
      </c>
      <c r="BL329" s="520">
        <f t="shared" si="35"/>
        <v>847168.53999999992</v>
      </c>
      <c r="BM329" s="520">
        <f t="shared" si="35"/>
        <v>954535.7</v>
      </c>
      <c r="BN329" s="520">
        <f t="shared" si="35"/>
        <v>1061902.8599999999</v>
      </c>
      <c r="BO329" s="520">
        <f t="shared" si="35"/>
        <v>1169270.02</v>
      </c>
      <c r="BP329" s="523">
        <f t="shared" si="35"/>
        <v>1276637.18</v>
      </c>
      <c r="BQ329" s="522">
        <f t="shared" si="35"/>
        <v>105111</v>
      </c>
      <c r="BR329" s="520">
        <f t="shared" si="35"/>
        <v>210222</v>
      </c>
      <c r="BS329" s="520">
        <f t="shared" si="35"/>
        <v>315333</v>
      </c>
      <c r="BT329" s="520">
        <f t="shared" si="35"/>
        <v>421035</v>
      </c>
      <c r="BU329" s="520">
        <f t="shared" ref="BU329:CB329" si="36">SUM(BU145:BU328)</f>
        <v>526737</v>
      </c>
      <c r="BV329" s="520">
        <f t="shared" si="36"/>
        <v>632440</v>
      </c>
      <c r="BW329" s="520">
        <f t="shared" si="36"/>
        <v>739809</v>
      </c>
      <c r="BX329" s="520">
        <f t="shared" si="36"/>
        <v>847178</v>
      </c>
      <c r="BY329" s="520">
        <f t="shared" si="36"/>
        <v>954547</v>
      </c>
      <c r="BZ329" s="520">
        <f t="shared" si="36"/>
        <v>1061916</v>
      </c>
      <c r="CA329" s="520">
        <f t="shared" si="36"/>
        <v>1169285</v>
      </c>
      <c r="CB329" s="523">
        <f t="shared" si="36"/>
        <v>1276654</v>
      </c>
    </row>
    <row r="330" spans="1:80" s="471" customFormat="1">
      <c r="C330" s="533"/>
      <c r="D330" s="533"/>
      <c r="E330" s="420"/>
      <c r="F330" s="420"/>
      <c r="G330" s="584"/>
      <c r="H330" s="582">
        <f t="shared" si="31"/>
        <v>323</v>
      </c>
      <c r="I330" s="524"/>
      <c r="J330" s="480"/>
      <c r="K330" s="496"/>
      <c r="L330" s="496"/>
      <c r="M330" s="480"/>
      <c r="N330" s="480"/>
      <c r="O330" s="496"/>
      <c r="P330" s="496"/>
      <c r="Q330" s="480"/>
      <c r="R330" s="480"/>
      <c r="S330" s="480"/>
      <c r="T330" s="497"/>
      <c r="U330" s="509"/>
      <c r="V330" s="496"/>
      <c r="W330" s="496"/>
      <c r="X330" s="496"/>
      <c r="Y330" s="496"/>
      <c r="Z330" s="496"/>
      <c r="AA330" s="496"/>
      <c r="AB330" s="496"/>
      <c r="AC330" s="496"/>
      <c r="AD330" s="496"/>
      <c r="AE330" s="496"/>
      <c r="AF330" s="496"/>
      <c r="AG330" s="524"/>
      <c r="AH330" s="480"/>
      <c r="AI330" s="496"/>
      <c r="AJ330" s="496"/>
      <c r="AK330" s="480"/>
      <c r="AL330" s="480"/>
      <c r="AM330" s="496"/>
      <c r="AN330" s="496"/>
      <c r="AO330" s="480"/>
      <c r="AP330" s="480"/>
      <c r="AQ330" s="480"/>
      <c r="AR330" s="497"/>
      <c r="AS330" s="479"/>
      <c r="AT330" s="480"/>
      <c r="AU330" s="480"/>
      <c r="AV330" s="480"/>
      <c r="AW330" s="480"/>
      <c r="AX330" s="480"/>
      <c r="AY330" s="496"/>
      <c r="AZ330" s="496"/>
      <c r="BA330" s="480"/>
      <c r="BB330" s="480"/>
      <c r="BC330" s="496"/>
      <c r="BD330" s="511"/>
      <c r="BE330" s="482"/>
      <c r="BF330" s="482"/>
      <c r="BG330" s="482"/>
      <c r="BH330" s="482"/>
      <c r="BI330" s="482"/>
      <c r="BJ330" s="482"/>
      <c r="BK330" s="482"/>
      <c r="BL330" s="482"/>
      <c r="BM330" s="482"/>
      <c r="BN330" s="482"/>
      <c r="BO330" s="482"/>
      <c r="BP330" s="483"/>
      <c r="BQ330" s="484"/>
      <c r="BR330" s="482"/>
      <c r="BS330" s="482"/>
      <c r="BT330" s="482"/>
      <c r="BU330" s="482"/>
      <c r="BV330" s="482"/>
      <c r="BW330" s="482"/>
      <c r="BX330" s="482"/>
      <c r="BY330" s="482"/>
      <c r="BZ330" s="482"/>
      <c r="CA330" s="482"/>
      <c r="CB330" s="483"/>
    </row>
    <row r="331" spans="1:80" s="471" customFormat="1" ht="13.5" thickBot="1">
      <c r="C331" s="592"/>
      <c r="D331" s="592"/>
      <c r="E331" s="421"/>
      <c r="F331" s="640" t="s">
        <v>147</v>
      </c>
      <c r="G331" s="641">
        <f>+G142+G329</f>
        <v>64353</v>
      </c>
      <c r="H331" s="582">
        <f t="shared" si="31"/>
        <v>324</v>
      </c>
      <c r="I331" s="525">
        <f t="shared" ref="I331:AN331" si="37">+I142+I329</f>
        <v>64353</v>
      </c>
      <c r="J331" s="526">
        <f t="shared" si="37"/>
        <v>64353</v>
      </c>
      <c r="K331" s="526">
        <f t="shared" si="37"/>
        <v>64353</v>
      </c>
      <c r="L331" s="526">
        <f t="shared" si="37"/>
        <v>64353</v>
      </c>
      <c r="M331" s="526">
        <f t="shared" si="37"/>
        <v>64353</v>
      </c>
      <c r="N331" s="526">
        <f t="shared" si="37"/>
        <v>64353</v>
      </c>
      <c r="O331" s="526">
        <f t="shared" si="37"/>
        <v>63153</v>
      </c>
      <c r="P331" s="526">
        <f t="shared" si="37"/>
        <v>63153</v>
      </c>
      <c r="Q331" s="526">
        <f t="shared" si="37"/>
        <v>63153</v>
      </c>
      <c r="R331" s="526">
        <f t="shared" si="37"/>
        <v>63153</v>
      </c>
      <c r="S331" s="526">
        <f t="shared" si="37"/>
        <v>63153</v>
      </c>
      <c r="T331" s="527">
        <f t="shared" si="37"/>
        <v>63153</v>
      </c>
      <c r="U331" s="528">
        <f t="shared" si="37"/>
        <v>164101.3101</v>
      </c>
      <c r="V331" s="526">
        <f>+V142+V329</f>
        <v>164101.3101</v>
      </c>
      <c r="W331" s="526">
        <f t="shared" si="37"/>
        <v>164864.45009999999</v>
      </c>
      <c r="X331" s="526">
        <f t="shared" si="37"/>
        <v>165455.69009999998</v>
      </c>
      <c r="Y331" s="526">
        <f t="shared" si="37"/>
        <v>165455.69009999998</v>
      </c>
      <c r="Z331" s="526">
        <f t="shared" si="37"/>
        <v>165592.19009999998</v>
      </c>
      <c r="AA331" s="526">
        <f t="shared" si="37"/>
        <v>162043.73009999999</v>
      </c>
      <c r="AB331" s="526">
        <f t="shared" si="37"/>
        <v>159613.73009999999</v>
      </c>
      <c r="AC331" s="526">
        <f t="shared" si="37"/>
        <v>158964.9901</v>
      </c>
      <c r="AD331" s="526">
        <f t="shared" si="37"/>
        <v>160450.13010000001</v>
      </c>
      <c r="AE331" s="526">
        <f t="shared" si="37"/>
        <v>159613.73009999999</v>
      </c>
      <c r="AF331" s="526">
        <f t="shared" si="37"/>
        <v>157725.63010000001</v>
      </c>
      <c r="AG331" s="525">
        <f t="shared" si="37"/>
        <v>64353</v>
      </c>
      <c r="AH331" s="526">
        <f t="shared" si="37"/>
        <v>64353</v>
      </c>
      <c r="AI331" s="526">
        <f t="shared" si="37"/>
        <v>64353</v>
      </c>
      <c r="AJ331" s="526">
        <f t="shared" si="37"/>
        <v>64353</v>
      </c>
      <c r="AK331" s="526">
        <f t="shared" si="37"/>
        <v>64353</v>
      </c>
      <c r="AL331" s="526">
        <f t="shared" si="37"/>
        <v>64353</v>
      </c>
      <c r="AM331" s="526">
        <f t="shared" si="37"/>
        <v>64353</v>
      </c>
      <c r="AN331" s="526">
        <f t="shared" si="37"/>
        <v>64353</v>
      </c>
      <c r="AO331" s="526">
        <f t="shared" ref="AO331:BT331" si="38">+AO142+AO329</f>
        <v>64353</v>
      </c>
      <c r="AP331" s="526">
        <f t="shared" si="38"/>
        <v>64353</v>
      </c>
      <c r="AQ331" s="526">
        <f t="shared" si="38"/>
        <v>64353</v>
      </c>
      <c r="AR331" s="527">
        <f t="shared" si="38"/>
        <v>64353</v>
      </c>
      <c r="AS331" s="528">
        <f t="shared" si="38"/>
        <v>164102</v>
      </c>
      <c r="AT331" s="526">
        <f t="shared" si="38"/>
        <v>164102</v>
      </c>
      <c r="AU331" s="526">
        <f t="shared" si="38"/>
        <v>164865</v>
      </c>
      <c r="AV331" s="526">
        <f t="shared" si="38"/>
        <v>165456</v>
      </c>
      <c r="AW331" s="526">
        <f t="shared" si="38"/>
        <v>165456</v>
      </c>
      <c r="AX331" s="526">
        <f t="shared" si="38"/>
        <v>165593</v>
      </c>
      <c r="AY331" s="526">
        <f t="shared" si="38"/>
        <v>167944</v>
      </c>
      <c r="AZ331" s="526">
        <f t="shared" si="38"/>
        <v>167944</v>
      </c>
      <c r="BA331" s="526">
        <f t="shared" si="38"/>
        <v>167944</v>
      </c>
      <c r="BB331" s="526">
        <f t="shared" si="38"/>
        <v>167944</v>
      </c>
      <c r="BC331" s="526">
        <f t="shared" si="38"/>
        <v>167944</v>
      </c>
      <c r="BD331" s="529">
        <f t="shared" si="38"/>
        <v>168532</v>
      </c>
      <c r="BE331" s="530">
        <f t="shared" si="38"/>
        <v>164101.3101</v>
      </c>
      <c r="BF331" s="530">
        <f t="shared" si="38"/>
        <v>328202.6202</v>
      </c>
      <c r="BG331" s="530">
        <f t="shared" si="38"/>
        <v>493067.07030000002</v>
      </c>
      <c r="BH331" s="530">
        <f t="shared" si="38"/>
        <v>658522.76040000003</v>
      </c>
      <c r="BI331" s="530">
        <f t="shared" si="38"/>
        <v>823978.45050000004</v>
      </c>
      <c r="BJ331" s="530">
        <f t="shared" si="38"/>
        <v>989569.64060000004</v>
      </c>
      <c r="BK331" s="530">
        <f t="shared" si="38"/>
        <v>1151612.3706999999</v>
      </c>
      <c r="BL331" s="530">
        <f t="shared" si="38"/>
        <v>1308795.1007999999</v>
      </c>
      <c r="BM331" s="530">
        <f t="shared" si="38"/>
        <v>1464210.0909</v>
      </c>
      <c r="BN331" s="530">
        <f t="shared" si="38"/>
        <v>1624659.2209999999</v>
      </c>
      <c r="BO331" s="530">
        <f t="shared" si="38"/>
        <v>1784271.9510999999</v>
      </c>
      <c r="BP331" s="531">
        <f t="shared" si="38"/>
        <v>1939521.5811999999</v>
      </c>
      <c r="BQ331" s="532">
        <f t="shared" si="38"/>
        <v>164102</v>
      </c>
      <c r="BR331" s="530">
        <f t="shared" si="38"/>
        <v>328204</v>
      </c>
      <c r="BS331" s="530">
        <f t="shared" si="38"/>
        <v>493069</v>
      </c>
      <c r="BT331" s="530">
        <f t="shared" si="38"/>
        <v>658525</v>
      </c>
      <c r="BU331" s="530">
        <f t="shared" ref="BU331:CB331" si="39">+BU142+BU329</f>
        <v>823981</v>
      </c>
      <c r="BV331" s="530">
        <f t="shared" si="39"/>
        <v>989574</v>
      </c>
      <c r="BW331" s="530">
        <f t="shared" si="39"/>
        <v>1157518</v>
      </c>
      <c r="BX331" s="530">
        <f t="shared" si="39"/>
        <v>1325462</v>
      </c>
      <c r="BY331" s="530">
        <f t="shared" si="39"/>
        <v>1493406</v>
      </c>
      <c r="BZ331" s="530">
        <f t="shared" si="39"/>
        <v>1661350</v>
      </c>
      <c r="CA331" s="530">
        <f t="shared" si="39"/>
        <v>1829294</v>
      </c>
      <c r="CB331" s="531">
        <f t="shared" si="39"/>
        <v>1997826</v>
      </c>
    </row>
    <row r="332" spans="1:80" s="471" customFormat="1" ht="13" thickTop="1">
      <c r="C332" s="533"/>
      <c r="D332" s="533"/>
      <c r="E332" s="420"/>
      <c r="F332" s="420"/>
      <c r="G332" s="420"/>
      <c r="H332" s="582">
        <f t="shared" si="31"/>
        <v>325</v>
      </c>
      <c r="I332" s="582"/>
      <c r="J332" s="472"/>
      <c r="K332" s="472"/>
      <c r="L332" s="472"/>
      <c r="M332" s="472"/>
      <c r="N332" s="472"/>
      <c r="O332" s="472"/>
      <c r="P332" s="472"/>
      <c r="Q332" s="472"/>
      <c r="R332" s="472"/>
      <c r="S332" s="472"/>
      <c r="T332" s="472"/>
      <c r="U332" s="472"/>
      <c r="V332" s="472"/>
      <c r="W332" s="472"/>
      <c r="X332" s="472"/>
      <c r="Y332" s="472"/>
      <c r="Z332" s="472"/>
      <c r="AA332" s="472"/>
      <c r="AB332" s="472"/>
      <c r="AC332" s="472"/>
      <c r="AD332" s="472"/>
      <c r="AE332" s="472"/>
      <c r="AF332" s="472"/>
      <c r="AG332" s="482"/>
      <c r="AH332" s="482"/>
      <c r="AK332" s="482"/>
      <c r="AL332" s="482"/>
      <c r="AO332" s="482"/>
      <c r="AP332" s="482"/>
      <c r="AS332" s="482"/>
      <c r="AT332" s="482"/>
      <c r="AW332" s="482"/>
      <c r="AX332" s="482"/>
      <c r="BA332" s="482"/>
      <c r="BB332" s="482"/>
      <c r="BE332" s="482"/>
      <c r="BF332" s="482"/>
      <c r="BG332" s="482"/>
      <c r="BH332" s="482"/>
      <c r="BI332" s="482"/>
      <c r="BJ332" s="482"/>
      <c r="BK332" s="482"/>
      <c r="BL332" s="482"/>
      <c r="BM332" s="482"/>
      <c r="BN332" s="482"/>
      <c r="BO332" s="482"/>
      <c r="BP332" s="482"/>
      <c r="BQ332" s="482"/>
      <c r="BR332" s="482"/>
      <c r="BS332" s="482"/>
      <c r="BT332" s="482"/>
      <c r="BU332" s="482"/>
      <c r="BV332" s="482"/>
      <c r="BW332" s="482"/>
      <c r="BX332" s="482"/>
      <c r="BY332" s="482"/>
      <c r="BZ332" s="482"/>
      <c r="CA332" s="482"/>
      <c r="CB332" s="482"/>
    </row>
    <row r="333" spans="1:80" s="412" customFormat="1" ht="13" thickBot="1">
      <c r="G333" s="413"/>
      <c r="H333" s="472">
        <f t="shared" si="31"/>
        <v>326</v>
      </c>
      <c r="I333" s="472"/>
      <c r="J333" s="472"/>
      <c r="K333" s="472"/>
      <c r="L333" s="472"/>
      <c r="M333" s="472"/>
      <c r="N333" s="472"/>
      <c r="O333" s="472"/>
      <c r="P333" s="472"/>
      <c r="Q333" s="472"/>
      <c r="R333" s="472"/>
      <c r="S333" s="472"/>
      <c r="T333" s="472"/>
      <c r="U333" s="472"/>
      <c r="V333" s="472"/>
      <c r="W333" s="472"/>
      <c r="X333" s="472"/>
      <c r="Y333" s="472"/>
      <c r="Z333" s="472"/>
      <c r="AA333" s="472"/>
      <c r="AB333" s="472">
        <v>-2430</v>
      </c>
      <c r="AC333" s="473">
        <f>(3549-3549*3+1774.5*2)</f>
        <v>-3549</v>
      </c>
      <c r="AD333" s="472"/>
      <c r="AE333" s="472"/>
      <c r="AF333" s="473">
        <v>-2475</v>
      </c>
      <c r="BE333" s="534"/>
      <c r="BF333" s="534"/>
      <c r="BG333" s="534"/>
      <c r="BH333" s="534"/>
      <c r="BI333" s="534"/>
      <c r="BJ333" s="534"/>
      <c r="BK333" s="534"/>
      <c r="BL333" s="534"/>
      <c r="BM333" s="534"/>
      <c r="BN333" s="534"/>
      <c r="BO333" s="534"/>
      <c r="BP333" s="534"/>
      <c r="BQ333" s="534"/>
      <c r="BR333" s="534"/>
      <c r="BS333" s="534"/>
      <c r="BT333" s="534"/>
      <c r="BU333" s="534"/>
      <c r="BV333" s="534"/>
      <c r="BW333" s="534"/>
      <c r="BX333" s="534"/>
      <c r="BY333" s="534"/>
      <c r="BZ333" s="534"/>
      <c r="CA333" s="534"/>
      <c r="CB333" s="534"/>
    </row>
    <row r="334" spans="1:80" s="412" customFormat="1" ht="13">
      <c r="D334" s="535"/>
      <c r="E334" s="536"/>
      <c r="F334" s="536"/>
      <c r="G334" s="537" t="s">
        <v>243</v>
      </c>
      <c r="H334" s="538">
        <f t="shared" si="31"/>
        <v>327</v>
      </c>
      <c r="I334" s="539">
        <v>13256</v>
      </c>
      <c r="J334" s="539">
        <v>13256</v>
      </c>
      <c r="K334" s="540">
        <v>13256</v>
      </c>
      <c r="L334" s="540">
        <v>13256</v>
      </c>
      <c r="M334" s="540">
        <v>13256</v>
      </c>
      <c r="N334" s="540">
        <v>13256</v>
      </c>
      <c r="O334" s="540">
        <v>13256</v>
      </c>
      <c r="P334" s="540">
        <v>13256</v>
      </c>
      <c r="Q334" s="540">
        <v>13256</v>
      </c>
      <c r="R334" s="540">
        <v>13256</v>
      </c>
      <c r="S334" s="540">
        <v>13256</v>
      </c>
      <c r="T334" s="541">
        <v>13256</v>
      </c>
      <c r="U334" s="542"/>
      <c r="V334" s="542"/>
      <c r="W334" s="542"/>
      <c r="X334" s="542"/>
      <c r="Y334" s="542"/>
      <c r="Z334" s="542"/>
      <c r="AA334" s="542"/>
      <c r="AB334" s="542"/>
      <c r="AC334" s="542"/>
      <c r="AD334" s="542"/>
      <c r="AE334" s="542"/>
      <c r="AF334" s="542"/>
      <c r="AG334" s="543">
        <v>13256</v>
      </c>
      <c r="AH334" s="543">
        <v>13256</v>
      </c>
      <c r="AI334" s="543">
        <v>13256</v>
      </c>
      <c r="AJ334" s="543">
        <v>13256</v>
      </c>
      <c r="AK334" s="543">
        <v>13256</v>
      </c>
      <c r="AL334" s="543">
        <v>13256</v>
      </c>
      <c r="AM334" s="543">
        <v>13256</v>
      </c>
      <c r="AN334" s="543">
        <v>13256</v>
      </c>
      <c r="AO334" s="543">
        <v>13256</v>
      </c>
      <c r="AP334" s="543">
        <v>13256</v>
      </c>
      <c r="AQ334" s="543">
        <v>13256</v>
      </c>
      <c r="AR334" s="544">
        <v>13256</v>
      </c>
    </row>
    <row r="335" spans="1:80" s="412" customFormat="1" ht="13.5" thickBot="1">
      <c r="D335" s="545"/>
      <c r="E335" s="546"/>
      <c r="F335" s="546"/>
      <c r="G335" s="547" t="s">
        <v>244</v>
      </c>
      <c r="H335" s="548">
        <f t="shared" si="31"/>
        <v>328</v>
      </c>
      <c r="I335" s="549">
        <v>64353</v>
      </c>
      <c r="J335" s="549">
        <v>64353</v>
      </c>
      <c r="K335" s="549">
        <v>64353</v>
      </c>
      <c r="L335" s="549">
        <v>64353</v>
      </c>
      <c r="M335" s="549">
        <v>64353</v>
      </c>
      <c r="N335" s="549">
        <v>64353</v>
      </c>
      <c r="O335" s="549">
        <v>64353</v>
      </c>
      <c r="P335" s="549">
        <v>64353</v>
      </c>
      <c r="Q335" s="549">
        <v>64353</v>
      </c>
      <c r="R335" s="549">
        <v>64353</v>
      </c>
      <c r="S335" s="549">
        <v>64353</v>
      </c>
      <c r="T335" s="550">
        <v>64353</v>
      </c>
      <c r="U335" s="551"/>
      <c r="V335" s="551"/>
      <c r="W335" s="551"/>
      <c r="X335" s="551"/>
      <c r="Y335" s="551"/>
      <c r="Z335" s="551"/>
      <c r="AA335" s="551"/>
      <c r="AB335" s="551"/>
      <c r="AC335" s="551"/>
      <c r="AD335" s="551"/>
      <c r="AE335" s="551"/>
      <c r="AF335" s="551"/>
      <c r="AG335" s="552">
        <v>64353</v>
      </c>
      <c r="AH335" s="552">
        <v>64353</v>
      </c>
      <c r="AI335" s="552">
        <v>64353</v>
      </c>
      <c r="AJ335" s="552">
        <v>64353</v>
      </c>
      <c r="AK335" s="552">
        <v>64353</v>
      </c>
      <c r="AL335" s="552">
        <v>64353</v>
      </c>
      <c r="AM335" s="552">
        <v>64353</v>
      </c>
      <c r="AN335" s="552">
        <v>64353</v>
      </c>
      <c r="AO335" s="552">
        <v>64353</v>
      </c>
      <c r="AP335" s="552">
        <v>64353</v>
      </c>
      <c r="AQ335" s="552">
        <v>64353</v>
      </c>
      <c r="AR335" s="553">
        <v>64353</v>
      </c>
    </row>
    <row r="336" spans="1:80" s="412" customFormat="1">
      <c r="G336" s="554" t="s">
        <v>129</v>
      </c>
      <c r="H336" s="472">
        <f t="shared" si="31"/>
        <v>329</v>
      </c>
      <c r="I336" s="472"/>
      <c r="J336" s="472"/>
      <c r="K336" s="472"/>
      <c r="L336" s="472"/>
      <c r="M336" s="472"/>
      <c r="N336" s="472"/>
      <c r="O336" s="472"/>
      <c r="P336" s="472"/>
      <c r="Q336" s="472"/>
      <c r="R336" s="472"/>
      <c r="S336" s="472"/>
      <c r="T336" s="472"/>
      <c r="U336" s="472"/>
      <c r="V336" s="472"/>
      <c r="W336" s="472"/>
      <c r="X336" s="472"/>
      <c r="Y336" s="472"/>
      <c r="Z336" s="472"/>
      <c r="AA336" s="472"/>
      <c r="AB336" s="472"/>
      <c r="AC336" s="472"/>
      <c r="AD336" s="472"/>
      <c r="AE336" s="472"/>
      <c r="AF336" s="472"/>
    </row>
    <row r="337" spans="1:56" s="557" customFormat="1">
      <c r="A337" s="412"/>
      <c r="B337" s="412"/>
      <c r="C337" s="412"/>
      <c r="D337" s="412"/>
      <c r="E337" s="412"/>
      <c r="F337" s="412"/>
      <c r="G337" s="554" t="s">
        <v>245</v>
      </c>
      <c r="H337" s="472">
        <f t="shared" si="31"/>
        <v>330</v>
      </c>
      <c r="I337" s="555">
        <f t="shared" ref="I337:T337" si="40">+I142/I334</f>
        <v>1</v>
      </c>
      <c r="J337" s="555">
        <f t="shared" si="40"/>
        <v>1</v>
      </c>
      <c r="K337" s="555">
        <f t="shared" si="40"/>
        <v>1</v>
      </c>
      <c r="L337" s="555">
        <f t="shared" si="40"/>
        <v>1</v>
      </c>
      <c r="M337" s="555">
        <f t="shared" si="40"/>
        <v>1</v>
      </c>
      <c r="N337" s="555">
        <f t="shared" si="40"/>
        <v>1</v>
      </c>
      <c r="O337" s="555">
        <f t="shared" si="40"/>
        <v>0.90947495473747741</v>
      </c>
      <c r="P337" s="555">
        <f t="shared" si="40"/>
        <v>0.90947495473747741</v>
      </c>
      <c r="Q337" s="555">
        <f t="shared" si="40"/>
        <v>0.90947495473747741</v>
      </c>
      <c r="R337" s="555">
        <f t="shared" si="40"/>
        <v>0.90947495473747741</v>
      </c>
      <c r="S337" s="555">
        <f t="shared" si="40"/>
        <v>0.90947495473747741</v>
      </c>
      <c r="T337" s="555">
        <f t="shared" si="40"/>
        <v>0.90947495473747741</v>
      </c>
      <c r="U337" s="556">
        <f t="shared" ref="U337:AE337" si="41">+U142/I142*12</f>
        <v>53.401683856366915</v>
      </c>
      <c r="V337" s="556">
        <f t="shared" si="41"/>
        <v>53.401683856366915</v>
      </c>
      <c r="W337" s="556">
        <f t="shared" si="41"/>
        <v>54.092516686783341</v>
      </c>
      <c r="X337" s="556">
        <f t="shared" si="41"/>
        <v>54.092516686783341</v>
      </c>
      <c r="Y337" s="556">
        <f t="shared" si="41"/>
        <v>54.092516686783341</v>
      </c>
      <c r="Z337" s="556">
        <f t="shared" si="41"/>
        <v>54.216083373566683</v>
      </c>
      <c r="AA337" s="556">
        <f t="shared" si="41"/>
        <v>54.421602621101528</v>
      </c>
      <c r="AB337" s="556">
        <f>+AB142/P142*12</f>
        <v>52.002889946914401</v>
      </c>
      <c r="AC337" s="556">
        <f>+AC142/Q142*12</f>
        <v>51.357163337757143</v>
      </c>
      <c r="AD337" s="556">
        <f>+AD142/R142*12</f>
        <v>52.835404877239547</v>
      </c>
      <c r="AE337" s="556">
        <f t="shared" si="41"/>
        <v>52.002889946914401</v>
      </c>
      <c r="AF337" s="556">
        <f>+AF142/T142*12</f>
        <v>50.123560152621103</v>
      </c>
      <c r="AG337" s="555">
        <f t="shared" ref="AG337:AR337" si="42">+AG142/AG334</f>
        <v>1</v>
      </c>
      <c r="AH337" s="555">
        <f t="shared" si="42"/>
        <v>1</v>
      </c>
      <c r="AI337" s="555">
        <f t="shared" si="42"/>
        <v>1</v>
      </c>
      <c r="AJ337" s="555">
        <f t="shared" si="42"/>
        <v>1</v>
      </c>
      <c r="AK337" s="555">
        <f t="shared" si="42"/>
        <v>1</v>
      </c>
      <c r="AL337" s="555">
        <f t="shared" si="42"/>
        <v>1</v>
      </c>
      <c r="AM337" s="555">
        <f t="shared" si="42"/>
        <v>1</v>
      </c>
      <c r="AN337" s="555">
        <f t="shared" si="42"/>
        <v>1</v>
      </c>
      <c r="AO337" s="555">
        <f t="shared" si="42"/>
        <v>1</v>
      </c>
      <c r="AP337" s="555">
        <f t="shared" si="42"/>
        <v>1</v>
      </c>
      <c r="AQ337" s="555">
        <f t="shared" si="42"/>
        <v>1</v>
      </c>
      <c r="AR337" s="555">
        <f t="shared" si="42"/>
        <v>1</v>
      </c>
      <c r="AS337" s="556">
        <f t="shared" ref="AS337:BD337" si="43">+AS142/AG142*12</f>
        <v>53.401629450814724</v>
      </c>
      <c r="AT337" s="556">
        <f t="shared" si="43"/>
        <v>53.401629450814724</v>
      </c>
      <c r="AU337" s="556">
        <f t="shared" si="43"/>
        <v>54.092335546167774</v>
      </c>
      <c r="AV337" s="556">
        <f t="shared" si="43"/>
        <v>54.092335546167774</v>
      </c>
      <c r="AW337" s="556">
        <f t="shared" si="43"/>
        <v>54.092335546167774</v>
      </c>
      <c r="AX337" s="556">
        <f t="shared" si="43"/>
        <v>54.215449607724807</v>
      </c>
      <c r="AY337" s="556">
        <f t="shared" si="43"/>
        <v>54.835546167773089</v>
      </c>
      <c r="AZ337" s="556">
        <f t="shared" si="43"/>
        <v>54.835546167773089</v>
      </c>
      <c r="BA337" s="556">
        <f t="shared" si="43"/>
        <v>54.835546167773089</v>
      </c>
      <c r="BB337" s="556">
        <f t="shared" si="43"/>
        <v>54.835546167773089</v>
      </c>
      <c r="BC337" s="556">
        <f t="shared" si="43"/>
        <v>54.835546167773089</v>
      </c>
      <c r="BD337" s="556">
        <f t="shared" si="43"/>
        <v>55.367833433916715</v>
      </c>
    </row>
    <row r="338" spans="1:56" s="557" customFormat="1">
      <c r="A338" s="412"/>
      <c r="B338" s="412"/>
      <c r="C338" s="412"/>
      <c r="D338" s="412"/>
      <c r="E338" s="412"/>
      <c r="F338" s="412"/>
      <c r="G338" s="554" t="s">
        <v>246</v>
      </c>
      <c r="H338" s="472">
        <f t="shared" si="31"/>
        <v>331</v>
      </c>
      <c r="I338" s="555">
        <f t="shared" ref="I338:T338" si="44">+I331/I335</f>
        <v>1</v>
      </c>
      <c r="J338" s="555">
        <f t="shared" si="44"/>
        <v>1</v>
      </c>
      <c r="K338" s="555">
        <f t="shared" si="44"/>
        <v>1</v>
      </c>
      <c r="L338" s="555">
        <f t="shared" si="44"/>
        <v>1</v>
      </c>
      <c r="M338" s="555">
        <f t="shared" si="44"/>
        <v>1</v>
      </c>
      <c r="N338" s="555">
        <f t="shared" si="44"/>
        <v>1</v>
      </c>
      <c r="O338" s="555">
        <f t="shared" si="44"/>
        <v>0.98135285068295186</v>
      </c>
      <c r="P338" s="555">
        <f t="shared" si="44"/>
        <v>0.98135285068295186</v>
      </c>
      <c r="Q338" s="555">
        <f t="shared" si="44"/>
        <v>0.98135285068295186</v>
      </c>
      <c r="R338" s="555">
        <f t="shared" si="44"/>
        <v>0.98135285068295186</v>
      </c>
      <c r="S338" s="555">
        <f t="shared" si="44"/>
        <v>0.98135285068295186</v>
      </c>
      <c r="T338" s="555">
        <f t="shared" si="44"/>
        <v>0.98135285068295186</v>
      </c>
      <c r="U338" s="555"/>
      <c r="V338" s="555"/>
      <c r="W338" s="555"/>
      <c r="X338" s="555"/>
      <c r="Y338" s="555"/>
      <c r="Z338" s="555"/>
      <c r="AA338" s="555"/>
      <c r="AB338" s="555"/>
      <c r="AC338" s="555"/>
      <c r="AD338" s="555"/>
      <c r="AE338" s="555"/>
      <c r="AF338" s="555"/>
      <c r="AG338" s="555">
        <f t="shared" ref="AG338:AR338" si="45">+AG331/AG335</f>
        <v>1</v>
      </c>
      <c r="AH338" s="555">
        <f t="shared" si="45"/>
        <v>1</v>
      </c>
      <c r="AI338" s="555">
        <f t="shared" si="45"/>
        <v>1</v>
      </c>
      <c r="AJ338" s="555">
        <f t="shared" si="45"/>
        <v>1</v>
      </c>
      <c r="AK338" s="555">
        <f t="shared" si="45"/>
        <v>1</v>
      </c>
      <c r="AL338" s="555">
        <f t="shared" si="45"/>
        <v>1</v>
      </c>
      <c r="AM338" s="555">
        <f t="shared" si="45"/>
        <v>1</v>
      </c>
      <c r="AN338" s="555">
        <f t="shared" si="45"/>
        <v>1</v>
      </c>
      <c r="AO338" s="555">
        <f t="shared" si="45"/>
        <v>1</v>
      </c>
      <c r="AP338" s="555">
        <f t="shared" si="45"/>
        <v>1</v>
      </c>
      <c r="AQ338" s="555">
        <f t="shared" si="45"/>
        <v>1</v>
      </c>
      <c r="AR338" s="555">
        <f t="shared" si="45"/>
        <v>1</v>
      </c>
    </row>
    <row r="339" spans="1:56" s="557" customFormat="1">
      <c r="A339" s="412"/>
      <c r="B339" s="412"/>
      <c r="C339" s="412"/>
      <c r="D339" s="412"/>
      <c r="E339" s="412"/>
      <c r="F339" s="412"/>
      <c r="G339" s="413"/>
      <c r="H339" s="472">
        <f t="shared" si="31"/>
        <v>332</v>
      </c>
      <c r="U339" s="555"/>
      <c r="V339" s="555"/>
      <c r="W339" s="555"/>
      <c r="X339" s="555"/>
      <c r="Y339" s="555"/>
      <c r="Z339" s="555"/>
      <c r="AA339" s="555"/>
      <c r="AB339" s="555"/>
      <c r="AC339" s="555"/>
      <c r="AD339" s="555"/>
      <c r="AE339" s="555"/>
      <c r="AF339" s="555"/>
    </row>
    <row r="340" spans="1:56" s="412" customFormat="1">
      <c r="G340" s="413" t="s">
        <v>247</v>
      </c>
      <c r="H340" s="472">
        <f t="shared" si="31"/>
        <v>333</v>
      </c>
      <c r="I340" s="472"/>
      <c r="J340" s="472"/>
      <c r="K340" s="472"/>
      <c r="L340" s="472"/>
      <c r="M340" s="472"/>
      <c r="N340" s="472"/>
      <c r="O340" s="472"/>
      <c r="P340" s="472"/>
      <c r="Q340" s="472"/>
      <c r="R340" s="472"/>
      <c r="S340" s="472"/>
      <c r="T340" s="472"/>
      <c r="U340" s="472"/>
      <c r="V340" s="472"/>
      <c r="W340" s="472"/>
      <c r="X340" s="472"/>
      <c r="Y340" s="472"/>
      <c r="Z340" s="472"/>
      <c r="AA340" s="472"/>
      <c r="AB340" s="472"/>
      <c r="AC340" s="472"/>
      <c r="AD340" s="472"/>
      <c r="AE340" s="472"/>
      <c r="AF340" s="472"/>
    </row>
    <row r="341" spans="1:56" s="412" customFormat="1">
      <c r="G341" s="413"/>
      <c r="H341" s="472">
        <f t="shared" si="31"/>
        <v>334</v>
      </c>
      <c r="I341" s="555">
        <f>(I142)/(I334)</f>
        <v>1</v>
      </c>
      <c r="J341" s="555">
        <f>SUM($I142:J142)/SUM($I334:J334)</f>
        <v>1</v>
      </c>
      <c r="K341" s="555">
        <f>SUM($I142:K142)/SUM($I334:K334)</f>
        <v>1</v>
      </c>
      <c r="L341" s="555">
        <f>SUM($I142:L142)/SUM($I334:L334)</f>
        <v>1</v>
      </c>
      <c r="M341" s="555">
        <f>SUM($I142:M142)/SUM($I334:M334)</f>
        <v>1</v>
      </c>
      <c r="N341" s="555">
        <f>SUM($I142:N142)/SUM($I334:N334)</f>
        <v>1</v>
      </c>
      <c r="O341" s="555">
        <f>SUM($I142:O142)/SUM($I334:O334)</f>
        <v>0.98706785067678249</v>
      </c>
      <c r="P341" s="555">
        <f>SUM($I142:P142)/SUM($I334:P334)</f>
        <v>0.97736873868436935</v>
      </c>
      <c r="Q341" s="555">
        <f>SUM($I142:Q142)/SUM($I334:Q334)</f>
        <v>0.96982498491249247</v>
      </c>
      <c r="R341" s="555">
        <f>SUM($I142:R142)/SUM($I334:R334)</f>
        <v>0.96378998189499099</v>
      </c>
      <c r="S341" s="555">
        <f>SUM($I142:S142)/SUM($I334:S334)</f>
        <v>0.95885225215339875</v>
      </c>
      <c r="T341" s="555">
        <f>SUM($I142:T142)/SUM($I334:T334)</f>
        <v>0.95473747736873871</v>
      </c>
      <c r="U341" s="556">
        <f>+U142/I142*12</f>
        <v>53.401683856366915</v>
      </c>
      <c r="V341" s="558">
        <f>SUM($U142:V142)/SUM($I142:J142)*12</f>
        <v>53.401683856366915</v>
      </c>
      <c r="W341" s="558">
        <f>SUM($U142:W142)/SUM($I142:K142)*12</f>
        <v>53.631961466505736</v>
      </c>
      <c r="X341" s="558">
        <f>SUM($U142:X142)/SUM($I142:L142)*12</f>
        <v>53.747100271575128</v>
      </c>
      <c r="Y341" s="558">
        <f>SUM($U142:Y142)/SUM($I142:M142)*12</f>
        <v>53.816183554616771</v>
      </c>
      <c r="Z341" s="558">
        <f>SUM($U142:Z142)/SUM($I142:N142)*12</f>
        <v>53.882833524441764</v>
      </c>
      <c r="AA341" s="558">
        <f>SUM($U142:AA142)/SUM($I142:O142)*12</f>
        <v>53.953750200890909</v>
      </c>
      <c r="AB341" s="558">
        <f>(SUM($U142:AB142)+SUM($U333:AB333))/SUM($I142:P142)*12</f>
        <v>53.445495615930852</v>
      </c>
      <c r="AC341" s="558">
        <f>(SUM($U142:AC142)+SUM($U333:AC333))/SUM($I142:Q142)*12</f>
        <v>52.859820669985481</v>
      </c>
      <c r="AD341" s="558">
        <f>(SUM($U142:AD142)+SUM($U333:AD333))/SUM($I142:R142)*12</f>
        <v>52.857516687539146</v>
      </c>
      <c r="AE341" s="558">
        <f>(SUM($U142:AE142)+SUM($U333:AE333))/SUM($I142:S142)*12</f>
        <v>52.783824263317513</v>
      </c>
      <c r="AF341" s="558">
        <f>(SUM($U142:AF142)+SUM($U333:AF333))/SUM($I142:T142)*12</f>
        <v>52.377086061946912</v>
      </c>
      <c r="AG341" s="555">
        <f>+AG142/AG334</f>
        <v>1</v>
      </c>
      <c r="AH341" s="555">
        <f>SUM($AG142:AH142)/SUM($AG334:AH334)</f>
        <v>1</v>
      </c>
      <c r="AI341" s="555">
        <f>SUM($AG142:AI142)/SUM($AG334:AI334)</f>
        <v>1</v>
      </c>
      <c r="AJ341" s="555">
        <f>SUM($AG142:AJ142)/SUM($AG334:AJ334)</f>
        <v>1</v>
      </c>
      <c r="AK341" s="555">
        <f>SUM($AG142:AK142)/SUM($AG334:AK334)</f>
        <v>1</v>
      </c>
      <c r="AL341" s="555">
        <f>SUM($AG142:AL142)/SUM($AG334:AL334)</f>
        <v>1</v>
      </c>
      <c r="AM341" s="555">
        <f>SUM($AG142:AM142)/SUM($AG334:AM334)</f>
        <v>1</v>
      </c>
      <c r="AN341" s="555">
        <f>SUM($AG142:AN142)/SUM($AG334:AN334)</f>
        <v>1</v>
      </c>
      <c r="AO341" s="555">
        <f>SUM($AG142:AO142)/SUM($AG334:AO334)</f>
        <v>1</v>
      </c>
      <c r="AP341" s="555">
        <f>SUM($AG142:AP142)/SUM($AG334:AP334)</f>
        <v>1</v>
      </c>
      <c r="AQ341" s="555">
        <f>SUM($AG142:AQ142)/SUM($AG334:AQ334)</f>
        <v>1</v>
      </c>
      <c r="AR341" s="555">
        <f>SUM($AG142:AR142)/SUM($AG334:AR334)</f>
        <v>1</v>
      </c>
      <c r="AS341" s="556">
        <f>+AS142/AG142*12</f>
        <v>53.401629450814724</v>
      </c>
      <c r="AT341" s="558">
        <f>SUM($AS142:AT142)/SUM($AG142:AH142)*12</f>
        <v>53.401629450814724</v>
      </c>
      <c r="AU341" s="558">
        <f>SUM($AS142:AU142)/SUM($AG142:AI142)*12</f>
        <v>53.63186481593241</v>
      </c>
      <c r="AV341" s="558">
        <f>SUM($AS142:AV142)/SUM($AG142:AJ142)*12</f>
        <v>53.746982498491249</v>
      </c>
      <c r="AW341" s="558">
        <f>SUM($AS142:AW142)/SUM($AG142:AK142)*12</f>
        <v>53.816053108026551</v>
      </c>
      <c r="AX341" s="558">
        <f>SUM($AS142:AX142)/SUM($AG142:AL142)*12</f>
        <v>53.882619191309587</v>
      </c>
      <c r="AY341" s="558">
        <f>SUM($AS142:AY142)/SUM($AG142:AM142)*12</f>
        <v>54.018751616518671</v>
      </c>
      <c r="AZ341" s="558">
        <f>SUM($AS142:AZ142)/SUM($AG142:AN142)*12</f>
        <v>54.120850935425466</v>
      </c>
      <c r="BA341" s="558">
        <f>SUM($AS142:BA142)/SUM($AG142:AO142)*12</f>
        <v>54.200261516797426</v>
      </c>
      <c r="BB341" s="558">
        <f>SUM($AS142:BB142)/SUM($AG142:AP142)*12</f>
        <v>54.263789981894995</v>
      </c>
      <c r="BC341" s="558">
        <f>SUM($AS142:BC142)/SUM($AG142:AQ142)*12</f>
        <v>54.315767816974812</v>
      </c>
      <c r="BD341" s="558">
        <f>SUM($AS142:BD142)/SUM($AG142:AR142)*12</f>
        <v>54.403439951719974</v>
      </c>
    </row>
    <row r="342" spans="1:56" s="412" customFormat="1">
      <c r="G342" s="413"/>
      <c r="H342" s="472">
        <f t="shared" si="31"/>
        <v>335</v>
      </c>
      <c r="I342" s="555">
        <f>(I331)/(I335)</f>
        <v>1</v>
      </c>
      <c r="J342" s="555">
        <f>SUM($I331:J331)/SUM($I335:J335)</f>
        <v>1</v>
      </c>
      <c r="K342" s="555">
        <f>SUM($I331:K331)/SUM($I335:K335)</f>
        <v>1</v>
      </c>
      <c r="L342" s="555">
        <f>SUM($I331:L331)/SUM($I335:L335)</f>
        <v>1</v>
      </c>
      <c r="M342" s="555">
        <f>SUM($I331:M331)/SUM($I335:M335)</f>
        <v>1</v>
      </c>
      <c r="N342" s="555">
        <f>SUM($I331:N331)/SUM($I335:N335)</f>
        <v>1</v>
      </c>
      <c r="O342" s="555">
        <f>SUM($I331:O331)/SUM($I335:O335)</f>
        <v>0.99733612152613593</v>
      </c>
      <c r="P342" s="555">
        <f>SUM($I331:P331)/SUM($I335:P335)</f>
        <v>0.99533821267073797</v>
      </c>
      <c r="Q342" s="555">
        <f>SUM($I331:Q331)/SUM($I335:Q335)</f>
        <v>0.99378428356098392</v>
      </c>
      <c r="R342" s="555">
        <f>SUM($I331:R331)/SUM($I335:R335)</f>
        <v>0.99254114027318074</v>
      </c>
      <c r="S342" s="555">
        <f>SUM($I331:S331)/SUM($I335:S335)</f>
        <v>0.99152402303770537</v>
      </c>
      <c r="T342" s="555">
        <f>SUM($I331:T331)/SUM($I335:T335)</f>
        <v>0.99067642534147593</v>
      </c>
      <c r="U342" s="472"/>
      <c r="V342" s="472"/>
      <c r="W342" s="472"/>
      <c r="X342" s="472"/>
      <c r="Y342" s="472"/>
      <c r="Z342" s="472"/>
      <c r="AA342" s="472"/>
      <c r="AB342" s="472"/>
      <c r="AC342" s="472"/>
      <c r="AD342" s="472"/>
      <c r="AE342" s="472"/>
      <c r="AF342" s="472"/>
      <c r="AG342" s="555">
        <f>+AG331/AG335</f>
        <v>1</v>
      </c>
      <c r="AH342" s="555">
        <f>SUM($AG331:AH331)/SUM($AG335:AH335)</f>
        <v>1</v>
      </c>
      <c r="AI342" s="555">
        <f>SUM($AG331:AI331)/SUM($AG335:AI335)</f>
        <v>1</v>
      </c>
      <c r="AJ342" s="555">
        <f>SUM($AG331:AJ331)/SUM($AG335:AJ335)</f>
        <v>1</v>
      </c>
      <c r="AK342" s="555">
        <f>SUM($AG331:AK331)/SUM($AG335:AK335)</f>
        <v>1</v>
      </c>
      <c r="AL342" s="555">
        <f>SUM($AG331:AL331)/SUM($AG335:AL335)</f>
        <v>1</v>
      </c>
      <c r="AM342" s="555">
        <f>SUM($AG331:AM331)/SUM($AG335:AM335)</f>
        <v>1</v>
      </c>
      <c r="AN342" s="555">
        <f>SUM($AG331:AN331)/SUM($AG335:AN335)</f>
        <v>1</v>
      </c>
      <c r="AO342" s="555">
        <f>SUM($AG331:AO331)/SUM($AG335:AO335)</f>
        <v>1</v>
      </c>
      <c r="AP342" s="555">
        <f>SUM($AG331:AP331)/SUM($AG335:AP335)</f>
        <v>1</v>
      </c>
      <c r="AQ342" s="555">
        <f>SUM($AG331:AQ331)/SUM($AG335:AQ335)</f>
        <v>1</v>
      </c>
      <c r="AR342" s="555">
        <f>SUM($AG331:AR331)/SUM($AG335:AR335)</f>
        <v>1</v>
      </c>
    </row>
    <row r="343" spans="1:56" s="412" customFormat="1">
      <c r="G343" s="413"/>
      <c r="H343" s="472">
        <f t="shared" si="31"/>
        <v>336</v>
      </c>
      <c r="I343" s="472"/>
      <c r="J343" s="472"/>
      <c r="K343" s="472"/>
      <c r="L343" s="472"/>
      <c r="M343" s="472"/>
      <c r="N343" s="472"/>
      <c r="O343" s="472"/>
      <c r="P343" s="472"/>
      <c r="Q343" s="472"/>
      <c r="R343" s="472"/>
      <c r="S343" s="472"/>
      <c r="T343" s="472"/>
      <c r="U343" s="472"/>
      <c r="V343" s="472"/>
      <c r="W343" s="472"/>
      <c r="X343" s="472"/>
      <c r="Y343" s="472"/>
      <c r="Z343" s="472"/>
      <c r="AA343" s="472"/>
      <c r="AB343" s="472"/>
      <c r="AC343" s="472"/>
      <c r="AD343" s="472"/>
      <c r="AE343" s="472"/>
      <c r="AF343" s="472"/>
    </row>
    <row r="344" spans="1:56" s="412" customFormat="1">
      <c r="G344" s="413"/>
      <c r="H344" s="472">
        <f t="shared" si="31"/>
        <v>337</v>
      </c>
      <c r="I344" s="472"/>
      <c r="K344" s="472"/>
      <c r="L344" s="472"/>
      <c r="M344" s="472"/>
      <c r="N344" s="472"/>
      <c r="O344" s="472"/>
      <c r="P344" s="472"/>
      <c r="Q344" s="472"/>
      <c r="R344" s="472"/>
      <c r="S344" s="472"/>
      <c r="T344" s="472"/>
      <c r="U344" s="472"/>
      <c r="V344" s="472"/>
      <c r="W344" s="472"/>
      <c r="X344" s="472"/>
      <c r="Y344" s="472"/>
      <c r="Z344" s="472"/>
      <c r="AA344" s="472"/>
      <c r="AB344" s="472"/>
      <c r="AC344" s="472"/>
      <c r="AD344" s="472"/>
      <c r="AE344" s="472"/>
      <c r="AF344" s="472"/>
    </row>
    <row r="345" spans="1:56" s="412" customFormat="1">
      <c r="G345" s="413"/>
      <c r="H345" s="472">
        <f t="shared" si="31"/>
        <v>338</v>
      </c>
      <c r="I345" s="472"/>
      <c r="J345" s="472"/>
      <c r="K345" s="472"/>
      <c r="L345" s="472"/>
      <c r="M345" s="472"/>
      <c r="N345" s="472"/>
      <c r="O345" s="472"/>
      <c r="P345" s="472"/>
      <c r="Q345" s="472"/>
      <c r="R345" s="472"/>
      <c r="S345" s="472"/>
      <c r="T345" s="472"/>
      <c r="U345" s="472"/>
      <c r="V345" s="472"/>
      <c r="W345" s="472"/>
      <c r="X345" s="472"/>
      <c r="Y345" s="472"/>
      <c r="Z345" s="472"/>
      <c r="AA345" s="472"/>
      <c r="AB345" s="472"/>
      <c r="AC345" s="472"/>
      <c r="AD345" s="472"/>
      <c r="AE345" s="472"/>
      <c r="AF345" s="472"/>
    </row>
    <row r="346" spans="1:56" s="412" customFormat="1">
      <c r="G346" s="413"/>
      <c r="H346" s="472">
        <f t="shared" si="31"/>
        <v>339</v>
      </c>
      <c r="I346" s="472"/>
      <c r="J346" s="472"/>
      <c r="K346" s="472"/>
      <c r="L346" s="472"/>
      <c r="M346" s="472"/>
      <c r="N346" s="472"/>
      <c r="O346" s="472"/>
      <c r="P346" s="472"/>
      <c r="Q346" s="472"/>
      <c r="R346" s="472"/>
      <c r="S346" s="472"/>
      <c r="T346" s="472"/>
      <c r="U346" s="472"/>
      <c r="V346" s="472"/>
      <c r="W346" s="472"/>
      <c r="X346" s="472"/>
      <c r="Y346" s="472"/>
      <c r="Z346" s="472"/>
      <c r="AA346" s="472"/>
      <c r="AB346" s="472"/>
      <c r="AC346" s="472"/>
      <c r="AD346" s="472"/>
      <c r="AE346" s="472"/>
      <c r="AF346" s="472"/>
    </row>
    <row r="347" spans="1:56" s="412" customFormat="1">
      <c r="G347" s="413"/>
      <c r="H347" s="472">
        <f t="shared" si="31"/>
        <v>340</v>
      </c>
      <c r="I347" s="472"/>
      <c r="J347" s="472"/>
      <c r="K347" s="472"/>
      <c r="L347" s="472"/>
      <c r="M347" s="472"/>
      <c r="N347" s="472"/>
      <c r="O347" s="472"/>
      <c r="P347" s="472"/>
      <c r="Q347" s="472"/>
      <c r="R347" s="472"/>
      <c r="S347" s="472"/>
      <c r="T347" s="472"/>
      <c r="U347" s="472"/>
      <c r="V347" s="472"/>
      <c r="W347" s="472"/>
      <c r="X347" s="472"/>
      <c r="Y347" s="472"/>
      <c r="Z347" s="472"/>
      <c r="AA347" s="472"/>
      <c r="AB347" s="472"/>
      <c r="AC347" s="472"/>
      <c r="AD347" s="472"/>
      <c r="AE347" s="472"/>
      <c r="AF347" s="472"/>
    </row>
    <row r="348" spans="1:56" s="412" customFormat="1">
      <c r="G348" s="413"/>
      <c r="H348" s="472">
        <f t="shared" si="31"/>
        <v>341</v>
      </c>
      <c r="I348" s="472"/>
      <c r="J348" s="472"/>
      <c r="K348" s="472"/>
      <c r="L348" s="472"/>
      <c r="M348" s="472"/>
      <c r="N348" s="472"/>
      <c r="O348" s="472"/>
      <c r="P348" s="472"/>
      <c r="Q348" s="472"/>
      <c r="R348" s="472"/>
      <c r="S348" s="472"/>
      <c r="T348" s="472"/>
      <c r="U348" s="472"/>
      <c r="V348" s="472"/>
      <c r="W348" s="472"/>
      <c r="X348" s="472"/>
      <c r="Y348" s="472"/>
      <c r="Z348" s="472"/>
      <c r="AA348" s="472"/>
      <c r="AB348" s="472"/>
      <c r="AC348" s="472"/>
      <c r="AD348" s="472"/>
      <c r="AE348" s="472"/>
      <c r="AF348" s="472"/>
    </row>
    <row r="349" spans="1:56" s="412" customFormat="1">
      <c r="G349" s="413"/>
      <c r="H349" s="472">
        <f t="shared" si="31"/>
        <v>342</v>
      </c>
      <c r="I349" s="472"/>
      <c r="J349" s="472"/>
      <c r="K349" s="472"/>
      <c r="L349" s="472"/>
      <c r="M349" s="472"/>
      <c r="N349" s="472"/>
      <c r="O349" s="472"/>
      <c r="P349" s="472"/>
      <c r="Q349" s="472"/>
      <c r="R349" s="472"/>
      <c r="S349" s="472"/>
      <c r="T349" s="472"/>
      <c r="U349" s="472"/>
      <c r="V349" s="472"/>
      <c r="W349" s="472"/>
      <c r="X349" s="472"/>
      <c r="Y349" s="472"/>
      <c r="Z349" s="472"/>
      <c r="AA349" s="472"/>
      <c r="AB349" s="472"/>
      <c r="AC349" s="472"/>
      <c r="AD349" s="472"/>
      <c r="AE349" s="472"/>
      <c r="AF349" s="472"/>
    </row>
    <row r="350" spans="1:56" s="412" customFormat="1">
      <c r="G350" s="413"/>
      <c r="H350" s="472">
        <f t="shared" si="31"/>
        <v>343</v>
      </c>
      <c r="I350" s="472"/>
      <c r="J350" s="472"/>
      <c r="K350" s="472"/>
      <c r="L350" s="472"/>
      <c r="M350" s="472"/>
      <c r="N350" s="472"/>
      <c r="O350" s="472"/>
      <c r="P350" s="472"/>
      <c r="Q350" s="472"/>
      <c r="R350" s="472"/>
      <c r="S350" s="472"/>
      <c r="T350" s="472"/>
      <c r="U350" s="472"/>
      <c r="V350" s="472"/>
      <c r="W350" s="472"/>
      <c r="X350" s="472"/>
      <c r="Y350" s="472"/>
      <c r="Z350" s="472"/>
      <c r="AA350" s="472"/>
      <c r="AB350" s="472"/>
      <c r="AC350" s="472"/>
      <c r="AD350" s="472"/>
      <c r="AE350" s="472"/>
      <c r="AF350" s="472"/>
    </row>
    <row r="351" spans="1:56" s="412" customFormat="1">
      <c r="G351" s="413"/>
      <c r="H351" s="472">
        <f t="shared" si="31"/>
        <v>344</v>
      </c>
      <c r="I351" s="472"/>
      <c r="J351" s="472"/>
      <c r="K351" s="472"/>
      <c r="L351" s="472"/>
      <c r="M351" s="472"/>
      <c r="N351" s="472"/>
      <c r="O351" s="472"/>
      <c r="P351" s="472"/>
      <c r="Q351" s="472"/>
      <c r="R351" s="472"/>
      <c r="S351" s="472"/>
      <c r="T351" s="472"/>
      <c r="U351" s="472"/>
      <c r="V351" s="472"/>
      <c r="W351" s="472"/>
      <c r="X351" s="472"/>
      <c r="Y351" s="472"/>
      <c r="Z351" s="472"/>
      <c r="AA351" s="472"/>
      <c r="AB351" s="472"/>
      <c r="AC351" s="472"/>
      <c r="AD351" s="472"/>
      <c r="AE351" s="472"/>
      <c r="AF351" s="472"/>
    </row>
    <row r="352" spans="1:56" s="412" customFormat="1">
      <c r="G352" s="413"/>
      <c r="H352" s="472">
        <f t="shared" si="31"/>
        <v>345</v>
      </c>
      <c r="I352" s="472"/>
      <c r="J352" s="472"/>
      <c r="K352" s="472"/>
      <c r="L352" s="472"/>
      <c r="M352" s="472"/>
      <c r="N352" s="472"/>
      <c r="O352" s="472"/>
      <c r="P352" s="472"/>
      <c r="Q352" s="472"/>
      <c r="R352" s="472"/>
      <c r="S352" s="472"/>
      <c r="T352" s="472"/>
      <c r="U352" s="472"/>
      <c r="V352" s="472"/>
      <c r="W352" s="472"/>
      <c r="X352" s="472"/>
      <c r="Y352" s="472"/>
      <c r="Z352" s="472"/>
      <c r="AA352" s="472"/>
      <c r="AB352" s="472"/>
      <c r="AC352" s="472"/>
      <c r="AD352" s="472"/>
      <c r="AE352" s="472"/>
      <c r="AF352" s="472"/>
    </row>
    <row r="353" spans="7:32" s="412" customFormat="1">
      <c r="G353" s="413"/>
      <c r="H353" s="472">
        <f t="shared" si="31"/>
        <v>346</v>
      </c>
      <c r="I353" s="472"/>
      <c r="J353" s="472"/>
      <c r="K353" s="472"/>
      <c r="L353" s="472"/>
      <c r="M353" s="472"/>
      <c r="N353" s="472"/>
      <c r="O353" s="472"/>
      <c r="P353" s="472"/>
      <c r="Q353" s="472"/>
      <c r="R353" s="472"/>
      <c r="S353" s="472"/>
      <c r="T353" s="472"/>
      <c r="U353" s="472"/>
      <c r="V353" s="472"/>
      <c r="W353" s="472"/>
      <c r="X353" s="472"/>
      <c r="Y353" s="472"/>
      <c r="Z353" s="472"/>
      <c r="AA353" s="472"/>
      <c r="AB353" s="472"/>
      <c r="AC353" s="472"/>
      <c r="AD353" s="472"/>
      <c r="AE353" s="472"/>
      <c r="AF353" s="472"/>
    </row>
    <row r="354" spans="7:32" s="412" customFormat="1">
      <c r="G354" s="413"/>
      <c r="H354" s="472">
        <f t="shared" si="31"/>
        <v>347</v>
      </c>
      <c r="I354" s="472"/>
      <c r="J354" s="472"/>
      <c r="K354" s="472"/>
      <c r="L354" s="472"/>
      <c r="M354" s="472"/>
      <c r="N354" s="472"/>
      <c r="O354" s="472"/>
      <c r="P354" s="472"/>
      <c r="Q354" s="472"/>
      <c r="R354" s="472"/>
      <c r="S354" s="472"/>
      <c r="T354" s="472"/>
      <c r="U354" s="472"/>
      <c r="V354" s="472"/>
      <c r="W354" s="472"/>
      <c r="X354" s="472"/>
      <c r="Y354" s="472"/>
      <c r="Z354" s="472"/>
      <c r="AA354" s="472"/>
      <c r="AB354" s="472"/>
      <c r="AC354" s="472"/>
      <c r="AD354" s="472"/>
      <c r="AE354" s="472"/>
      <c r="AF354" s="472"/>
    </row>
    <row r="355" spans="7:32" s="412" customFormat="1">
      <c r="G355" s="413"/>
      <c r="H355" s="472">
        <f t="shared" si="31"/>
        <v>348</v>
      </c>
      <c r="I355" s="472"/>
      <c r="J355" s="472"/>
      <c r="K355" s="472"/>
      <c r="L355" s="472"/>
      <c r="M355" s="472"/>
      <c r="N355" s="472"/>
      <c r="O355" s="472"/>
      <c r="P355" s="472"/>
      <c r="Q355" s="472"/>
      <c r="R355" s="472"/>
      <c r="S355" s="472"/>
      <c r="T355" s="472"/>
      <c r="U355" s="472"/>
      <c r="V355" s="472"/>
      <c r="W355" s="472"/>
      <c r="X355" s="472"/>
      <c r="Y355" s="472"/>
      <c r="Z355" s="472"/>
      <c r="AA355" s="472"/>
      <c r="AB355" s="472"/>
      <c r="AC355" s="472"/>
      <c r="AD355" s="472"/>
      <c r="AE355" s="472"/>
      <c r="AF355" s="472"/>
    </row>
    <row r="356" spans="7:32" s="412" customFormat="1">
      <c r="G356" s="413"/>
      <c r="H356" s="472">
        <f t="shared" si="31"/>
        <v>349</v>
      </c>
      <c r="I356" s="472"/>
      <c r="J356" s="472"/>
      <c r="K356" s="472"/>
      <c r="L356" s="472"/>
      <c r="M356" s="472"/>
      <c r="N356" s="472"/>
      <c r="O356" s="472"/>
      <c r="P356" s="472"/>
      <c r="Q356" s="472"/>
      <c r="R356" s="472"/>
      <c r="S356" s="472"/>
      <c r="T356" s="472"/>
      <c r="U356" s="472"/>
      <c r="V356" s="472"/>
      <c r="W356" s="472"/>
      <c r="X356" s="472"/>
      <c r="Y356" s="472"/>
      <c r="Z356" s="472"/>
      <c r="AA356" s="472"/>
      <c r="AB356" s="472"/>
      <c r="AC356" s="472"/>
      <c r="AD356" s="472"/>
      <c r="AE356" s="472"/>
      <c r="AF356" s="472"/>
    </row>
    <row r="357" spans="7:32" s="412" customFormat="1">
      <c r="G357" s="413"/>
      <c r="H357" s="472">
        <f t="shared" si="31"/>
        <v>350</v>
      </c>
      <c r="I357" s="472"/>
      <c r="J357" s="472"/>
      <c r="K357" s="472"/>
      <c r="L357" s="472"/>
      <c r="M357" s="472"/>
      <c r="N357" s="472"/>
      <c r="O357" s="472"/>
      <c r="P357" s="472"/>
      <c r="Q357" s="472"/>
      <c r="R357" s="472"/>
      <c r="S357" s="472"/>
      <c r="T357" s="472"/>
      <c r="U357" s="472"/>
      <c r="V357" s="472"/>
      <c r="W357" s="472"/>
      <c r="X357" s="472"/>
      <c r="Y357" s="472"/>
      <c r="Z357" s="472"/>
      <c r="AA357" s="472"/>
      <c r="AB357" s="472"/>
      <c r="AC357" s="472"/>
      <c r="AD357" s="472"/>
      <c r="AE357" s="472"/>
      <c r="AF357" s="472"/>
    </row>
    <row r="358" spans="7:32" s="412" customFormat="1">
      <c r="G358" s="413"/>
      <c r="H358" s="472">
        <f t="shared" ref="H358:H421" si="46">1+H357</f>
        <v>351</v>
      </c>
      <c r="I358" s="472"/>
      <c r="J358" s="472"/>
      <c r="K358" s="472"/>
      <c r="L358" s="472"/>
      <c r="M358" s="472"/>
      <c r="N358" s="472"/>
      <c r="O358" s="472"/>
      <c r="P358" s="472"/>
      <c r="Q358" s="472"/>
      <c r="R358" s="472"/>
      <c r="S358" s="472"/>
      <c r="T358" s="472"/>
      <c r="U358" s="472"/>
      <c r="V358" s="472"/>
      <c r="W358" s="472"/>
      <c r="X358" s="472"/>
      <c r="Y358" s="472"/>
      <c r="Z358" s="472"/>
      <c r="AA358" s="472"/>
      <c r="AB358" s="472"/>
      <c r="AC358" s="472"/>
      <c r="AD358" s="472"/>
      <c r="AE358" s="472"/>
      <c r="AF358" s="472"/>
    </row>
    <row r="359" spans="7:32" s="412" customFormat="1">
      <c r="G359" s="413"/>
      <c r="H359" s="472">
        <f t="shared" si="46"/>
        <v>352</v>
      </c>
      <c r="I359" s="472"/>
      <c r="J359" s="472"/>
      <c r="K359" s="472"/>
      <c r="L359" s="472"/>
      <c r="M359" s="472"/>
      <c r="N359" s="472"/>
      <c r="O359" s="472"/>
      <c r="P359" s="472"/>
      <c r="Q359" s="472"/>
      <c r="R359" s="472"/>
      <c r="S359" s="472"/>
      <c r="T359" s="472"/>
      <c r="U359" s="472"/>
      <c r="V359" s="472"/>
      <c r="W359" s="472"/>
      <c r="X359" s="472"/>
      <c r="Y359" s="472"/>
      <c r="Z359" s="472"/>
      <c r="AA359" s="472"/>
      <c r="AB359" s="472"/>
      <c r="AC359" s="472"/>
      <c r="AD359" s="472"/>
      <c r="AE359" s="472"/>
      <c r="AF359" s="472"/>
    </row>
    <row r="360" spans="7:32" s="412" customFormat="1">
      <c r="G360" s="413"/>
      <c r="H360" s="472">
        <f t="shared" si="46"/>
        <v>353</v>
      </c>
      <c r="I360" s="472"/>
      <c r="J360" s="472"/>
      <c r="K360" s="472"/>
      <c r="L360" s="472"/>
      <c r="M360" s="472"/>
      <c r="N360" s="472"/>
      <c r="O360" s="472"/>
      <c r="P360" s="472"/>
      <c r="Q360" s="472"/>
      <c r="R360" s="472"/>
      <c r="S360" s="472"/>
      <c r="T360" s="472"/>
      <c r="U360" s="472"/>
      <c r="V360" s="472"/>
      <c r="W360" s="472"/>
      <c r="X360" s="472"/>
      <c r="Y360" s="472"/>
      <c r="Z360" s="472"/>
      <c r="AA360" s="472"/>
      <c r="AB360" s="472"/>
      <c r="AC360" s="472"/>
      <c r="AD360" s="472"/>
      <c r="AE360" s="472"/>
      <c r="AF360" s="472"/>
    </row>
    <row r="361" spans="7:32">
      <c r="H361" s="472">
        <f t="shared" si="46"/>
        <v>354</v>
      </c>
      <c r="I361" s="472"/>
      <c r="J361" s="472"/>
      <c r="K361" s="472"/>
      <c r="L361" s="472"/>
      <c r="M361" s="472"/>
      <c r="N361" s="472"/>
      <c r="O361" s="472"/>
      <c r="P361" s="472"/>
      <c r="Q361" s="472"/>
      <c r="R361" s="472"/>
      <c r="S361" s="472"/>
      <c r="T361" s="472"/>
      <c r="U361" s="472"/>
      <c r="V361" s="472"/>
      <c r="W361" s="472"/>
      <c r="X361" s="472"/>
      <c r="Y361" s="472"/>
      <c r="Z361" s="472"/>
      <c r="AA361" s="472"/>
      <c r="AB361" s="472"/>
      <c r="AC361" s="472"/>
      <c r="AD361" s="472"/>
      <c r="AE361" s="472"/>
      <c r="AF361" s="472"/>
    </row>
    <row r="362" spans="7:32">
      <c r="H362" s="472">
        <f t="shared" si="46"/>
        <v>355</v>
      </c>
      <c r="I362" s="472"/>
      <c r="J362" s="472"/>
      <c r="K362" s="472"/>
      <c r="L362" s="472"/>
      <c r="M362" s="472"/>
      <c r="N362" s="472"/>
      <c r="O362" s="472"/>
      <c r="P362" s="472"/>
      <c r="Q362" s="472"/>
      <c r="R362" s="472"/>
      <c r="S362" s="472"/>
      <c r="T362" s="472"/>
      <c r="U362" s="472"/>
      <c r="V362" s="472"/>
      <c r="W362" s="472"/>
      <c r="X362" s="472"/>
      <c r="Y362" s="472"/>
      <c r="Z362" s="472"/>
      <c r="AA362" s="472"/>
      <c r="AB362" s="472"/>
      <c r="AC362" s="472"/>
      <c r="AD362" s="472"/>
      <c r="AE362" s="472"/>
      <c r="AF362" s="472"/>
    </row>
    <row r="363" spans="7:32">
      <c r="H363" s="472">
        <f t="shared" si="46"/>
        <v>356</v>
      </c>
      <c r="I363" s="472"/>
      <c r="J363" s="472"/>
      <c r="K363" s="472"/>
      <c r="L363" s="472"/>
      <c r="M363" s="472"/>
      <c r="N363" s="472"/>
      <c r="O363" s="472"/>
      <c r="P363" s="472"/>
      <c r="Q363" s="472"/>
      <c r="R363" s="472"/>
      <c r="S363" s="472"/>
      <c r="T363" s="472"/>
      <c r="U363" s="472"/>
      <c r="V363" s="472"/>
      <c r="W363" s="472"/>
      <c r="X363" s="472"/>
      <c r="Y363" s="472"/>
      <c r="Z363" s="472"/>
      <c r="AA363" s="472"/>
      <c r="AB363" s="472"/>
      <c r="AC363" s="472"/>
      <c r="AD363" s="472"/>
      <c r="AE363" s="472"/>
      <c r="AF363" s="472"/>
    </row>
    <row r="364" spans="7:32">
      <c r="H364" s="472">
        <f t="shared" si="46"/>
        <v>357</v>
      </c>
      <c r="I364" s="472"/>
      <c r="J364" s="472"/>
      <c r="K364" s="472"/>
      <c r="L364" s="472"/>
      <c r="M364" s="472"/>
      <c r="N364" s="472"/>
      <c r="O364" s="472"/>
      <c r="P364" s="472"/>
      <c r="Q364" s="472"/>
      <c r="R364" s="472"/>
      <c r="S364" s="472"/>
      <c r="T364" s="472"/>
      <c r="U364" s="472"/>
      <c r="V364" s="472"/>
      <c r="W364" s="472"/>
      <c r="X364" s="472"/>
      <c r="Y364" s="472"/>
      <c r="Z364" s="472"/>
      <c r="AA364" s="472"/>
      <c r="AB364" s="472"/>
      <c r="AC364" s="472"/>
      <c r="AD364" s="472"/>
      <c r="AE364" s="472"/>
      <c r="AF364" s="472"/>
    </row>
    <row r="365" spans="7:32">
      <c r="H365" s="472">
        <f t="shared" si="46"/>
        <v>358</v>
      </c>
      <c r="I365" s="472"/>
      <c r="J365" s="472"/>
      <c r="K365" s="472"/>
      <c r="L365" s="472"/>
      <c r="M365" s="472"/>
      <c r="N365" s="472"/>
      <c r="O365" s="472"/>
      <c r="P365" s="472"/>
      <c r="Q365" s="472"/>
      <c r="R365" s="472"/>
      <c r="S365" s="472"/>
      <c r="T365" s="472"/>
      <c r="U365" s="472"/>
      <c r="V365" s="472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</row>
    <row r="366" spans="7:32">
      <c r="H366" s="472">
        <f t="shared" si="46"/>
        <v>359</v>
      </c>
      <c r="I366" s="472"/>
      <c r="J366" s="472"/>
      <c r="K366" s="472"/>
      <c r="L366" s="472"/>
      <c r="M366" s="472"/>
      <c r="N366" s="472"/>
      <c r="O366" s="472"/>
      <c r="P366" s="472"/>
      <c r="Q366" s="472"/>
      <c r="R366" s="472"/>
      <c r="S366" s="472"/>
      <c r="T366" s="472"/>
      <c r="U366" s="472"/>
      <c r="V366" s="472"/>
      <c r="W366" s="472"/>
      <c r="X366" s="472"/>
      <c r="Y366" s="472"/>
      <c r="Z366" s="472"/>
      <c r="AA366" s="472"/>
      <c r="AB366" s="472"/>
      <c r="AC366" s="472"/>
      <c r="AD366" s="472"/>
      <c r="AE366" s="472"/>
      <c r="AF366" s="472"/>
    </row>
    <row r="367" spans="7:32">
      <c r="H367" s="472">
        <f t="shared" si="46"/>
        <v>360</v>
      </c>
      <c r="I367" s="472"/>
      <c r="J367" s="472"/>
      <c r="K367" s="472"/>
      <c r="L367" s="472"/>
      <c r="M367" s="472"/>
      <c r="N367" s="472"/>
      <c r="O367" s="472"/>
      <c r="P367" s="472"/>
      <c r="Q367" s="472"/>
      <c r="R367" s="472"/>
      <c r="S367" s="472"/>
      <c r="T367" s="472"/>
      <c r="U367" s="472"/>
      <c r="V367" s="472"/>
      <c r="W367" s="472"/>
      <c r="X367" s="472"/>
      <c r="Y367" s="472"/>
      <c r="Z367" s="472"/>
      <c r="AA367" s="472"/>
      <c r="AB367" s="472"/>
      <c r="AC367" s="472"/>
      <c r="AD367" s="472"/>
      <c r="AE367" s="472"/>
      <c r="AF367" s="472"/>
    </row>
    <row r="368" spans="7:32">
      <c r="H368" s="472">
        <f t="shared" si="46"/>
        <v>361</v>
      </c>
      <c r="I368" s="472"/>
      <c r="J368" s="472"/>
      <c r="K368" s="472"/>
      <c r="L368" s="472"/>
      <c r="M368" s="472"/>
      <c r="N368" s="472"/>
      <c r="O368" s="472"/>
      <c r="P368" s="472"/>
      <c r="Q368" s="472"/>
      <c r="R368" s="472"/>
      <c r="S368" s="472"/>
      <c r="T368" s="472"/>
      <c r="U368" s="472"/>
      <c r="V368" s="472"/>
      <c r="W368" s="472"/>
      <c r="X368" s="472"/>
      <c r="Y368" s="472"/>
      <c r="Z368" s="472"/>
      <c r="AA368" s="472"/>
      <c r="AB368" s="472"/>
      <c r="AC368" s="472"/>
      <c r="AD368" s="472"/>
      <c r="AE368" s="472"/>
      <c r="AF368" s="472"/>
    </row>
    <row r="369" spans="8:32">
      <c r="H369" s="472">
        <f t="shared" si="46"/>
        <v>362</v>
      </c>
      <c r="I369" s="472"/>
      <c r="J369" s="472"/>
      <c r="K369" s="472"/>
      <c r="L369" s="472"/>
      <c r="M369" s="472"/>
      <c r="N369" s="472"/>
      <c r="O369" s="472"/>
      <c r="P369" s="472"/>
      <c r="Q369" s="472"/>
      <c r="R369" s="472"/>
      <c r="S369" s="472"/>
      <c r="T369" s="472"/>
      <c r="U369" s="472"/>
      <c r="V369" s="472"/>
      <c r="W369" s="472"/>
      <c r="X369" s="472"/>
      <c r="Y369" s="472"/>
      <c r="Z369" s="472"/>
      <c r="AA369" s="472"/>
      <c r="AB369" s="472"/>
      <c r="AC369" s="472"/>
      <c r="AD369" s="472"/>
      <c r="AE369" s="472"/>
      <c r="AF369" s="472"/>
    </row>
    <row r="370" spans="8:32">
      <c r="H370" s="472">
        <f t="shared" si="46"/>
        <v>363</v>
      </c>
      <c r="I370" s="472"/>
      <c r="J370" s="472"/>
      <c r="K370" s="472"/>
      <c r="L370" s="472"/>
      <c r="M370" s="472"/>
      <c r="N370" s="472"/>
      <c r="O370" s="472"/>
      <c r="P370" s="472"/>
      <c r="Q370" s="472"/>
      <c r="R370" s="472"/>
      <c r="S370" s="472"/>
      <c r="T370" s="472"/>
      <c r="U370" s="472"/>
      <c r="V370" s="472"/>
      <c r="W370" s="472"/>
      <c r="X370" s="472"/>
      <c r="Y370" s="472"/>
      <c r="Z370" s="472"/>
      <c r="AA370" s="472"/>
      <c r="AB370" s="472"/>
      <c r="AC370" s="472"/>
      <c r="AD370" s="472"/>
      <c r="AE370" s="472"/>
      <c r="AF370" s="472"/>
    </row>
    <row r="371" spans="8:32">
      <c r="H371" s="472">
        <f t="shared" si="46"/>
        <v>364</v>
      </c>
      <c r="I371" s="472"/>
      <c r="J371" s="472"/>
      <c r="K371" s="472"/>
      <c r="L371" s="472"/>
      <c r="M371" s="472"/>
      <c r="N371" s="472"/>
      <c r="O371" s="472"/>
      <c r="P371" s="472"/>
      <c r="Q371" s="472"/>
      <c r="R371" s="472"/>
      <c r="S371" s="472"/>
      <c r="T371" s="472"/>
      <c r="U371" s="472"/>
      <c r="V371" s="472"/>
      <c r="W371" s="472"/>
      <c r="X371" s="472"/>
      <c r="Y371" s="472"/>
      <c r="Z371" s="472"/>
      <c r="AA371" s="472"/>
      <c r="AB371" s="472"/>
      <c r="AC371" s="472"/>
      <c r="AD371" s="472"/>
      <c r="AE371" s="472"/>
      <c r="AF371" s="472"/>
    </row>
    <row r="372" spans="8:32">
      <c r="H372" s="472">
        <f t="shared" si="46"/>
        <v>365</v>
      </c>
      <c r="I372" s="472"/>
      <c r="J372" s="472"/>
      <c r="K372" s="472"/>
      <c r="L372" s="472"/>
      <c r="M372" s="472"/>
      <c r="N372" s="472"/>
      <c r="O372" s="472"/>
      <c r="P372" s="472"/>
      <c r="Q372" s="472"/>
      <c r="R372" s="472"/>
      <c r="S372" s="472"/>
      <c r="T372" s="472"/>
      <c r="U372" s="472"/>
      <c r="V372" s="472"/>
      <c r="W372" s="472"/>
      <c r="X372" s="472"/>
      <c r="Y372" s="472"/>
      <c r="Z372" s="472"/>
      <c r="AA372" s="472"/>
      <c r="AB372" s="472"/>
      <c r="AC372" s="472"/>
      <c r="AD372" s="472"/>
      <c r="AE372" s="472"/>
      <c r="AF372" s="472"/>
    </row>
    <row r="373" spans="8:32">
      <c r="H373" s="472">
        <f t="shared" si="46"/>
        <v>366</v>
      </c>
      <c r="I373" s="472"/>
      <c r="J373" s="472"/>
      <c r="K373" s="472"/>
      <c r="L373" s="472"/>
      <c r="M373" s="472"/>
      <c r="N373" s="472"/>
      <c r="O373" s="472"/>
      <c r="P373" s="472"/>
      <c r="Q373" s="472"/>
      <c r="R373" s="472"/>
      <c r="S373" s="472"/>
      <c r="T373" s="472"/>
      <c r="U373" s="472"/>
      <c r="V373" s="472"/>
      <c r="W373" s="472"/>
      <c r="X373" s="472"/>
      <c r="Y373" s="472"/>
      <c r="Z373" s="472"/>
      <c r="AA373" s="472"/>
      <c r="AB373" s="472"/>
      <c r="AC373" s="472"/>
      <c r="AD373" s="472"/>
      <c r="AE373" s="472"/>
      <c r="AF373" s="472"/>
    </row>
    <row r="374" spans="8:32">
      <c r="H374" s="472">
        <f t="shared" si="46"/>
        <v>367</v>
      </c>
      <c r="I374" s="472"/>
      <c r="J374" s="472"/>
      <c r="K374" s="472"/>
      <c r="L374" s="472"/>
      <c r="M374" s="472"/>
      <c r="N374" s="472"/>
      <c r="O374" s="472"/>
      <c r="P374" s="472"/>
      <c r="Q374" s="472"/>
      <c r="R374" s="472"/>
      <c r="S374" s="472"/>
      <c r="T374" s="472"/>
      <c r="U374" s="472"/>
      <c r="V374" s="472"/>
      <c r="W374" s="472"/>
      <c r="X374" s="472"/>
      <c r="Y374" s="472"/>
      <c r="Z374" s="472"/>
      <c r="AA374" s="472"/>
      <c r="AB374" s="472"/>
      <c r="AC374" s="472"/>
      <c r="AD374" s="472"/>
      <c r="AE374" s="472"/>
      <c r="AF374" s="472"/>
    </row>
    <row r="375" spans="8:32">
      <c r="H375" s="472">
        <f t="shared" si="46"/>
        <v>368</v>
      </c>
      <c r="I375" s="472"/>
      <c r="J375" s="472"/>
      <c r="K375" s="472"/>
      <c r="L375" s="472"/>
      <c r="M375" s="472"/>
      <c r="N375" s="472"/>
      <c r="O375" s="472"/>
      <c r="P375" s="472"/>
      <c r="Q375" s="472"/>
      <c r="R375" s="472"/>
      <c r="S375" s="472"/>
      <c r="T375" s="472"/>
      <c r="U375" s="472"/>
      <c r="V375" s="472"/>
      <c r="W375" s="472"/>
      <c r="X375" s="472"/>
      <c r="Y375" s="472"/>
      <c r="Z375" s="472"/>
      <c r="AA375" s="472"/>
      <c r="AB375" s="472"/>
      <c r="AC375" s="472"/>
      <c r="AD375" s="472"/>
      <c r="AE375" s="472"/>
      <c r="AF375" s="472"/>
    </row>
    <row r="376" spans="8:32">
      <c r="H376" s="472">
        <f t="shared" si="46"/>
        <v>369</v>
      </c>
      <c r="I376" s="472"/>
      <c r="J376" s="472"/>
      <c r="K376" s="472"/>
      <c r="L376" s="472"/>
      <c r="M376" s="472"/>
      <c r="N376" s="472"/>
      <c r="O376" s="472"/>
      <c r="P376" s="472"/>
      <c r="Q376" s="472"/>
      <c r="R376" s="472"/>
      <c r="S376" s="472"/>
      <c r="T376" s="472"/>
      <c r="U376" s="472"/>
      <c r="V376" s="472"/>
      <c r="W376" s="472"/>
      <c r="X376" s="472"/>
      <c r="Y376" s="472"/>
      <c r="Z376" s="472"/>
      <c r="AA376" s="472"/>
      <c r="AB376" s="472"/>
      <c r="AC376" s="472"/>
      <c r="AD376" s="472"/>
      <c r="AE376" s="472"/>
      <c r="AF376" s="472"/>
    </row>
    <row r="377" spans="8:32">
      <c r="H377" s="472">
        <f t="shared" si="46"/>
        <v>370</v>
      </c>
      <c r="I377" s="472"/>
      <c r="J377" s="472"/>
      <c r="K377" s="472"/>
      <c r="L377" s="472"/>
      <c r="M377" s="472"/>
      <c r="N377" s="472"/>
      <c r="O377" s="472"/>
      <c r="P377" s="472"/>
      <c r="Q377" s="472"/>
      <c r="R377" s="472"/>
      <c r="S377" s="472"/>
      <c r="T377" s="472"/>
      <c r="U377" s="472"/>
      <c r="V377" s="472"/>
      <c r="W377" s="472"/>
      <c r="X377" s="472"/>
      <c r="Y377" s="472"/>
      <c r="Z377" s="472"/>
      <c r="AA377" s="472"/>
      <c r="AB377" s="472"/>
      <c r="AC377" s="472"/>
      <c r="AD377" s="472"/>
      <c r="AE377" s="472"/>
      <c r="AF377" s="472"/>
    </row>
    <row r="378" spans="8:32">
      <c r="H378" s="472">
        <f t="shared" si="46"/>
        <v>371</v>
      </c>
      <c r="I378" s="472"/>
      <c r="J378" s="472"/>
      <c r="K378" s="472"/>
      <c r="L378" s="472"/>
      <c r="M378" s="472"/>
      <c r="N378" s="472"/>
      <c r="O378" s="472"/>
      <c r="P378" s="472"/>
      <c r="Q378" s="472"/>
      <c r="R378" s="472"/>
      <c r="S378" s="472"/>
      <c r="T378" s="472"/>
      <c r="U378" s="472"/>
      <c r="V378" s="472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</row>
    <row r="379" spans="8:32">
      <c r="H379" s="472">
        <f t="shared" si="46"/>
        <v>372</v>
      </c>
      <c r="I379" s="472"/>
      <c r="J379" s="472"/>
      <c r="K379" s="472"/>
      <c r="L379" s="472"/>
      <c r="M379" s="472"/>
      <c r="N379" s="472"/>
      <c r="O379" s="472"/>
      <c r="P379" s="472"/>
      <c r="Q379" s="472"/>
      <c r="R379" s="472"/>
      <c r="S379" s="472"/>
      <c r="T379" s="472"/>
      <c r="U379" s="472"/>
      <c r="V379" s="472"/>
      <c r="W379" s="472"/>
      <c r="X379" s="472"/>
      <c r="Y379" s="472"/>
      <c r="Z379" s="472"/>
      <c r="AA379" s="472"/>
      <c r="AB379" s="472"/>
      <c r="AC379" s="472"/>
      <c r="AD379" s="472"/>
      <c r="AE379" s="472"/>
      <c r="AF379" s="472"/>
    </row>
    <row r="380" spans="8:32">
      <c r="H380" s="472">
        <f t="shared" si="46"/>
        <v>373</v>
      </c>
      <c r="I380" s="472"/>
      <c r="J380" s="472"/>
      <c r="K380" s="472"/>
      <c r="L380" s="472"/>
      <c r="M380" s="472"/>
      <c r="N380" s="472"/>
      <c r="O380" s="472"/>
      <c r="P380" s="472"/>
      <c r="Q380" s="472"/>
      <c r="R380" s="472"/>
      <c r="S380" s="472"/>
      <c r="T380" s="472"/>
      <c r="U380" s="472"/>
      <c r="V380" s="472"/>
      <c r="W380" s="472"/>
      <c r="X380" s="472"/>
      <c r="Y380" s="472"/>
      <c r="Z380" s="472"/>
      <c r="AA380" s="472"/>
      <c r="AB380" s="472"/>
      <c r="AC380" s="472"/>
      <c r="AD380" s="472"/>
      <c r="AE380" s="472"/>
      <c r="AF380" s="472"/>
    </row>
    <row r="381" spans="8:32">
      <c r="H381" s="472">
        <f t="shared" si="46"/>
        <v>374</v>
      </c>
      <c r="I381" s="472"/>
      <c r="J381" s="472"/>
      <c r="K381" s="472"/>
      <c r="L381" s="472"/>
      <c r="M381" s="472"/>
      <c r="N381" s="472"/>
      <c r="O381" s="472"/>
      <c r="P381" s="472"/>
      <c r="Q381" s="472"/>
      <c r="R381" s="472"/>
      <c r="S381" s="472"/>
      <c r="T381" s="472"/>
      <c r="U381" s="472"/>
      <c r="V381" s="472"/>
      <c r="W381" s="472"/>
      <c r="X381" s="472"/>
      <c r="Y381" s="472"/>
      <c r="Z381" s="472"/>
      <c r="AA381" s="472"/>
      <c r="AB381" s="472"/>
      <c r="AC381" s="472"/>
      <c r="AD381" s="472"/>
      <c r="AE381" s="472"/>
      <c r="AF381" s="472"/>
    </row>
    <row r="382" spans="8:32">
      <c r="H382" s="472">
        <f t="shared" si="46"/>
        <v>375</v>
      </c>
      <c r="I382" s="472"/>
      <c r="J382" s="472"/>
      <c r="K382" s="472"/>
      <c r="L382" s="472"/>
      <c r="M382" s="472"/>
      <c r="N382" s="472"/>
      <c r="O382" s="472"/>
      <c r="P382" s="472"/>
      <c r="Q382" s="472"/>
      <c r="R382" s="472"/>
      <c r="S382" s="472"/>
      <c r="T382" s="472"/>
      <c r="U382" s="472"/>
      <c r="V382" s="472"/>
      <c r="W382" s="472"/>
      <c r="X382" s="472"/>
      <c r="Y382" s="472"/>
      <c r="Z382" s="472"/>
      <c r="AA382" s="472"/>
      <c r="AB382" s="472"/>
      <c r="AC382" s="472"/>
      <c r="AD382" s="472"/>
      <c r="AE382" s="472"/>
      <c r="AF382" s="472"/>
    </row>
    <row r="383" spans="8:32">
      <c r="H383" s="472">
        <f t="shared" si="46"/>
        <v>376</v>
      </c>
      <c r="I383" s="472"/>
      <c r="J383" s="472"/>
      <c r="K383" s="472"/>
      <c r="L383" s="472"/>
      <c r="M383" s="472"/>
      <c r="N383" s="472"/>
      <c r="O383" s="472"/>
      <c r="P383" s="472"/>
      <c r="Q383" s="472"/>
      <c r="R383" s="472"/>
      <c r="S383" s="472"/>
      <c r="T383" s="472"/>
      <c r="U383" s="472"/>
      <c r="V383" s="472"/>
      <c r="W383" s="472"/>
      <c r="X383" s="472"/>
      <c r="Y383" s="472"/>
      <c r="Z383" s="472"/>
      <c r="AA383" s="472"/>
      <c r="AB383" s="472"/>
      <c r="AC383" s="472"/>
      <c r="AD383" s="472"/>
      <c r="AE383" s="472"/>
      <c r="AF383" s="472"/>
    </row>
    <row r="384" spans="8:32">
      <c r="H384" s="472">
        <f t="shared" si="46"/>
        <v>377</v>
      </c>
      <c r="I384" s="472"/>
      <c r="J384" s="472"/>
      <c r="K384" s="472"/>
      <c r="L384" s="472"/>
      <c r="M384" s="472"/>
      <c r="N384" s="472"/>
      <c r="O384" s="472"/>
      <c r="P384" s="472"/>
      <c r="Q384" s="472"/>
      <c r="R384" s="472"/>
      <c r="S384" s="472"/>
      <c r="T384" s="472"/>
      <c r="U384" s="472"/>
      <c r="V384" s="472"/>
      <c r="W384" s="472"/>
      <c r="X384" s="472"/>
      <c r="Y384" s="472"/>
      <c r="Z384" s="472"/>
      <c r="AA384" s="472"/>
      <c r="AB384" s="472"/>
      <c r="AC384" s="472"/>
      <c r="AD384" s="472"/>
      <c r="AE384" s="472"/>
      <c r="AF384" s="472"/>
    </row>
    <row r="385" spans="8:32">
      <c r="H385" s="472">
        <f t="shared" si="46"/>
        <v>378</v>
      </c>
      <c r="I385" s="472"/>
      <c r="J385" s="472"/>
      <c r="K385" s="472"/>
      <c r="L385" s="472"/>
      <c r="M385" s="472"/>
      <c r="N385" s="472"/>
      <c r="O385" s="472"/>
      <c r="P385" s="472"/>
      <c r="Q385" s="472"/>
      <c r="R385" s="472"/>
      <c r="S385" s="472"/>
      <c r="T385" s="472"/>
      <c r="U385" s="472"/>
      <c r="V385" s="472"/>
      <c r="W385" s="472"/>
      <c r="X385" s="472"/>
      <c r="Y385" s="472"/>
      <c r="Z385" s="472"/>
      <c r="AA385" s="472"/>
      <c r="AB385" s="472"/>
      <c r="AC385" s="472"/>
      <c r="AD385" s="472"/>
      <c r="AE385" s="472"/>
      <c r="AF385" s="472"/>
    </row>
    <row r="386" spans="8:32">
      <c r="H386" s="472">
        <f t="shared" si="46"/>
        <v>379</v>
      </c>
      <c r="I386" s="472"/>
      <c r="J386" s="472"/>
      <c r="K386" s="472"/>
      <c r="L386" s="472"/>
      <c r="M386" s="472"/>
      <c r="N386" s="472"/>
      <c r="O386" s="472"/>
      <c r="P386" s="472"/>
      <c r="Q386" s="472"/>
      <c r="R386" s="472"/>
      <c r="S386" s="472"/>
      <c r="T386" s="472"/>
      <c r="U386" s="472"/>
      <c r="V386" s="472"/>
      <c r="W386" s="472"/>
      <c r="X386" s="472"/>
      <c r="Y386" s="472"/>
      <c r="Z386" s="472"/>
      <c r="AA386" s="472"/>
      <c r="AB386" s="472"/>
      <c r="AC386" s="472"/>
      <c r="AD386" s="472"/>
      <c r="AE386" s="472"/>
      <c r="AF386" s="472"/>
    </row>
    <row r="387" spans="8:32">
      <c r="H387" s="472">
        <f t="shared" si="46"/>
        <v>380</v>
      </c>
      <c r="I387" s="472"/>
      <c r="J387" s="472"/>
      <c r="K387" s="472"/>
      <c r="L387" s="472"/>
      <c r="M387" s="472"/>
      <c r="N387" s="472"/>
      <c r="O387" s="472"/>
      <c r="P387" s="472"/>
      <c r="Q387" s="472"/>
      <c r="R387" s="472"/>
      <c r="S387" s="472"/>
      <c r="T387" s="472"/>
      <c r="U387" s="472"/>
      <c r="V387" s="472"/>
      <c r="W387" s="472"/>
      <c r="X387" s="472"/>
      <c r="Y387" s="472"/>
      <c r="Z387" s="472"/>
      <c r="AA387" s="472"/>
      <c r="AB387" s="472"/>
      <c r="AC387" s="472"/>
      <c r="AD387" s="472"/>
      <c r="AE387" s="472"/>
      <c r="AF387" s="472"/>
    </row>
    <row r="388" spans="8:32">
      <c r="H388" s="472">
        <f t="shared" si="46"/>
        <v>381</v>
      </c>
      <c r="I388" s="472"/>
      <c r="J388" s="472"/>
      <c r="K388" s="472"/>
      <c r="L388" s="472"/>
      <c r="M388" s="472"/>
      <c r="N388" s="472"/>
      <c r="O388" s="472"/>
      <c r="P388" s="472"/>
      <c r="Q388" s="472"/>
      <c r="R388" s="472"/>
      <c r="S388" s="472"/>
      <c r="T388" s="472"/>
      <c r="U388" s="472"/>
      <c r="V388" s="472"/>
      <c r="W388" s="472"/>
      <c r="X388" s="472"/>
      <c r="Y388" s="472"/>
      <c r="Z388" s="472"/>
      <c r="AA388" s="472"/>
      <c r="AB388" s="472"/>
      <c r="AC388" s="472"/>
      <c r="AD388" s="472"/>
      <c r="AE388" s="472"/>
      <c r="AF388" s="472"/>
    </row>
    <row r="389" spans="8:32">
      <c r="H389" s="472">
        <f t="shared" si="46"/>
        <v>382</v>
      </c>
      <c r="I389" s="472"/>
      <c r="J389" s="472"/>
      <c r="K389" s="472"/>
      <c r="L389" s="472"/>
      <c r="M389" s="472"/>
      <c r="N389" s="472"/>
      <c r="O389" s="472"/>
      <c r="P389" s="472"/>
      <c r="Q389" s="472"/>
      <c r="R389" s="472"/>
      <c r="S389" s="472"/>
      <c r="T389" s="472"/>
      <c r="U389" s="472"/>
      <c r="V389" s="472"/>
      <c r="W389" s="472"/>
      <c r="X389" s="472"/>
      <c r="Y389" s="472"/>
      <c r="Z389" s="472"/>
      <c r="AA389" s="472"/>
      <c r="AB389" s="472"/>
      <c r="AC389" s="472"/>
      <c r="AD389" s="472"/>
      <c r="AE389" s="472"/>
      <c r="AF389" s="472"/>
    </row>
    <row r="390" spans="8:32">
      <c r="H390" s="472">
        <f t="shared" si="46"/>
        <v>383</v>
      </c>
      <c r="I390" s="472"/>
      <c r="J390" s="472"/>
      <c r="K390" s="472"/>
      <c r="L390" s="472"/>
      <c r="M390" s="472"/>
      <c r="N390" s="472"/>
      <c r="O390" s="472"/>
      <c r="P390" s="472"/>
      <c r="Q390" s="472"/>
      <c r="R390" s="472"/>
      <c r="S390" s="472"/>
      <c r="T390" s="472"/>
      <c r="U390" s="472"/>
      <c r="V390" s="472"/>
      <c r="W390" s="472"/>
      <c r="X390" s="472"/>
      <c r="Y390" s="472"/>
      <c r="Z390" s="472"/>
      <c r="AA390" s="472"/>
      <c r="AB390" s="472"/>
      <c r="AC390" s="472"/>
      <c r="AD390" s="472"/>
      <c r="AE390" s="472"/>
      <c r="AF390" s="472"/>
    </row>
    <row r="391" spans="8:32">
      <c r="H391" s="472">
        <f t="shared" si="46"/>
        <v>384</v>
      </c>
      <c r="I391" s="472"/>
      <c r="J391" s="472"/>
      <c r="K391" s="472"/>
      <c r="L391" s="472"/>
      <c r="M391" s="472"/>
      <c r="N391" s="472"/>
      <c r="O391" s="472"/>
      <c r="P391" s="472"/>
      <c r="Q391" s="472"/>
      <c r="R391" s="472"/>
      <c r="S391" s="472"/>
      <c r="T391" s="472"/>
      <c r="U391" s="472"/>
      <c r="V391" s="472"/>
      <c r="W391" s="472"/>
      <c r="X391" s="472"/>
      <c r="Y391" s="472"/>
      <c r="Z391" s="472"/>
      <c r="AA391" s="472"/>
      <c r="AB391" s="472"/>
      <c r="AC391" s="472"/>
      <c r="AD391" s="472"/>
      <c r="AE391" s="472"/>
      <c r="AF391" s="472"/>
    </row>
    <row r="392" spans="8:32">
      <c r="H392" s="472">
        <f t="shared" si="46"/>
        <v>385</v>
      </c>
      <c r="I392" s="472"/>
      <c r="J392" s="472"/>
      <c r="K392" s="472"/>
      <c r="L392" s="472"/>
      <c r="M392" s="472"/>
      <c r="N392" s="472"/>
      <c r="O392" s="472"/>
      <c r="P392" s="472"/>
      <c r="Q392" s="472"/>
      <c r="R392" s="472"/>
      <c r="S392" s="472"/>
      <c r="T392" s="472"/>
      <c r="U392" s="472"/>
      <c r="V392" s="472"/>
      <c r="W392" s="472"/>
      <c r="X392" s="472"/>
      <c r="Y392" s="472"/>
      <c r="Z392" s="472"/>
      <c r="AA392" s="472"/>
      <c r="AB392" s="472"/>
      <c r="AC392" s="472"/>
      <c r="AD392" s="472"/>
      <c r="AE392" s="472"/>
      <c r="AF392" s="472"/>
    </row>
    <row r="393" spans="8:32">
      <c r="H393" s="472">
        <f t="shared" si="46"/>
        <v>386</v>
      </c>
      <c r="I393" s="472"/>
      <c r="J393" s="472"/>
      <c r="K393" s="472"/>
      <c r="L393" s="472"/>
      <c r="M393" s="472"/>
      <c r="N393" s="472"/>
      <c r="O393" s="472"/>
      <c r="P393" s="472"/>
      <c r="Q393" s="472"/>
      <c r="R393" s="472"/>
      <c r="S393" s="472"/>
      <c r="T393" s="472"/>
      <c r="U393" s="472"/>
      <c r="V393" s="472"/>
      <c r="W393" s="472"/>
      <c r="X393" s="472"/>
      <c r="Y393" s="472"/>
      <c r="Z393" s="472"/>
      <c r="AA393" s="472"/>
      <c r="AB393" s="472"/>
      <c r="AC393" s="472"/>
      <c r="AD393" s="472"/>
      <c r="AE393" s="472"/>
      <c r="AF393" s="472"/>
    </row>
    <row r="394" spans="8:32">
      <c r="H394" s="472">
        <f t="shared" si="46"/>
        <v>387</v>
      </c>
      <c r="I394" s="472"/>
      <c r="J394" s="472"/>
      <c r="K394" s="472"/>
      <c r="L394" s="472"/>
      <c r="M394" s="472"/>
      <c r="N394" s="472"/>
      <c r="O394" s="472"/>
      <c r="P394" s="472"/>
      <c r="Q394" s="472"/>
      <c r="R394" s="472"/>
      <c r="S394" s="472"/>
      <c r="T394" s="472"/>
      <c r="U394" s="472"/>
      <c r="V394" s="472"/>
      <c r="W394" s="472"/>
      <c r="X394" s="472"/>
      <c r="Y394" s="472"/>
      <c r="Z394" s="472"/>
      <c r="AA394" s="472"/>
      <c r="AB394" s="472"/>
      <c r="AC394" s="472"/>
      <c r="AD394" s="472"/>
      <c r="AE394" s="472"/>
      <c r="AF394" s="472"/>
    </row>
    <row r="395" spans="8:32">
      <c r="H395" s="472">
        <f t="shared" si="46"/>
        <v>388</v>
      </c>
      <c r="I395" s="472"/>
      <c r="J395" s="472"/>
      <c r="K395" s="472"/>
      <c r="L395" s="472"/>
      <c r="M395" s="472"/>
      <c r="N395" s="472"/>
      <c r="O395" s="472"/>
      <c r="P395" s="472"/>
      <c r="Q395" s="472"/>
      <c r="R395" s="472"/>
      <c r="S395" s="472"/>
      <c r="T395" s="472"/>
      <c r="U395" s="472"/>
      <c r="V395" s="472"/>
      <c r="W395" s="472"/>
      <c r="X395" s="472"/>
      <c r="Y395" s="472"/>
      <c r="Z395" s="472"/>
      <c r="AA395" s="472"/>
      <c r="AB395" s="472"/>
      <c r="AC395" s="472"/>
      <c r="AD395" s="472"/>
      <c r="AE395" s="472"/>
      <c r="AF395" s="472"/>
    </row>
    <row r="396" spans="8:32">
      <c r="H396" s="472">
        <f t="shared" si="46"/>
        <v>389</v>
      </c>
      <c r="I396" s="472"/>
      <c r="J396" s="472"/>
      <c r="K396" s="472"/>
      <c r="L396" s="472"/>
      <c r="M396" s="472"/>
      <c r="N396" s="472"/>
      <c r="O396" s="472"/>
      <c r="P396" s="472"/>
      <c r="Q396" s="472"/>
      <c r="R396" s="472"/>
      <c r="S396" s="472"/>
      <c r="T396" s="472"/>
      <c r="U396" s="472"/>
      <c r="V396" s="472"/>
      <c r="W396" s="472"/>
      <c r="X396" s="472"/>
      <c r="Y396" s="472"/>
      <c r="Z396" s="472"/>
      <c r="AA396" s="472"/>
      <c r="AB396" s="472"/>
      <c r="AC396" s="472"/>
      <c r="AD396" s="472"/>
      <c r="AE396" s="472"/>
      <c r="AF396" s="472"/>
    </row>
    <row r="397" spans="8:32">
      <c r="H397" s="472">
        <f t="shared" si="46"/>
        <v>390</v>
      </c>
      <c r="I397" s="472"/>
      <c r="J397" s="472"/>
      <c r="K397" s="472"/>
      <c r="L397" s="472"/>
      <c r="M397" s="472"/>
      <c r="N397" s="472"/>
      <c r="O397" s="472"/>
      <c r="P397" s="472"/>
      <c r="Q397" s="472"/>
      <c r="R397" s="472"/>
      <c r="S397" s="472"/>
      <c r="T397" s="472"/>
      <c r="U397" s="472"/>
      <c r="V397" s="472"/>
      <c r="W397" s="472"/>
      <c r="X397" s="472"/>
      <c r="Y397" s="472"/>
      <c r="Z397" s="472"/>
      <c r="AA397" s="472"/>
      <c r="AB397" s="472"/>
      <c r="AC397" s="472"/>
      <c r="AD397" s="472"/>
      <c r="AE397" s="472"/>
      <c r="AF397" s="472"/>
    </row>
    <row r="398" spans="8:32">
      <c r="H398" s="472">
        <f t="shared" si="46"/>
        <v>391</v>
      </c>
      <c r="I398" s="472"/>
      <c r="J398" s="472"/>
      <c r="K398" s="472"/>
      <c r="L398" s="472"/>
      <c r="M398" s="472"/>
      <c r="N398" s="472"/>
      <c r="O398" s="472"/>
      <c r="P398" s="472"/>
      <c r="Q398" s="472"/>
      <c r="R398" s="472"/>
      <c r="S398" s="472"/>
      <c r="T398" s="472"/>
      <c r="U398" s="472"/>
      <c r="V398" s="472"/>
      <c r="W398" s="472"/>
      <c r="X398" s="472"/>
      <c r="Y398" s="472"/>
      <c r="Z398" s="472"/>
      <c r="AA398" s="472"/>
      <c r="AB398" s="472"/>
      <c r="AC398" s="472"/>
      <c r="AD398" s="472"/>
      <c r="AE398" s="472"/>
      <c r="AF398" s="472"/>
    </row>
    <row r="399" spans="8:32">
      <c r="H399" s="472">
        <f t="shared" si="46"/>
        <v>392</v>
      </c>
      <c r="I399" s="472"/>
      <c r="J399" s="472"/>
      <c r="K399" s="472"/>
      <c r="L399" s="472"/>
      <c r="M399" s="472"/>
      <c r="N399" s="472"/>
      <c r="O399" s="472"/>
      <c r="P399" s="472"/>
      <c r="Q399" s="472"/>
      <c r="R399" s="472"/>
      <c r="S399" s="472"/>
      <c r="T399" s="472"/>
      <c r="U399" s="472"/>
      <c r="V399" s="472"/>
      <c r="W399" s="472"/>
      <c r="X399" s="472"/>
      <c r="Y399" s="472"/>
      <c r="Z399" s="472"/>
      <c r="AA399" s="472"/>
      <c r="AB399" s="472"/>
      <c r="AC399" s="472"/>
      <c r="AD399" s="472"/>
      <c r="AE399" s="472"/>
      <c r="AF399" s="472"/>
    </row>
    <row r="400" spans="8:32">
      <c r="H400" s="472">
        <f t="shared" si="46"/>
        <v>393</v>
      </c>
      <c r="I400" s="472"/>
      <c r="J400" s="472"/>
      <c r="K400" s="472"/>
      <c r="L400" s="472"/>
      <c r="M400" s="472"/>
      <c r="N400" s="472"/>
      <c r="O400" s="472"/>
      <c r="P400" s="472"/>
      <c r="Q400" s="472"/>
      <c r="R400" s="472"/>
      <c r="S400" s="472"/>
      <c r="T400" s="472"/>
      <c r="U400" s="472"/>
      <c r="V400" s="472"/>
      <c r="W400" s="472"/>
      <c r="X400" s="472"/>
      <c r="Y400" s="472"/>
      <c r="Z400" s="472"/>
      <c r="AA400" s="472"/>
      <c r="AB400" s="472"/>
      <c r="AC400" s="472"/>
      <c r="AD400" s="472"/>
      <c r="AE400" s="472"/>
      <c r="AF400" s="472"/>
    </row>
    <row r="401" spans="8:32">
      <c r="H401" s="472">
        <f t="shared" si="46"/>
        <v>394</v>
      </c>
      <c r="I401" s="472"/>
      <c r="J401" s="472"/>
      <c r="K401" s="472"/>
      <c r="L401" s="472"/>
      <c r="M401" s="472"/>
      <c r="N401" s="472"/>
      <c r="O401" s="472"/>
      <c r="P401" s="472"/>
      <c r="Q401" s="472"/>
      <c r="R401" s="472"/>
      <c r="S401" s="472"/>
      <c r="T401" s="472"/>
      <c r="U401" s="472"/>
      <c r="V401" s="472"/>
      <c r="W401" s="472"/>
      <c r="X401" s="472"/>
      <c r="Y401" s="472"/>
      <c r="Z401" s="472"/>
      <c r="AA401" s="472"/>
      <c r="AB401" s="472"/>
      <c r="AC401" s="472"/>
      <c r="AD401" s="472"/>
      <c r="AE401" s="472"/>
      <c r="AF401" s="472"/>
    </row>
    <row r="402" spans="8:32">
      <c r="H402" s="472">
        <f t="shared" si="46"/>
        <v>395</v>
      </c>
      <c r="I402" s="472"/>
      <c r="J402" s="472"/>
      <c r="K402" s="472"/>
      <c r="L402" s="472"/>
      <c r="M402" s="472"/>
      <c r="N402" s="472"/>
      <c r="O402" s="472"/>
      <c r="P402" s="472"/>
      <c r="Q402" s="472"/>
      <c r="R402" s="472"/>
      <c r="S402" s="472"/>
      <c r="T402" s="472"/>
      <c r="U402" s="472"/>
      <c r="V402" s="472"/>
      <c r="W402" s="472"/>
      <c r="X402" s="472"/>
      <c r="Y402" s="472"/>
      <c r="Z402" s="472"/>
      <c r="AA402" s="472"/>
      <c r="AB402" s="472"/>
      <c r="AC402" s="472"/>
      <c r="AD402" s="472"/>
      <c r="AE402" s="472"/>
      <c r="AF402" s="472"/>
    </row>
    <row r="403" spans="8:32">
      <c r="H403" s="472">
        <f t="shared" si="46"/>
        <v>396</v>
      </c>
      <c r="I403" s="472"/>
      <c r="J403" s="472"/>
      <c r="K403" s="472"/>
      <c r="L403" s="472"/>
      <c r="M403" s="472"/>
      <c r="N403" s="472"/>
      <c r="O403" s="472"/>
      <c r="P403" s="472"/>
      <c r="Q403" s="472"/>
      <c r="R403" s="472"/>
      <c r="S403" s="472"/>
      <c r="T403" s="472"/>
      <c r="U403" s="472"/>
      <c r="V403" s="472"/>
      <c r="W403" s="472"/>
      <c r="X403" s="472"/>
      <c r="Y403" s="472"/>
      <c r="Z403" s="472"/>
      <c r="AA403" s="472"/>
      <c r="AB403" s="472"/>
      <c r="AC403" s="472"/>
      <c r="AD403" s="472"/>
      <c r="AE403" s="472"/>
      <c r="AF403" s="472"/>
    </row>
    <row r="404" spans="8:32">
      <c r="H404" s="472">
        <f t="shared" si="46"/>
        <v>397</v>
      </c>
      <c r="I404" s="472"/>
      <c r="J404" s="472"/>
      <c r="K404" s="472"/>
      <c r="L404" s="472"/>
      <c r="M404" s="472"/>
      <c r="N404" s="472"/>
      <c r="O404" s="472"/>
      <c r="P404" s="472"/>
      <c r="Q404" s="472"/>
      <c r="R404" s="472"/>
      <c r="S404" s="472"/>
      <c r="T404" s="472"/>
      <c r="U404" s="472"/>
      <c r="V404" s="472"/>
      <c r="W404" s="472"/>
      <c r="X404" s="472"/>
      <c r="Y404" s="472"/>
      <c r="Z404" s="472"/>
      <c r="AA404" s="472"/>
      <c r="AB404" s="472"/>
      <c r="AC404" s="472"/>
      <c r="AD404" s="472"/>
      <c r="AE404" s="472"/>
      <c r="AF404" s="472"/>
    </row>
    <row r="405" spans="8:32">
      <c r="H405" s="472">
        <f t="shared" si="46"/>
        <v>398</v>
      </c>
      <c r="I405" s="472"/>
      <c r="J405" s="472"/>
      <c r="K405" s="472"/>
      <c r="L405" s="472"/>
      <c r="M405" s="472"/>
      <c r="N405" s="472"/>
      <c r="O405" s="472"/>
      <c r="P405" s="472"/>
      <c r="Q405" s="472"/>
      <c r="R405" s="472"/>
      <c r="S405" s="472"/>
      <c r="T405" s="472"/>
      <c r="U405" s="472"/>
      <c r="V405" s="472"/>
      <c r="W405" s="472"/>
      <c r="X405" s="472"/>
      <c r="Y405" s="472"/>
      <c r="Z405" s="472"/>
      <c r="AA405" s="472"/>
      <c r="AB405" s="472"/>
      <c r="AC405" s="472"/>
      <c r="AD405" s="472"/>
      <c r="AE405" s="472"/>
      <c r="AF405" s="472"/>
    </row>
    <row r="406" spans="8:32">
      <c r="H406" s="472">
        <f t="shared" si="46"/>
        <v>399</v>
      </c>
      <c r="I406" s="472"/>
      <c r="J406" s="472"/>
      <c r="K406" s="472"/>
      <c r="L406" s="472"/>
      <c r="M406" s="472"/>
      <c r="N406" s="472"/>
      <c r="O406" s="472"/>
      <c r="P406" s="472"/>
      <c r="Q406" s="472"/>
      <c r="R406" s="472"/>
      <c r="S406" s="472"/>
      <c r="T406" s="472"/>
      <c r="U406" s="472"/>
      <c r="V406" s="472"/>
      <c r="W406" s="472"/>
      <c r="X406" s="472"/>
      <c r="Y406" s="472"/>
      <c r="Z406" s="472"/>
      <c r="AA406" s="472"/>
      <c r="AB406" s="472"/>
      <c r="AC406" s="472"/>
      <c r="AD406" s="472"/>
      <c r="AE406" s="472"/>
      <c r="AF406" s="472"/>
    </row>
    <row r="407" spans="8:32">
      <c r="H407" s="472">
        <f t="shared" si="46"/>
        <v>400</v>
      </c>
      <c r="I407" s="472"/>
      <c r="J407" s="472"/>
      <c r="K407" s="472"/>
      <c r="L407" s="472"/>
      <c r="M407" s="472"/>
      <c r="N407" s="472"/>
      <c r="O407" s="472"/>
      <c r="P407" s="472"/>
      <c r="Q407" s="472"/>
      <c r="R407" s="472"/>
      <c r="S407" s="472"/>
      <c r="T407" s="472"/>
      <c r="U407" s="472"/>
      <c r="V407" s="472"/>
      <c r="W407" s="472"/>
      <c r="X407" s="472"/>
      <c r="Y407" s="472"/>
      <c r="Z407" s="472"/>
      <c r="AA407" s="472"/>
      <c r="AB407" s="472"/>
      <c r="AC407" s="472"/>
      <c r="AD407" s="472"/>
      <c r="AE407" s="472"/>
      <c r="AF407" s="472"/>
    </row>
    <row r="408" spans="8:32">
      <c r="H408" s="472">
        <f t="shared" si="46"/>
        <v>401</v>
      </c>
      <c r="I408" s="472"/>
      <c r="J408" s="472"/>
      <c r="K408" s="472"/>
      <c r="L408" s="472"/>
      <c r="M408" s="472"/>
      <c r="N408" s="472"/>
      <c r="O408" s="472"/>
      <c r="P408" s="472"/>
      <c r="Q408" s="472"/>
      <c r="R408" s="472"/>
      <c r="S408" s="472"/>
      <c r="T408" s="472"/>
      <c r="U408" s="472"/>
      <c r="V408" s="472"/>
      <c r="W408" s="472"/>
      <c r="X408" s="472"/>
      <c r="Y408" s="472"/>
      <c r="Z408" s="472"/>
      <c r="AA408" s="472"/>
      <c r="AB408" s="472"/>
      <c r="AC408" s="472"/>
      <c r="AD408" s="472"/>
      <c r="AE408" s="472"/>
      <c r="AF408" s="472"/>
    </row>
    <row r="409" spans="8:32">
      <c r="H409" s="472">
        <f t="shared" si="46"/>
        <v>402</v>
      </c>
      <c r="I409" s="472"/>
      <c r="J409" s="472"/>
      <c r="K409" s="472"/>
      <c r="L409" s="472"/>
      <c r="M409" s="472"/>
      <c r="N409" s="472"/>
      <c r="O409" s="472"/>
      <c r="P409" s="472"/>
      <c r="Q409" s="472"/>
      <c r="R409" s="472"/>
      <c r="S409" s="472"/>
      <c r="T409" s="472"/>
      <c r="U409" s="472"/>
      <c r="V409" s="472"/>
      <c r="W409" s="472"/>
      <c r="X409" s="472"/>
      <c r="Y409" s="472"/>
      <c r="Z409" s="472"/>
      <c r="AA409" s="472"/>
      <c r="AB409" s="472"/>
      <c r="AC409" s="472"/>
      <c r="AD409" s="472"/>
      <c r="AE409" s="472"/>
      <c r="AF409" s="472"/>
    </row>
    <row r="410" spans="8:32">
      <c r="H410" s="472">
        <f t="shared" si="46"/>
        <v>403</v>
      </c>
      <c r="I410" s="472"/>
      <c r="J410" s="472"/>
      <c r="K410" s="472"/>
      <c r="L410" s="472"/>
      <c r="M410" s="472"/>
      <c r="N410" s="472"/>
      <c r="O410" s="472"/>
      <c r="P410" s="472"/>
      <c r="Q410" s="472"/>
      <c r="R410" s="472"/>
      <c r="S410" s="472"/>
      <c r="T410" s="472"/>
      <c r="U410" s="472"/>
      <c r="V410" s="472"/>
      <c r="W410" s="472"/>
      <c r="X410" s="472"/>
      <c r="Y410" s="472"/>
      <c r="Z410" s="472"/>
      <c r="AA410" s="472"/>
      <c r="AB410" s="472"/>
      <c r="AC410" s="472"/>
      <c r="AD410" s="472"/>
      <c r="AE410" s="472"/>
      <c r="AF410" s="472"/>
    </row>
    <row r="411" spans="8:32">
      <c r="H411" s="472">
        <f t="shared" si="46"/>
        <v>404</v>
      </c>
      <c r="I411" s="472"/>
      <c r="J411" s="472"/>
      <c r="K411" s="472"/>
      <c r="L411" s="472"/>
      <c r="M411" s="472"/>
      <c r="N411" s="472"/>
      <c r="O411" s="472"/>
      <c r="P411" s="472"/>
      <c r="Q411" s="472"/>
      <c r="R411" s="472"/>
      <c r="S411" s="472"/>
      <c r="T411" s="472"/>
      <c r="U411" s="472"/>
      <c r="V411" s="472"/>
      <c r="W411" s="472"/>
      <c r="X411" s="472"/>
      <c r="Y411" s="472"/>
      <c r="Z411" s="472"/>
      <c r="AA411" s="472"/>
      <c r="AB411" s="472"/>
      <c r="AC411" s="472"/>
      <c r="AD411" s="472"/>
      <c r="AE411" s="472"/>
      <c r="AF411" s="472"/>
    </row>
    <row r="412" spans="8:32">
      <c r="H412" s="472">
        <f t="shared" si="46"/>
        <v>405</v>
      </c>
      <c r="I412" s="472"/>
      <c r="J412" s="472"/>
      <c r="K412" s="472"/>
      <c r="L412" s="472"/>
      <c r="M412" s="472"/>
      <c r="N412" s="472"/>
      <c r="O412" s="472"/>
      <c r="P412" s="472"/>
      <c r="Q412" s="472"/>
      <c r="R412" s="472"/>
      <c r="S412" s="472"/>
      <c r="T412" s="472"/>
      <c r="U412" s="472"/>
      <c r="V412" s="472"/>
      <c r="W412" s="472"/>
      <c r="X412" s="472"/>
      <c r="Y412" s="472"/>
      <c r="Z412" s="472"/>
      <c r="AA412" s="472"/>
      <c r="AB412" s="472"/>
      <c r="AC412" s="472"/>
      <c r="AD412" s="472"/>
      <c r="AE412" s="472"/>
      <c r="AF412" s="472"/>
    </row>
    <row r="413" spans="8:32">
      <c r="H413" s="472">
        <f t="shared" si="46"/>
        <v>406</v>
      </c>
      <c r="I413" s="472"/>
      <c r="J413" s="472"/>
      <c r="K413" s="472"/>
      <c r="L413" s="472"/>
      <c r="M413" s="472"/>
      <c r="N413" s="472"/>
      <c r="O413" s="472"/>
      <c r="P413" s="472"/>
      <c r="Q413" s="472"/>
      <c r="R413" s="472"/>
      <c r="S413" s="472"/>
      <c r="T413" s="472"/>
      <c r="U413" s="472"/>
      <c r="V413" s="472"/>
      <c r="W413" s="472"/>
      <c r="X413" s="472"/>
      <c r="Y413" s="472"/>
      <c r="Z413" s="472"/>
      <c r="AA413" s="472"/>
      <c r="AB413" s="472"/>
      <c r="AC413" s="472"/>
      <c r="AD413" s="472"/>
      <c r="AE413" s="472"/>
      <c r="AF413" s="472"/>
    </row>
    <row r="414" spans="8:32">
      <c r="H414" s="472">
        <f t="shared" si="46"/>
        <v>407</v>
      </c>
      <c r="I414" s="472"/>
      <c r="J414" s="472"/>
      <c r="K414" s="472"/>
      <c r="L414" s="472"/>
      <c r="M414" s="472"/>
      <c r="N414" s="472"/>
      <c r="O414" s="472"/>
      <c r="P414" s="472"/>
      <c r="Q414" s="472"/>
      <c r="R414" s="472"/>
      <c r="S414" s="472"/>
      <c r="T414" s="472"/>
      <c r="U414" s="472"/>
      <c r="V414" s="472"/>
      <c r="W414" s="472"/>
      <c r="X414" s="472"/>
      <c r="Y414" s="472"/>
      <c r="Z414" s="472"/>
      <c r="AA414" s="472"/>
      <c r="AB414" s="472"/>
      <c r="AC414" s="472"/>
      <c r="AD414" s="472"/>
      <c r="AE414" s="472"/>
      <c r="AF414" s="472"/>
    </row>
    <row r="415" spans="8:32">
      <c r="H415" s="472">
        <f t="shared" si="46"/>
        <v>408</v>
      </c>
      <c r="I415" s="472"/>
      <c r="J415" s="472"/>
      <c r="K415" s="472"/>
      <c r="L415" s="472"/>
      <c r="M415" s="472"/>
      <c r="N415" s="472"/>
      <c r="O415" s="472"/>
      <c r="P415" s="472"/>
      <c r="Q415" s="472"/>
      <c r="R415" s="472"/>
      <c r="S415" s="472"/>
      <c r="T415" s="472"/>
      <c r="U415" s="472"/>
      <c r="V415" s="472"/>
      <c r="W415" s="472"/>
      <c r="X415" s="472"/>
      <c r="Y415" s="472"/>
      <c r="Z415" s="472"/>
      <c r="AA415" s="472"/>
      <c r="AB415" s="472"/>
      <c r="AC415" s="472"/>
      <c r="AD415" s="472"/>
      <c r="AE415" s="472"/>
      <c r="AF415" s="472"/>
    </row>
    <row r="416" spans="8:32">
      <c r="H416" s="472">
        <f t="shared" si="46"/>
        <v>409</v>
      </c>
      <c r="I416" s="472"/>
      <c r="J416" s="472"/>
      <c r="K416" s="472"/>
      <c r="L416" s="472"/>
      <c r="M416" s="472"/>
      <c r="N416" s="472"/>
      <c r="O416" s="472"/>
      <c r="P416" s="472"/>
      <c r="Q416" s="472"/>
      <c r="R416" s="472"/>
      <c r="S416" s="472"/>
      <c r="T416" s="472"/>
      <c r="U416" s="472"/>
      <c r="V416" s="472"/>
      <c r="W416" s="472"/>
      <c r="X416" s="472"/>
      <c r="Y416" s="472"/>
      <c r="Z416" s="472"/>
      <c r="AA416" s="472"/>
      <c r="AB416" s="472"/>
      <c r="AC416" s="472"/>
      <c r="AD416" s="472"/>
      <c r="AE416" s="472"/>
      <c r="AF416" s="472"/>
    </row>
    <row r="417" spans="8:32">
      <c r="H417" s="472">
        <f t="shared" si="46"/>
        <v>410</v>
      </c>
      <c r="I417" s="472"/>
      <c r="J417" s="472"/>
      <c r="K417" s="472"/>
      <c r="L417" s="472"/>
      <c r="M417" s="472"/>
      <c r="N417" s="472"/>
      <c r="O417" s="472"/>
      <c r="P417" s="472"/>
      <c r="Q417" s="472"/>
      <c r="R417" s="472"/>
      <c r="S417" s="472"/>
      <c r="T417" s="472"/>
      <c r="U417" s="472"/>
      <c r="V417" s="472"/>
      <c r="W417" s="472"/>
      <c r="X417" s="472"/>
      <c r="Y417" s="472"/>
      <c r="Z417" s="472"/>
      <c r="AA417" s="472"/>
      <c r="AB417" s="472"/>
      <c r="AC417" s="472"/>
      <c r="AD417" s="472"/>
      <c r="AE417" s="472"/>
      <c r="AF417" s="472"/>
    </row>
    <row r="418" spans="8:32">
      <c r="H418" s="472">
        <f t="shared" si="46"/>
        <v>411</v>
      </c>
      <c r="I418" s="472"/>
      <c r="J418" s="472"/>
      <c r="K418" s="472"/>
      <c r="L418" s="472"/>
      <c r="M418" s="472"/>
      <c r="N418" s="472"/>
      <c r="O418" s="472"/>
      <c r="P418" s="472"/>
      <c r="Q418" s="472"/>
      <c r="R418" s="472"/>
      <c r="S418" s="472"/>
      <c r="T418" s="472"/>
      <c r="U418" s="472"/>
      <c r="V418" s="472"/>
      <c r="W418" s="472"/>
      <c r="X418" s="472"/>
      <c r="Y418" s="472"/>
      <c r="Z418" s="472"/>
      <c r="AA418" s="472"/>
      <c r="AB418" s="472"/>
      <c r="AC418" s="472"/>
      <c r="AD418" s="472"/>
      <c r="AE418" s="472"/>
      <c r="AF418" s="472"/>
    </row>
    <row r="419" spans="8:32">
      <c r="H419" s="472">
        <f t="shared" si="46"/>
        <v>412</v>
      </c>
      <c r="I419" s="472"/>
      <c r="J419" s="472"/>
      <c r="K419" s="472"/>
      <c r="L419" s="472"/>
      <c r="M419" s="472"/>
      <c r="N419" s="472"/>
      <c r="O419" s="472"/>
      <c r="P419" s="472"/>
      <c r="Q419" s="472"/>
      <c r="R419" s="472"/>
      <c r="S419" s="472"/>
      <c r="T419" s="472"/>
      <c r="U419" s="472"/>
      <c r="V419" s="472"/>
      <c r="W419" s="472"/>
      <c r="X419" s="472"/>
      <c r="Y419" s="472"/>
      <c r="Z419" s="472"/>
      <c r="AA419" s="472"/>
      <c r="AB419" s="472"/>
      <c r="AC419" s="472"/>
      <c r="AD419" s="472"/>
      <c r="AE419" s="472"/>
      <c r="AF419" s="472"/>
    </row>
    <row r="420" spans="8:32">
      <c r="H420" s="472">
        <f t="shared" si="46"/>
        <v>413</v>
      </c>
      <c r="I420" s="472"/>
      <c r="J420" s="472"/>
      <c r="K420" s="472"/>
      <c r="L420" s="472"/>
      <c r="M420" s="472"/>
      <c r="N420" s="472"/>
      <c r="O420" s="472"/>
      <c r="P420" s="472"/>
      <c r="Q420" s="472"/>
      <c r="R420" s="472"/>
      <c r="S420" s="472"/>
      <c r="T420" s="472"/>
      <c r="U420" s="472"/>
      <c r="V420" s="472"/>
      <c r="W420" s="472"/>
      <c r="X420" s="472"/>
      <c r="Y420" s="472"/>
      <c r="Z420" s="472"/>
      <c r="AA420" s="472"/>
      <c r="AB420" s="472"/>
      <c r="AC420" s="472"/>
      <c r="AD420" s="472"/>
      <c r="AE420" s="472"/>
      <c r="AF420" s="472"/>
    </row>
    <row r="421" spans="8:32">
      <c r="H421" s="472">
        <f t="shared" si="46"/>
        <v>414</v>
      </c>
      <c r="I421" s="472"/>
      <c r="J421" s="472"/>
      <c r="K421" s="472"/>
      <c r="L421" s="472"/>
      <c r="M421" s="472"/>
      <c r="N421" s="472"/>
      <c r="O421" s="472"/>
      <c r="P421" s="472"/>
      <c r="Q421" s="472"/>
      <c r="R421" s="472"/>
      <c r="S421" s="472"/>
      <c r="T421" s="472"/>
      <c r="U421" s="472"/>
      <c r="V421" s="472"/>
      <c r="W421" s="472"/>
      <c r="X421" s="472"/>
      <c r="Y421" s="472"/>
      <c r="Z421" s="472"/>
      <c r="AA421" s="472"/>
      <c r="AB421" s="472"/>
      <c r="AC421" s="472"/>
      <c r="AD421" s="472"/>
      <c r="AE421" s="472"/>
      <c r="AF421" s="472"/>
    </row>
    <row r="422" spans="8:32">
      <c r="H422" s="472">
        <f t="shared" ref="H422:H461" si="47">1+H421</f>
        <v>415</v>
      </c>
      <c r="I422" s="472"/>
      <c r="J422" s="472"/>
      <c r="K422" s="472"/>
      <c r="L422" s="472"/>
      <c r="M422" s="472"/>
      <c r="N422" s="472"/>
      <c r="O422" s="472"/>
      <c r="P422" s="472"/>
      <c r="Q422" s="472"/>
      <c r="R422" s="472"/>
      <c r="S422" s="472"/>
      <c r="T422" s="472"/>
      <c r="U422" s="472"/>
      <c r="V422" s="472"/>
      <c r="W422" s="472"/>
      <c r="X422" s="472"/>
      <c r="Y422" s="472"/>
      <c r="Z422" s="472"/>
      <c r="AA422" s="472"/>
      <c r="AB422" s="472"/>
      <c r="AC422" s="472"/>
      <c r="AD422" s="472"/>
      <c r="AE422" s="472"/>
      <c r="AF422" s="472"/>
    </row>
    <row r="423" spans="8:32">
      <c r="H423" s="472">
        <f t="shared" si="47"/>
        <v>416</v>
      </c>
      <c r="I423" s="472"/>
      <c r="J423" s="472"/>
      <c r="K423" s="472"/>
      <c r="L423" s="472"/>
      <c r="M423" s="472"/>
      <c r="N423" s="472"/>
      <c r="O423" s="472"/>
      <c r="P423" s="472"/>
      <c r="Q423" s="472"/>
      <c r="R423" s="472"/>
      <c r="S423" s="472"/>
      <c r="T423" s="472"/>
      <c r="U423" s="472"/>
      <c r="V423" s="472"/>
      <c r="W423" s="472"/>
      <c r="X423" s="472"/>
      <c r="Y423" s="472"/>
      <c r="Z423" s="472"/>
      <c r="AA423" s="472"/>
      <c r="AB423" s="472"/>
      <c r="AC423" s="472"/>
      <c r="AD423" s="472"/>
      <c r="AE423" s="472"/>
      <c r="AF423" s="472"/>
    </row>
    <row r="424" spans="8:32">
      <c r="H424" s="472">
        <f t="shared" si="47"/>
        <v>417</v>
      </c>
      <c r="I424" s="472"/>
      <c r="J424" s="472"/>
      <c r="K424" s="472"/>
      <c r="L424" s="472"/>
      <c r="M424" s="472"/>
      <c r="N424" s="472"/>
      <c r="O424" s="472"/>
      <c r="P424" s="472"/>
      <c r="Q424" s="472"/>
      <c r="R424" s="472"/>
      <c r="S424" s="472"/>
      <c r="T424" s="472"/>
      <c r="U424" s="472"/>
      <c r="V424" s="472"/>
      <c r="W424" s="472"/>
      <c r="X424" s="472"/>
      <c r="Y424" s="472"/>
      <c r="Z424" s="472"/>
      <c r="AA424" s="472"/>
      <c r="AB424" s="472"/>
      <c r="AC424" s="472"/>
      <c r="AD424" s="472"/>
      <c r="AE424" s="472"/>
      <c r="AF424" s="472"/>
    </row>
    <row r="425" spans="8:32">
      <c r="H425" s="472">
        <f t="shared" si="47"/>
        <v>418</v>
      </c>
      <c r="I425" s="472"/>
      <c r="J425" s="472"/>
      <c r="K425" s="472"/>
      <c r="L425" s="472"/>
      <c r="M425" s="472"/>
      <c r="N425" s="472"/>
      <c r="O425" s="472"/>
      <c r="P425" s="472"/>
      <c r="Q425" s="472"/>
      <c r="R425" s="472"/>
      <c r="S425" s="472"/>
      <c r="T425" s="472"/>
      <c r="U425" s="472"/>
      <c r="V425" s="472"/>
      <c r="W425" s="472"/>
      <c r="X425" s="472"/>
      <c r="Y425" s="472"/>
      <c r="Z425" s="472"/>
      <c r="AA425" s="472"/>
      <c r="AB425" s="472"/>
      <c r="AC425" s="472"/>
      <c r="AD425" s="472"/>
      <c r="AE425" s="472"/>
      <c r="AF425" s="472"/>
    </row>
    <row r="426" spans="8:32">
      <c r="H426" s="472">
        <f t="shared" si="47"/>
        <v>419</v>
      </c>
      <c r="I426" s="472"/>
      <c r="J426" s="472"/>
      <c r="K426" s="472"/>
      <c r="L426" s="472"/>
      <c r="M426" s="472"/>
      <c r="N426" s="472"/>
      <c r="O426" s="472"/>
      <c r="P426" s="472"/>
      <c r="Q426" s="472"/>
      <c r="R426" s="472"/>
      <c r="S426" s="472"/>
      <c r="T426" s="472"/>
      <c r="U426" s="472"/>
      <c r="V426" s="472"/>
      <c r="W426" s="472"/>
      <c r="X426" s="472"/>
      <c r="Y426" s="472"/>
      <c r="Z426" s="472"/>
      <c r="AA426" s="472"/>
      <c r="AB426" s="472"/>
      <c r="AC426" s="472"/>
      <c r="AD426" s="472"/>
      <c r="AE426" s="472"/>
      <c r="AF426" s="472"/>
    </row>
    <row r="427" spans="8:32">
      <c r="H427" s="472">
        <f t="shared" si="47"/>
        <v>420</v>
      </c>
      <c r="I427" s="472"/>
      <c r="J427" s="472"/>
      <c r="K427" s="472"/>
      <c r="L427" s="472"/>
      <c r="M427" s="472"/>
      <c r="N427" s="472"/>
      <c r="O427" s="472"/>
      <c r="P427" s="472"/>
      <c r="Q427" s="472"/>
      <c r="R427" s="472"/>
      <c r="S427" s="472"/>
      <c r="T427" s="472"/>
      <c r="U427" s="472"/>
      <c r="V427" s="472"/>
      <c r="W427" s="472"/>
      <c r="X427" s="472"/>
      <c r="Y427" s="472"/>
      <c r="Z427" s="472"/>
      <c r="AA427" s="472"/>
      <c r="AB427" s="472"/>
      <c r="AC427" s="472"/>
      <c r="AD427" s="472"/>
      <c r="AE427" s="472"/>
      <c r="AF427" s="472"/>
    </row>
    <row r="428" spans="8:32">
      <c r="H428" s="472">
        <f t="shared" si="47"/>
        <v>421</v>
      </c>
      <c r="I428" s="472"/>
      <c r="J428" s="472"/>
      <c r="K428" s="472"/>
      <c r="L428" s="472"/>
      <c r="M428" s="472"/>
      <c r="N428" s="472"/>
      <c r="O428" s="472"/>
      <c r="P428" s="472"/>
      <c r="Q428" s="472"/>
      <c r="R428" s="472"/>
      <c r="S428" s="472"/>
      <c r="T428" s="472"/>
      <c r="U428" s="472"/>
      <c r="V428" s="472"/>
      <c r="W428" s="472"/>
      <c r="X428" s="472"/>
      <c r="Y428" s="472"/>
      <c r="Z428" s="472"/>
      <c r="AA428" s="472"/>
      <c r="AB428" s="472"/>
      <c r="AC428" s="472"/>
      <c r="AD428" s="472"/>
      <c r="AE428" s="472"/>
      <c r="AF428" s="472"/>
    </row>
    <row r="429" spans="8:32">
      <c r="H429" s="472">
        <f t="shared" si="47"/>
        <v>422</v>
      </c>
      <c r="I429" s="472"/>
      <c r="J429" s="472"/>
      <c r="K429" s="472"/>
      <c r="L429" s="472"/>
      <c r="M429" s="472"/>
      <c r="N429" s="472"/>
      <c r="O429" s="472"/>
      <c r="P429" s="472"/>
      <c r="Q429" s="472"/>
      <c r="R429" s="472"/>
      <c r="S429" s="472"/>
      <c r="T429" s="472"/>
      <c r="U429" s="472"/>
      <c r="V429" s="472"/>
      <c r="W429" s="472"/>
      <c r="X429" s="472"/>
      <c r="Y429" s="472"/>
      <c r="Z429" s="472"/>
      <c r="AA429" s="472"/>
      <c r="AB429" s="472"/>
      <c r="AC429" s="472"/>
      <c r="AD429" s="472"/>
      <c r="AE429" s="472"/>
      <c r="AF429" s="472"/>
    </row>
    <row r="430" spans="8:32">
      <c r="H430" s="472">
        <f t="shared" si="47"/>
        <v>423</v>
      </c>
      <c r="I430" s="472"/>
      <c r="J430" s="472"/>
      <c r="K430" s="472"/>
      <c r="L430" s="472"/>
      <c r="M430" s="472"/>
      <c r="N430" s="472"/>
      <c r="O430" s="472"/>
      <c r="P430" s="472"/>
      <c r="Q430" s="472"/>
      <c r="R430" s="472"/>
      <c r="S430" s="472"/>
      <c r="T430" s="472"/>
      <c r="U430" s="472"/>
      <c r="V430" s="472"/>
      <c r="W430" s="472"/>
      <c r="X430" s="472"/>
      <c r="Y430" s="472"/>
      <c r="Z430" s="472"/>
      <c r="AA430" s="472"/>
      <c r="AB430" s="472"/>
      <c r="AC430" s="472"/>
      <c r="AD430" s="472"/>
      <c r="AE430" s="472"/>
      <c r="AF430" s="472"/>
    </row>
    <row r="431" spans="8:32">
      <c r="H431" s="472">
        <f t="shared" si="47"/>
        <v>424</v>
      </c>
      <c r="I431" s="472"/>
      <c r="J431" s="472"/>
      <c r="K431" s="472"/>
      <c r="L431" s="472"/>
      <c r="M431" s="472"/>
      <c r="N431" s="472"/>
      <c r="O431" s="472"/>
      <c r="P431" s="472"/>
      <c r="Q431" s="472"/>
      <c r="R431" s="472"/>
      <c r="S431" s="472"/>
      <c r="T431" s="472"/>
      <c r="U431" s="472"/>
      <c r="V431" s="472"/>
      <c r="W431" s="472"/>
      <c r="X431" s="472"/>
      <c r="Y431" s="472"/>
      <c r="Z431" s="472"/>
      <c r="AA431" s="472"/>
      <c r="AB431" s="472"/>
      <c r="AC431" s="472"/>
      <c r="AD431" s="472"/>
      <c r="AE431" s="472"/>
      <c r="AF431" s="472"/>
    </row>
    <row r="432" spans="8:32">
      <c r="H432" s="472">
        <f t="shared" si="47"/>
        <v>425</v>
      </c>
      <c r="I432" s="472"/>
      <c r="J432" s="472"/>
      <c r="K432" s="472"/>
      <c r="L432" s="472"/>
      <c r="M432" s="472"/>
      <c r="N432" s="472"/>
      <c r="O432" s="472"/>
      <c r="P432" s="472"/>
      <c r="Q432" s="472"/>
      <c r="R432" s="472"/>
      <c r="S432" s="472"/>
      <c r="T432" s="472"/>
      <c r="U432" s="472"/>
      <c r="V432" s="472"/>
      <c r="W432" s="472"/>
      <c r="X432" s="472"/>
      <c r="Y432" s="472"/>
      <c r="Z432" s="472"/>
      <c r="AA432" s="472"/>
      <c r="AB432" s="472"/>
      <c r="AC432" s="472"/>
      <c r="AD432" s="472"/>
      <c r="AE432" s="472"/>
      <c r="AF432" s="472"/>
    </row>
    <row r="433" spans="8:32">
      <c r="H433" s="472">
        <f t="shared" si="47"/>
        <v>426</v>
      </c>
      <c r="I433" s="472"/>
      <c r="J433" s="472"/>
      <c r="K433" s="472"/>
      <c r="L433" s="472"/>
      <c r="M433" s="472"/>
      <c r="N433" s="472"/>
      <c r="O433" s="472"/>
      <c r="P433" s="472"/>
      <c r="Q433" s="472"/>
      <c r="R433" s="472"/>
      <c r="S433" s="472"/>
      <c r="T433" s="472"/>
      <c r="U433" s="472"/>
      <c r="V433" s="472"/>
      <c r="W433" s="472"/>
      <c r="X433" s="472"/>
      <c r="Y433" s="472"/>
      <c r="Z433" s="472"/>
      <c r="AA433" s="472"/>
      <c r="AB433" s="472"/>
      <c r="AC433" s="472"/>
      <c r="AD433" s="472"/>
      <c r="AE433" s="472"/>
      <c r="AF433" s="472"/>
    </row>
    <row r="434" spans="8:32">
      <c r="H434" s="472">
        <f t="shared" si="47"/>
        <v>427</v>
      </c>
      <c r="I434" s="472"/>
      <c r="J434" s="472"/>
      <c r="K434" s="472"/>
      <c r="L434" s="472"/>
      <c r="M434" s="472"/>
      <c r="N434" s="472"/>
      <c r="O434" s="472"/>
      <c r="P434" s="472"/>
      <c r="Q434" s="472"/>
      <c r="R434" s="472"/>
      <c r="S434" s="472"/>
      <c r="T434" s="472"/>
      <c r="U434" s="472"/>
      <c r="V434" s="472"/>
      <c r="W434" s="472"/>
      <c r="X434" s="472"/>
      <c r="Y434" s="472"/>
      <c r="Z434" s="472"/>
      <c r="AA434" s="472"/>
      <c r="AB434" s="472"/>
      <c r="AC434" s="472"/>
      <c r="AD434" s="472"/>
      <c r="AE434" s="472"/>
      <c r="AF434" s="472"/>
    </row>
    <row r="435" spans="8:32">
      <c r="H435" s="472">
        <f t="shared" si="47"/>
        <v>428</v>
      </c>
      <c r="I435" s="472"/>
      <c r="J435" s="472"/>
      <c r="K435" s="472"/>
      <c r="L435" s="472"/>
      <c r="M435" s="472"/>
      <c r="N435" s="472"/>
      <c r="O435" s="472"/>
      <c r="P435" s="472"/>
      <c r="Q435" s="472"/>
      <c r="R435" s="472"/>
      <c r="S435" s="472"/>
      <c r="T435" s="472"/>
      <c r="U435" s="472"/>
      <c r="V435" s="472"/>
      <c r="W435" s="472"/>
      <c r="X435" s="472"/>
      <c r="Y435" s="472"/>
      <c r="Z435" s="472"/>
      <c r="AA435" s="472"/>
      <c r="AB435" s="472"/>
      <c r="AC435" s="472"/>
      <c r="AD435" s="472"/>
      <c r="AE435" s="472"/>
      <c r="AF435" s="472"/>
    </row>
    <row r="436" spans="8:32">
      <c r="H436" s="472">
        <f t="shared" si="47"/>
        <v>429</v>
      </c>
      <c r="I436" s="472"/>
      <c r="J436" s="472"/>
      <c r="K436" s="472"/>
      <c r="L436" s="472"/>
      <c r="M436" s="472"/>
      <c r="N436" s="472"/>
      <c r="O436" s="472"/>
      <c r="P436" s="472"/>
      <c r="Q436" s="472"/>
      <c r="R436" s="472"/>
      <c r="S436" s="472"/>
      <c r="T436" s="472"/>
      <c r="U436" s="472"/>
      <c r="V436" s="472"/>
      <c r="W436" s="472"/>
      <c r="X436" s="472"/>
      <c r="Y436" s="472"/>
      <c r="Z436" s="472"/>
      <c r="AA436" s="472"/>
      <c r="AB436" s="472"/>
      <c r="AC436" s="472"/>
      <c r="AD436" s="472"/>
      <c r="AE436" s="472"/>
      <c r="AF436" s="472"/>
    </row>
    <row r="437" spans="8:32">
      <c r="H437" s="472">
        <f t="shared" si="47"/>
        <v>430</v>
      </c>
      <c r="I437" s="472"/>
      <c r="J437" s="472"/>
      <c r="K437" s="472"/>
      <c r="L437" s="472"/>
      <c r="M437" s="472"/>
      <c r="N437" s="472"/>
      <c r="O437" s="472"/>
      <c r="P437" s="472"/>
      <c r="Q437" s="472"/>
      <c r="R437" s="472"/>
      <c r="S437" s="472"/>
      <c r="T437" s="472"/>
      <c r="U437" s="472"/>
      <c r="V437" s="472"/>
      <c r="W437" s="472"/>
      <c r="X437" s="472"/>
      <c r="Y437" s="472"/>
      <c r="Z437" s="472"/>
      <c r="AA437" s="472"/>
      <c r="AB437" s="472"/>
      <c r="AC437" s="472"/>
      <c r="AD437" s="472"/>
      <c r="AE437" s="472"/>
      <c r="AF437" s="472"/>
    </row>
    <row r="438" spans="8:32">
      <c r="H438" s="472">
        <f t="shared" si="47"/>
        <v>431</v>
      </c>
      <c r="I438" s="472"/>
      <c r="J438" s="472"/>
      <c r="K438" s="472"/>
      <c r="L438" s="472"/>
      <c r="M438" s="472"/>
      <c r="N438" s="472"/>
      <c r="O438" s="472"/>
      <c r="P438" s="472"/>
      <c r="Q438" s="472"/>
      <c r="R438" s="472"/>
      <c r="S438" s="472"/>
      <c r="T438" s="472"/>
      <c r="U438" s="472"/>
      <c r="V438" s="472"/>
      <c r="W438" s="472"/>
      <c r="X438" s="472"/>
      <c r="Y438" s="472"/>
      <c r="Z438" s="472"/>
      <c r="AA438" s="472"/>
      <c r="AB438" s="472"/>
      <c r="AC438" s="472"/>
      <c r="AD438" s="472"/>
      <c r="AE438" s="472"/>
      <c r="AF438" s="472"/>
    </row>
    <row r="439" spans="8:32">
      <c r="H439" s="472">
        <f t="shared" si="47"/>
        <v>432</v>
      </c>
      <c r="I439" s="472"/>
      <c r="J439" s="472"/>
      <c r="K439" s="472"/>
      <c r="L439" s="472"/>
      <c r="M439" s="472"/>
      <c r="N439" s="472"/>
      <c r="O439" s="472"/>
      <c r="P439" s="472"/>
      <c r="Q439" s="472"/>
      <c r="R439" s="472"/>
      <c r="S439" s="472"/>
      <c r="T439" s="472"/>
      <c r="U439" s="472"/>
      <c r="V439" s="472"/>
      <c r="W439" s="472"/>
      <c r="X439" s="472"/>
      <c r="Y439" s="472"/>
      <c r="Z439" s="472"/>
      <c r="AA439" s="472"/>
      <c r="AB439" s="472"/>
      <c r="AC439" s="472"/>
      <c r="AD439" s="472"/>
      <c r="AE439" s="472"/>
      <c r="AF439" s="472"/>
    </row>
    <row r="440" spans="8:32">
      <c r="H440" s="472">
        <f t="shared" si="47"/>
        <v>433</v>
      </c>
      <c r="I440" s="472"/>
      <c r="J440" s="472"/>
      <c r="K440" s="472"/>
      <c r="L440" s="472"/>
      <c r="M440" s="472"/>
      <c r="N440" s="472"/>
      <c r="O440" s="472"/>
      <c r="P440" s="472"/>
      <c r="Q440" s="472"/>
      <c r="R440" s="472"/>
      <c r="S440" s="472"/>
      <c r="T440" s="472"/>
      <c r="U440" s="472"/>
      <c r="V440" s="472"/>
      <c r="W440" s="472"/>
      <c r="X440" s="472"/>
      <c r="Y440" s="472"/>
      <c r="Z440" s="472"/>
      <c r="AA440" s="472"/>
      <c r="AB440" s="472"/>
      <c r="AC440" s="472"/>
      <c r="AD440" s="472"/>
      <c r="AE440" s="472"/>
      <c r="AF440" s="472"/>
    </row>
    <row r="441" spans="8:32">
      <c r="H441" s="472">
        <f t="shared" si="47"/>
        <v>434</v>
      </c>
      <c r="I441" s="472"/>
      <c r="J441" s="472"/>
      <c r="K441" s="472"/>
      <c r="L441" s="472"/>
      <c r="M441" s="472"/>
      <c r="N441" s="472"/>
      <c r="O441" s="472"/>
      <c r="P441" s="472"/>
      <c r="Q441" s="472"/>
      <c r="R441" s="472"/>
      <c r="S441" s="472"/>
      <c r="T441" s="472"/>
      <c r="U441" s="472"/>
      <c r="V441" s="472"/>
      <c r="W441" s="472"/>
      <c r="X441" s="472"/>
      <c r="Y441" s="472"/>
      <c r="Z441" s="472"/>
      <c r="AA441" s="472"/>
      <c r="AB441" s="472"/>
      <c r="AC441" s="472"/>
      <c r="AD441" s="472"/>
      <c r="AE441" s="472"/>
      <c r="AF441" s="472"/>
    </row>
    <row r="442" spans="8:32">
      <c r="H442" s="472">
        <f t="shared" si="47"/>
        <v>435</v>
      </c>
      <c r="I442" s="472"/>
      <c r="J442" s="472"/>
      <c r="K442" s="472"/>
      <c r="L442" s="472"/>
      <c r="M442" s="472"/>
      <c r="N442" s="472"/>
      <c r="O442" s="472"/>
      <c r="P442" s="472"/>
      <c r="Q442" s="472"/>
      <c r="R442" s="472"/>
      <c r="S442" s="472"/>
      <c r="T442" s="472"/>
      <c r="U442" s="472"/>
      <c r="V442" s="472"/>
      <c r="W442" s="472"/>
      <c r="X442" s="472"/>
      <c r="Y442" s="472"/>
      <c r="Z442" s="472"/>
      <c r="AA442" s="472"/>
      <c r="AB442" s="472"/>
      <c r="AC442" s="472"/>
      <c r="AD442" s="472"/>
      <c r="AE442" s="472"/>
      <c r="AF442" s="472"/>
    </row>
    <row r="443" spans="8:32">
      <c r="H443" s="472">
        <f t="shared" si="47"/>
        <v>436</v>
      </c>
      <c r="I443" s="472"/>
      <c r="J443" s="472"/>
      <c r="K443" s="472"/>
      <c r="L443" s="472"/>
      <c r="M443" s="472"/>
      <c r="N443" s="472"/>
      <c r="O443" s="472"/>
      <c r="P443" s="472"/>
      <c r="Q443" s="472"/>
      <c r="R443" s="472"/>
      <c r="S443" s="472"/>
      <c r="T443" s="472"/>
      <c r="U443" s="472"/>
      <c r="V443" s="472"/>
      <c r="W443" s="472"/>
      <c r="X443" s="472"/>
      <c r="Y443" s="472"/>
      <c r="Z443" s="472"/>
      <c r="AA443" s="472"/>
      <c r="AB443" s="472"/>
      <c r="AC443" s="472"/>
      <c r="AD443" s="472"/>
      <c r="AE443" s="472"/>
      <c r="AF443" s="472"/>
    </row>
    <row r="444" spans="8:32">
      <c r="H444" s="472">
        <f t="shared" si="47"/>
        <v>437</v>
      </c>
      <c r="I444" s="472"/>
      <c r="J444" s="472"/>
      <c r="K444" s="472"/>
      <c r="L444" s="472"/>
      <c r="M444" s="472"/>
      <c r="N444" s="472"/>
      <c r="O444" s="472"/>
      <c r="P444" s="472"/>
      <c r="Q444" s="472"/>
      <c r="R444" s="472"/>
      <c r="S444" s="472"/>
      <c r="T444" s="472"/>
      <c r="U444" s="472"/>
      <c r="V444" s="472"/>
      <c r="W444" s="472"/>
      <c r="X444" s="472"/>
      <c r="Y444" s="472"/>
      <c r="Z444" s="472"/>
      <c r="AA444" s="472"/>
      <c r="AB444" s="472"/>
      <c r="AC444" s="472"/>
      <c r="AD444" s="472"/>
      <c r="AE444" s="472"/>
      <c r="AF444" s="472"/>
    </row>
    <row r="445" spans="8:32">
      <c r="H445" s="472">
        <f t="shared" si="47"/>
        <v>438</v>
      </c>
      <c r="I445" s="472"/>
      <c r="J445" s="472"/>
      <c r="K445" s="472"/>
      <c r="L445" s="472"/>
      <c r="M445" s="472"/>
      <c r="N445" s="472"/>
      <c r="O445" s="472"/>
      <c r="P445" s="472"/>
      <c r="Q445" s="472"/>
      <c r="R445" s="472"/>
      <c r="S445" s="472"/>
      <c r="T445" s="472"/>
      <c r="U445" s="472"/>
      <c r="V445" s="472"/>
      <c r="W445" s="472"/>
      <c r="X445" s="472"/>
      <c r="Y445" s="472"/>
      <c r="Z445" s="472"/>
      <c r="AA445" s="472"/>
      <c r="AB445" s="472"/>
      <c r="AC445" s="472"/>
      <c r="AD445" s="472"/>
      <c r="AE445" s="472"/>
      <c r="AF445" s="472"/>
    </row>
    <row r="446" spans="8:32">
      <c r="H446" s="472">
        <f t="shared" si="47"/>
        <v>439</v>
      </c>
      <c r="I446" s="472"/>
      <c r="J446" s="472"/>
      <c r="K446" s="472"/>
      <c r="L446" s="472"/>
      <c r="M446" s="472"/>
      <c r="N446" s="472"/>
      <c r="O446" s="472"/>
      <c r="P446" s="472"/>
      <c r="Q446" s="472"/>
      <c r="R446" s="472"/>
      <c r="S446" s="472"/>
      <c r="T446" s="472"/>
      <c r="U446" s="472"/>
      <c r="V446" s="472"/>
      <c r="W446" s="472"/>
      <c r="X446" s="472"/>
      <c r="Y446" s="472"/>
      <c r="Z446" s="472"/>
      <c r="AA446" s="472"/>
      <c r="AB446" s="472"/>
      <c r="AC446" s="472"/>
      <c r="AD446" s="472"/>
      <c r="AE446" s="472"/>
      <c r="AF446" s="472"/>
    </row>
    <row r="447" spans="8:32">
      <c r="H447" s="472">
        <f t="shared" si="47"/>
        <v>440</v>
      </c>
      <c r="I447" s="472"/>
      <c r="J447" s="472"/>
      <c r="K447" s="472"/>
      <c r="L447" s="472"/>
      <c r="M447" s="472"/>
      <c r="N447" s="472"/>
      <c r="O447" s="472"/>
      <c r="P447" s="472"/>
      <c r="Q447" s="472"/>
      <c r="R447" s="472"/>
      <c r="S447" s="472"/>
      <c r="T447" s="472"/>
      <c r="U447" s="472"/>
      <c r="V447" s="472"/>
      <c r="W447" s="472"/>
      <c r="X447" s="472"/>
      <c r="Y447" s="472"/>
      <c r="Z447" s="472"/>
      <c r="AA447" s="472"/>
      <c r="AB447" s="472"/>
      <c r="AC447" s="472"/>
      <c r="AD447" s="472"/>
      <c r="AE447" s="472"/>
      <c r="AF447" s="472"/>
    </row>
    <row r="448" spans="8:32">
      <c r="H448" s="472">
        <f t="shared" si="47"/>
        <v>441</v>
      </c>
      <c r="I448" s="472"/>
      <c r="J448" s="472"/>
      <c r="K448" s="472"/>
      <c r="L448" s="472"/>
      <c r="M448" s="472"/>
      <c r="N448" s="472"/>
      <c r="O448" s="472"/>
      <c r="P448" s="472"/>
      <c r="Q448" s="472"/>
      <c r="R448" s="472"/>
      <c r="S448" s="472"/>
      <c r="T448" s="472"/>
      <c r="U448" s="472"/>
      <c r="V448" s="472"/>
      <c r="W448" s="472"/>
      <c r="X448" s="472"/>
      <c r="Y448" s="472"/>
      <c r="Z448" s="472"/>
      <c r="AA448" s="472"/>
      <c r="AB448" s="472"/>
      <c r="AC448" s="472"/>
      <c r="AD448" s="472"/>
      <c r="AE448" s="472"/>
      <c r="AF448" s="472"/>
    </row>
    <row r="449" spans="8:32">
      <c r="H449" s="472">
        <f t="shared" si="47"/>
        <v>442</v>
      </c>
      <c r="I449" s="472"/>
      <c r="J449" s="472"/>
      <c r="K449" s="472"/>
      <c r="L449" s="472"/>
      <c r="M449" s="472"/>
      <c r="N449" s="472"/>
      <c r="O449" s="472"/>
      <c r="P449" s="472"/>
      <c r="Q449" s="472"/>
      <c r="R449" s="472"/>
      <c r="S449" s="472"/>
      <c r="T449" s="472"/>
      <c r="U449" s="472"/>
      <c r="V449" s="472"/>
      <c r="W449" s="472"/>
      <c r="X449" s="472"/>
      <c r="Y449" s="472"/>
      <c r="Z449" s="472"/>
      <c r="AA449" s="472"/>
      <c r="AB449" s="472"/>
      <c r="AC449" s="472"/>
      <c r="AD449" s="472"/>
      <c r="AE449" s="472"/>
      <c r="AF449" s="472"/>
    </row>
    <row r="450" spans="8:32">
      <c r="H450" s="472">
        <f t="shared" si="47"/>
        <v>443</v>
      </c>
      <c r="I450" s="472"/>
      <c r="J450" s="472"/>
      <c r="K450" s="472"/>
      <c r="L450" s="472"/>
      <c r="M450" s="472"/>
      <c r="N450" s="472"/>
      <c r="O450" s="472"/>
      <c r="P450" s="472"/>
      <c r="Q450" s="472"/>
      <c r="R450" s="472"/>
      <c r="S450" s="472"/>
      <c r="T450" s="472"/>
      <c r="U450" s="472"/>
      <c r="V450" s="472"/>
      <c r="W450" s="472"/>
      <c r="X450" s="472"/>
      <c r="Y450" s="472"/>
      <c r="Z450" s="472"/>
      <c r="AA450" s="472"/>
      <c r="AB450" s="472"/>
      <c r="AC450" s="472"/>
      <c r="AD450" s="472"/>
      <c r="AE450" s="472"/>
      <c r="AF450" s="472"/>
    </row>
    <row r="451" spans="8:32">
      <c r="H451" s="472">
        <f t="shared" si="47"/>
        <v>444</v>
      </c>
      <c r="I451" s="472"/>
      <c r="J451" s="472"/>
      <c r="K451" s="472"/>
      <c r="L451" s="472"/>
      <c r="M451" s="472"/>
      <c r="N451" s="472"/>
      <c r="O451" s="472"/>
      <c r="P451" s="472"/>
      <c r="Q451" s="472"/>
      <c r="R451" s="472"/>
      <c r="S451" s="472"/>
      <c r="T451" s="472"/>
      <c r="U451" s="472"/>
      <c r="V451" s="472"/>
      <c r="W451" s="472"/>
      <c r="X451" s="472"/>
      <c r="Y451" s="472"/>
      <c r="Z451" s="472"/>
      <c r="AA451" s="472"/>
      <c r="AB451" s="472"/>
      <c r="AC451" s="472"/>
      <c r="AD451" s="472"/>
      <c r="AE451" s="472"/>
      <c r="AF451" s="472"/>
    </row>
    <row r="452" spans="8:32">
      <c r="H452" s="472">
        <f t="shared" si="47"/>
        <v>445</v>
      </c>
      <c r="I452" s="472"/>
      <c r="J452" s="472"/>
      <c r="K452" s="472"/>
      <c r="L452" s="472"/>
      <c r="M452" s="472"/>
      <c r="N452" s="472"/>
      <c r="O452" s="472"/>
      <c r="P452" s="472"/>
      <c r="Q452" s="472"/>
      <c r="R452" s="472"/>
      <c r="S452" s="472"/>
      <c r="T452" s="472"/>
      <c r="U452" s="472"/>
      <c r="V452" s="472"/>
      <c r="W452" s="472"/>
      <c r="X452" s="472"/>
      <c r="Y452" s="472"/>
      <c r="Z452" s="472"/>
      <c r="AA452" s="472"/>
      <c r="AB452" s="472"/>
      <c r="AC452" s="472"/>
      <c r="AD452" s="472"/>
      <c r="AE452" s="472"/>
      <c r="AF452" s="472"/>
    </row>
    <row r="453" spans="8:32">
      <c r="H453" s="472">
        <f t="shared" si="47"/>
        <v>446</v>
      </c>
      <c r="I453" s="472"/>
      <c r="J453" s="472"/>
      <c r="K453" s="472"/>
      <c r="L453" s="472"/>
      <c r="M453" s="472"/>
      <c r="N453" s="472"/>
      <c r="O453" s="472"/>
      <c r="P453" s="472"/>
      <c r="Q453" s="472"/>
      <c r="R453" s="472"/>
      <c r="S453" s="472"/>
      <c r="T453" s="472"/>
      <c r="U453" s="472"/>
      <c r="V453" s="472"/>
      <c r="W453" s="472"/>
      <c r="X453" s="472"/>
      <c r="Y453" s="472"/>
      <c r="Z453" s="472"/>
      <c r="AA453" s="472"/>
      <c r="AB453" s="472"/>
      <c r="AC453" s="472"/>
      <c r="AD453" s="472"/>
      <c r="AE453" s="472"/>
      <c r="AF453" s="472"/>
    </row>
    <row r="454" spans="8:32">
      <c r="H454" s="472">
        <f t="shared" si="47"/>
        <v>447</v>
      </c>
      <c r="I454" s="472"/>
      <c r="J454" s="472"/>
      <c r="K454" s="472"/>
      <c r="L454" s="472"/>
      <c r="M454" s="472"/>
      <c r="N454" s="472"/>
      <c r="O454" s="472"/>
      <c r="P454" s="472"/>
      <c r="Q454" s="472"/>
      <c r="R454" s="472"/>
      <c r="S454" s="472"/>
      <c r="T454" s="472"/>
      <c r="U454" s="472"/>
      <c r="V454" s="472"/>
      <c r="W454" s="472"/>
      <c r="X454" s="472"/>
      <c r="Y454" s="472"/>
      <c r="Z454" s="472"/>
      <c r="AA454" s="472"/>
      <c r="AB454" s="472"/>
      <c r="AC454" s="472"/>
      <c r="AD454" s="472"/>
      <c r="AE454" s="472"/>
      <c r="AF454" s="472"/>
    </row>
    <row r="455" spans="8:32">
      <c r="H455" s="472">
        <f t="shared" si="47"/>
        <v>448</v>
      </c>
      <c r="I455" s="472"/>
      <c r="J455" s="472"/>
      <c r="K455" s="472"/>
      <c r="L455" s="472"/>
      <c r="M455" s="472"/>
      <c r="N455" s="472"/>
      <c r="O455" s="472"/>
      <c r="P455" s="472"/>
      <c r="Q455" s="472"/>
      <c r="R455" s="472"/>
      <c r="S455" s="472"/>
      <c r="T455" s="472"/>
      <c r="U455" s="472"/>
      <c r="V455" s="472"/>
      <c r="W455" s="472"/>
      <c r="X455" s="472"/>
      <c r="Y455" s="472"/>
      <c r="Z455" s="472"/>
      <c r="AA455" s="472"/>
      <c r="AB455" s="472"/>
      <c r="AC455" s="472"/>
      <c r="AD455" s="472"/>
      <c r="AE455" s="472"/>
      <c r="AF455" s="472"/>
    </row>
    <row r="456" spans="8:32">
      <c r="H456" s="472">
        <f t="shared" si="47"/>
        <v>449</v>
      </c>
      <c r="I456" s="472"/>
      <c r="J456" s="472"/>
      <c r="K456" s="472"/>
      <c r="L456" s="472"/>
      <c r="M456" s="472"/>
      <c r="N456" s="472"/>
      <c r="O456" s="472"/>
      <c r="P456" s="472"/>
      <c r="Q456" s="472"/>
      <c r="R456" s="472"/>
      <c r="S456" s="472"/>
      <c r="T456" s="472"/>
      <c r="U456" s="472"/>
      <c r="V456" s="472"/>
      <c r="W456" s="472"/>
      <c r="X456" s="472"/>
      <c r="Y456" s="472"/>
      <c r="Z456" s="472"/>
      <c r="AA456" s="472"/>
      <c r="AB456" s="472"/>
      <c r="AC456" s="472"/>
      <c r="AD456" s="472"/>
      <c r="AE456" s="472"/>
      <c r="AF456" s="472"/>
    </row>
    <row r="457" spans="8:32">
      <c r="H457" s="472">
        <f t="shared" si="47"/>
        <v>450</v>
      </c>
      <c r="I457" s="472"/>
      <c r="J457" s="472"/>
      <c r="K457" s="472"/>
      <c r="L457" s="472"/>
      <c r="M457" s="472"/>
      <c r="N457" s="472"/>
      <c r="O457" s="472"/>
      <c r="P457" s="472"/>
      <c r="Q457" s="472"/>
      <c r="R457" s="472"/>
      <c r="S457" s="472"/>
      <c r="T457" s="472"/>
      <c r="U457" s="472"/>
      <c r="V457" s="472"/>
      <c r="W457" s="472"/>
      <c r="X457" s="472"/>
      <c r="Y457" s="472"/>
      <c r="Z457" s="472"/>
      <c r="AA457" s="472"/>
      <c r="AB457" s="472"/>
      <c r="AC457" s="472"/>
      <c r="AD457" s="472"/>
      <c r="AE457" s="472"/>
      <c r="AF457" s="472"/>
    </row>
    <row r="458" spans="8:32">
      <c r="H458" s="472">
        <f t="shared" si="47"/>
        <v>451</v>
      </c>
      <c r="I458" s="472"/>
      <c r="J458" s="472"/>
      <c r="K458" s="472"/>
      <c r="L458" s="472"/>
      <c r="M458" s="472"/>
      <c r="N458" s="472"/>
      <c r="O458" s="472"/>
      <c r="P458" s="472"/>
      <c r="Q458" s="472"/>
      <c r="R458" s="472"/>
      <c r="S458" s="472"/>
      <c r="T458" s="472"/>
      <c r="U458" s="472"/>
      <c r="V458" s="472"/>
      <c r="W458" s="472"/>
      <c r="X458" s="472"/>
      <c r="Y458" s="472"/>
      <c r="Z458" s="472"/>
      <c r="AA458" s="472"/>
      <c r="AB458" s="472"/>
      <c r="AC458" s="472"/>
      <c r="AD458" s="472"/>
      <c r="AE458" s="472"/>
      <c r="AF458" s="472"/>
    </row>
    <row r="459" spans="8:32">
      <c r="H459" s="472">
        <f t="shared" si="47"/>
        <v>452</v>
      </c>
      <c r="I459" s="472"/>
      <c r="J459" s="472"/>
      <c r="K459" s="472"/>
      <c r="L459" s="472"/>
      <c r="M459" s="472"/>
      <c r="N459" s="472"/>
      <c r="O459" s="472"/>
      <c r="P459" s="472"/>
      <c r="Q459" s="472"/>
      <c r="R459" s="472"/>
      <c r="S459" s="472"/>
      <c r="T459" s="472"/>
      <c r="U459" s="472"/>
      <c r="V459" s="472"/>
      <c r="W459" s="472"/>
      <c r="X459" s="472"/>
      <c r="Y459" s="472"/>
      <c r="Z459" s="472"/>
      <c r="AA459" s="472"/>
      <c r="AB459" s="472"/>
      <c r="AC459" s="472"/>
      <c r="AD459" s="472"/>
      <c r="AE459" s="472"/>
      <c r="AF459" s="472"/>
    </row>
    <row r="460" spans="8:32">
      <c r="H460" s="472">
        <f t="shared" si="47"/>
        <v>453</v>
      </c>
      <c r="I460" s="472"/>
      <c r="J460" s="472"/>
      <c r="K460" s="472"/>
      <c r="L460" s="472"/>
      <c r="M460" s="472"/>
      <c r="N460" s="472"/>
      <c r="O460" s="472"/>
      <c r="P460" s="472"/>
      <c r="Q460" s="472"/>
      <c r="R460" s="472"/>
      <c r="S460" s="472"/>
      <c r="T460" s="472"/>
      <c r="U460" s="472"/>
      <c r="V460" s="472"/>
      <c r="W460" s="472"/>
      <c r="X460" s="472"/>
      <c r="Y460" s="472"/>
      <c r="Z460" s="472"/>
      <c r="AA460" s="472"/>
      <c r="AB460" s="472"/>
      <c r="AC460" s="472"/>
      <c r="AD460" s="472"/>
      <c r="AE460" s="472"/>
      <c r="AF460" s="472"/>
    </row>
    <row r="461" spans="8:32">
      <c r="H461" s="472">
        <f t="shared" si="47"/>
        <v>454</v>
      </c>
      <c r="I461" s="472"/>
      <c r="J461" s="472"/>
      <c r="K461" s="472"/>
      <c r="L461" s="472"/>
      <c r="M461" s="472"/>
      <c r="N461" s="472"/>
      <c r="O461" s="472"/>
      <c r="P461" s="472"/>
      <c r="Q461" s="472"/>
      <c r="R461" s="472"/>
      <c r="S461" s="472"/>
      <c r="T461" s="472"/>
      <c r="U461" s="472"/>
      <c r="V461" s="472"/>
      <c r="W461" s="472"/>
      <c r="X461" s="472"/>
      <c r="Y461" s="472"/>
      <c r="Z461" s="472"/>
      <c r="AA461" s="472"/>
      <c r="AB461" s="472"/>
      <c r="AC461" s="472"/>
      <c r="AD461" s="472"/>
      <c r="AE461" s="472"/>
      <c r="AF461" s="472"/>
    </row>
  </sheetData>
  <phoneticPr fontId="0" type="noConversion"/>
  <dataValidations disablePrompts="1" count="1">
    <dataValidation type="list" allowBlank="1" showInputMessage="1" showErrorMessage="1" sqref="E145:E327 E10:E140" xr:uid="{00000000-0002-0000-0800-000000000000}">
      <formula1>Type</formula1>
    </dataValidation>
  </dataValidations>
  <printOptions horizontalCentered="1" verticalCentered="1"/>
  <pageMargins left="0.39" right="0.4" top="0.52" bottom="0.52" header="0.5" footer="0.5"/>
  <pageSetup paperSize="5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BR567"/>
  <sheetViews>
    <sheetView zoomScale="85" zoomScaleNormal="100" workbookViewId="0">
      <selection activeCell="A16" sqref="A16"/>
    </sheetView>
  </sheetViews>
  <sheetFormatPr defaultRowHeight="12.5"/>
  <cols>
    <col min="1" max="1" width="7" style="1" customWidth="1"/>
    <col min="2" max="2" width="33.1796875" customWidth="1"/>
    <col min="3" max="4" width="10.7265625" customWidth="1"/>
    <col min="5" max="5" width="13.81640625" hidden="1" customWidth="1"/>
    <col min="6" max="6" width="11.54296875" customWidth="1"/>
    <col min="7" max="7" width="8.26953125" customWidth="1"/>
    <col min="8" max="8" width="9.26953125" customWidth="1"/>
    <col min="9" max="9" width="2" customWidth="1"/>
    <col min="10" max="11" width="12.1796875" customWidth="1"/>
    <col min="12" max="12" width="11.54296875" customWidth="1"/>
    <col min="13" max="13" width="2.26953125" customWidth="1"/>
    <col min="14" max="16" width="12.1796875" customWidth="1"/>
    <col min="17" max="17" width="52.453125" customWidth="1"/>
    <col min="18" max="18" width="2.54296875" customWidth="1"/>
    <col min="19" max="19" width="12.453125" hidden="1" customWidth="1"/>
    <col min="20" max="20" width="12.1796875" hidden="1" customWidth="1"/>
    <col min="21" max="21" width="49.7265625" hidden="1" customWidth="1"/>
    <col min="22" max="24" width="12.7265625" customWidth="1"/>
    <col min="25" max="25" width="11.81640625" customWidth="1"/>
    <col min="26" max="26" width="12.7265625" customWidth="1" collapsed="1"/>
    <col min="27" max="27" width="12.1796875" customWidth="1"/>
    <col min="28" max="29" width="12.7265625" customWidth="1"/>
    <col min="30" max="30" width="12.7265625" customWidth="1" collapsed="1"/>
    <col min="31" max="33" width="12.7265625" customWidth="1"/>
    <col min="34" max="34" width="12.1796875" customWidth="1"/>
    <col min="35" max="37" width="12.7265625" customWidth="1"/>
    <col min="38" max="38" width="12.81640625" customWidth="1"/>
    <col min="39" max="39" width="12.7265625" customWidth="1" collapsed="1"/>
    <col min="40" max="47" width="12.7265625" customWidth="1"/>
    <col min="48" max="50" width="9.7265625" bestFit="1" customWidth="1"/>
    <col min="51" max="59" width="11.26953125" bestFit="1" customWidth="1"/>
    <col min="60" max="63" width="12.7265625" customWidth="1"/>
    <col min="64" max="64" width="14.26953125" customWidth="1" collapsed="1"/>
    <col min="65" max="65" width="15" customWidth="1"/>
  </cols>
  <sheetData>
    <row r="1" spans="1:70" s="414" customFormat="1">
      <c r="A1" s="415"/>
      <c r="C1" s="415"/>
      <c r="D1" s="415"/>
      <c r="E1" s="415"/>
      <c r="F1" s="559"/>
      <c r="G1" s="415"/>
      <c r="V1" s="417"/>
      <c r="W1" s="417"/>
      <c r="X1" s="417"/>
      <c r="Y1" s="417"/>
      <c r="Z1" s="417"/>
      <c r="AA1" s="416"/>
      <c r="AB1" s="417"/>
      <c r="AC1" s="417"/>
      <c r="AD1" s="417"/>
      <c r="AE1" s="417"/>
      <c r="AF1" s="417"/>
      <c r="AG1" s="417"/>
      <c r="AI1" s="417"/>
      <c r="AJ1" s="417"/>
      <c r="AK1" s="417"/>
      <c r="AL1" s="417"/>
      <c r="AM1" s="417"/>
      <c r="AN1" s="417"/>
      <c r="AO1" s="417"/>
      <c r="AP1" s="417"/>
      <c r="AQ1" s="417"/>
      <c r="AR1" s="417"/>
      <c r="AS1" s="417"/>
      <c r="AT1" s="417"/>
      <c r="AU1" s="417"/>
      <c r="AV1"/>
      <c r="AW1"/>
      <c r="AX1"/>
      <c r="AY1"/>
      <c r="AZ1"/>
      <c r="BA1"/>
      <c r="BB1"/>
      <c r="BC1"/>
      <c r="BD1"/>
      <c r="BE1"/>
      <c r="BF1"/>
      <c r="BG1"/>
      <c r="BH1" s="417"/>
      <c r="BI1" s="417"/>
      <c r="BJ1" s="417"/>
      <c r="BK1" s="417"/>
      <c r="BM1" s="418"/>
      <c r="BR1" s="415"/>
    </row>
    <row r="2" spans="1:70" s="414" customFormat="1" ht="18">
      <c r="A2" s="415"/>
      <c r="B2" s="560" t="s">
        <v>213</v>
      </c>
      <c r="C2" s="415"/>
      <c r="D2" s="415"/>
      <c r="E2" s="415"/>
      <c r="F2" s="559"/>
      <c r="G2" s="420"/>
      <c r="I2" s="471"/>
      <c r="J2" s="471"/>
      <c r="K2" s="471"/>
      <c r="L2" s="471"/>
      <c r="M2" s="471"/>
      <c r="N2" s="471"/>
      <c r="O2" s="471"/>
      <c r="P2" s="471"/>
      <c r="Q2" s="471"/>
      <c r="R2" s="471"/>
      <c r="S2" s="471"/>
      <c r="T2" s="471"/>
      <c r="V2" s="412"/>
      <c r="W2" s="412"/>
      <c r="X2" s="412"/>
      <c r="Y2" s="412"/>
      <c r="Z2" s="412"/>
      <c r="AA2" s="416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  <c r="AO2" s="412"/>
      <c r="AP2" s="412"/>
      <c r="AQ2" s="412"/>
      <c r="AR2" s="412"/>
      <c r="AS2" s="412"/>
      <c r="AT2" s="412"/>
      <c r="AU2" s="412"/>
      <c r="AV2" s="412"/>
      <c r="AW2" s="412"/>
      <c r="AX2" s="412"/>
      <c r="AY2"/>
      <c r="AZ2"/>
      <c r="BA2"/>
      <c r="BB2"/>
      <c r="BC2"/>
      <c r="BD2"/>
      <c r="BE2"/>
      <c r="BF2"/>
      <c r="BG2"/>
      <c r="BH2" s="421"/>
      <c r="BI2" s="421"/>
      <c r="BJ2" s="421"/>
      <c r="BK2" s="421"/>
      <c r="BM2" s="418"/>
      <c r="BR2" s="415"/>
    </row>
    <row r="3" spans="1:70" s="412" customFormat="1" ht="18">
      <c r="A3" s="413"/>
      <c r="B3" s="561" t="s">
        <v>214</v>
      </c>
      <c r="C3" s="413"/>
      <c r="D3" s="413"/>
      <c r="E3" s="413"/>
      <c r="F3" s="562"/>
      <c r="G3" s="413"/>
      <c r="I3" s="563"/>
      <c r="J3" s="563"/>
      <c r="K3" s="563"/>
      <c r="L3" s="563"/>
      <c r="M3" s="563"/>
      <c r="N3" s="563"/>
      <c r="O3" s="563"/>
      <c r="P3" s="563"/>
      <c r="Q3" s="563"/>
      <c r="R3" s="563"/>
      <c r="S3" s="563"/>
      <c r="T3" s="563"/>
      <c r="AA3" s="423"/>
      <c r="BH3" s="424"/>
      <c r="BI3" s="424"/>
      <c r="BJ3" s="424"/>
      <c r="BK3" s="424"/>
      <c r="BM3" s="425"/>
      <c r="BR3" s="413"/>
    </row>
    <row r="4" spans="1:70" s="412" customFormat="1" ht="18">
      <c r="A4" s="413"/>
      <c r="B4" s="564" t="s">
        <v>53</v>
      </c>
      <c r="C4" s="413"/>
      <c r="D4" s="413"/>
      <c r="E4" s="413"/>
      <c r="F4" s="562"/>
      <c r="G4" s="413"/>
      <c r="I4" s="563"/>
      <c r="J4" s="563"/>
      <c r="K4" s="563"/>
      <c r="L4" s="563"/>
      <c r="M4" s="563"/>
      <c r="N4" s="563"/>
      <c r="O4" s="563"/>
      <c r="P4" s="563"/>
      <c r="Q4" s="563"/>
      <c r="R4" s="563"/>
      <c r="S4" s="563"/>
      <c r="T4" s="563"/>
      <c r="AA4" s="423"/>
      <c r="BH4" s="424"/>
      <c r="BI4" s="424"/>
      <c r="BJ4" s="424"/>
      <c r="BK4" s="424"/>
      <c r="BM4" s="425"/>
      <c r="BR4" s="413"/>
    </row>
    <row r="5" spans="1:70" s="412" customFormat="1" ht="18">
      <c r="A5" s="413"/>
      <c r="B5" s="565" t="s">
        <v>215</v>
      </c>
      <c r="C5" s="413"/>
      <c r="D5" s="413"/>
      <c r="E5" s="413"/>
      <c r="F5" s="562"/>
      <c r="G5" s="413"/>
      <c r="H5" s="566"/>
      <c r="AA5" s="423"/>
      <c r="BH5" s="428"/>
      <c r="BI5" s="428"/>
      <c r="BJ5" s="428"/>
      <c r="BK5" s="428"/>
      <c r="BM5" s="425"/>
      <c r="BR5" s="413"/>
    </row>
    <row r="6" spans="1:70" s="412" customFormat="1" ht="15.5">
      <c r="A6" s="413"/>
      <c r="B6" s="426"/>
      <c r="C6" s="413"/>
      <c r="D6" s="413"/>
      <c r="E6" s="413"/>
      <c r="F6" s="562"/>
      <c r="G6" s="413"/>
      <c r="H6" s="566"/>
      <c r="AA6" s="423"/>
      <c r="BH6" s="428"/>
      <c r="BI6" s="428"/>
      <c r="BJ6" s="428"/>
      <c r="BK6" s="428"/>
      <c r="BM6" s="425"/>
      <c r="BR6" s="413"/>
    </row>
    <row r="7" spans="1:70" s="442" customFormat="1" ht="13">
      <c r="A7" s="559"/>
      <c r="B7" s="567" t="s">
        <v>27</v>
      </c>
      <c r="C7" s="567"/>
      <c r="D7" s="567"/>
      <c r="E7" s="568" t="s">
        <v>221</v>
      </c>
      <c r="F7" s="567" t="s">
        <v>28</v>
      </c>
      <c r="G7" s="567"/>
      <c r="H7" s="567"/>
      <c r="I7" s="412"/>
      <c r="J7" s="569" t="str">
        <f>B4</f>
        <v>JUNE</v>
      </c>
      <c r="K7" s="570"/>
      <c r="L7" s="571"/>
      <c r="M7" s="572"/>
      <c r="N7" s="569" t="s">
        <v>248</v>
      </c>
      <c r="O7" s="570"/>
      <c r="P7" s="570"/>
      <c r="Q7" s="571"/>
      <c r="R7" s="1041"/>
      <c r="S7" s="573" t="s">
        <v>54</v>
      </c>
      <c r="T7" s="574"/>
      <c r="U7" s="575"/>
      <c r="V7" s="412"/>
      <c r="W7" s="412"/>
      <c r="X7" s="412"/>
      <c r="Y7" s="412"/>
      <c r="Z7" s="412"/>
      <c r="AA7" s="412"/>
      <c r="AB7" s="576"/>
      <c r="AC7" s="576"/>
      <c r="AD7" s="576"/>
      <c r="AE7" s="576"/>
      <c r="AF7" s="576"/>
      <c r="AG7" s="576"/>
      <c r="AH7" s="412"/>
      <c r="AI7" s="576"/>
      <c r="AJ7" s="576"/>
      <c r="AK7" s="576"/>
      <c r="AL7" s="576"/>
      <c r="AM7" s="576"/>
      <c r="AN7" s="576"/>
      <c r="AO7" s="576"/>
      <c r="AP7" s="576"/>
      <c r="AQ7" s="576"/>
      <c r="AR7" s="576"/>
      <c r="AS7" s="576"/>
      <c r="AT7" s="576"/>
      <c r="AU7" s="1041"/>
      <c r="AV7" s="576"/>
      <c r="AW7" s="576"/>
      <c r="AX7" s="576"/>
      <c r="AY7" s="576"/>
      <c r="AZ7" s="576"/>
      <c r="BA7" s="576"/>
      <c r="BB7" s="576"/>
      <c r="BC7" s="576"/>
      <c r="BD7" s="576"/>
      <c r="BE7" s="576"/>
      <c r="BF7" s="576"/>
      <c r="BG7" s="576"/>
      <c r="BM7" s="513"/>
      <c r="BR7" s="559"/>
    </row>
    <row r="8" spans="1:70" s="412" customFormat="1" ht="13">
      <c r="A8" s="413"/>
      <c r="B8" s="577" t="s">
        <v>55</v>
      </c>
      <c r="C8" s="577" t="s">
        <v>56</v>
      </c>
      <c r="D8" s="577" t="s">
        <v>57</v>
      </c>
      <c r="E8" s="578" t="s">
        <v>229</v>
      </c>
      <c r="F8" s="577" t="s">
        <v>58</v>
      </c>
      <c r="G8" s="577" t="s">
        <v>59</v>
      </c>
      <c r="H8" s="577" t="s">
        <v>230</v>
      </c>
      <c r="J8" s="577" t="s">
        <v>249</v>
      </c>
      <c r="K8" s="577" t="s">
        <v>65</v>
      </c>
      <c r="L8" s="577" t="s">
        <v>66</v>
      </c>
      <c r="M8" s="572"/>
      <c r="N8" s="577" t="s">
        <v>249</v>
      </c>
      <c r="O8" s="577" t="s">
        <v>65</v>
      </c>
      <c r="P8" s="577" t="s">
        <v>66</v>
      </c>
      <c r="Q8" s="577" t="s">
        <v>67</v>
      </c>
      <c r="R8" s="1041"/>
      <c r="S8" s="578" t="s">
        <v>65</v>
      </c>
      <c r="T8" s="578" t="s">
        <v>68</v>
      </c>
      <c r="U8" s="578" t="s">
        <v>67</v>
      </c>
      <c r="V8" s="1041"/>
      <c r="W8" s="1041"/>
      <c r="X8" s="1041"/>
      <c r="Y8" s="1041"/>
      <c r="Z8" s="1041"/>
      <c r="AA8" s="1021"/>
      <c r="AB8" s="1041"/>
      <c r="AC8" s="1041"/>
      <c r="AD8" s="1041"/>
      <c r="AE8" s="1041"/>
      <c r="AF8" s="1041"/>
      <c r="AG8" s="1041"/>
      <c r="AI8" s="1041"/>
      <c r="AJ8" s="1041"/>
      <c r="AK8" s="1041"/>
      <c r="AL8" s="1041"/>
      <c r="AM8" s="1041"/>
      <c r="AN8" s="1041"/>
      <c r="AO8" s="1041"/>
      <c r="AP8" s="1041"/>
      <c r="AQ8" s="1041"/>
      <c r="AR8" s="1041"/>
      <c r="AS8" s="1041"/>
      <c r="AT8" s="1041"/>
      <c r="AU8" s="1041"/>
      <c r="AV8" s="1041"/>
      <c r="AW8" s="1041"/>
      <c r="AX8" s="1041"/>
      <c r="AY8" s="1041"/>
      <c r="AZ8" s="1041"/>
      <c r="BA8" s="1041"/>
      <c r="BB8" s="1041"/>
      <c r="BC8" s="1041"/>
      <c r="BD8" s="1041"/>
      <c r="BE8" s="1041"/>
      <c r="BF8" s="1041"/>
      <c r="BG8" s="1041"/>
      <c r="BH8" s="1174"/>
      <c r="BI8" s="1174"/>
      <c r="BJ8" s="1174"/>
      <c r="BK8" s="1174"/>
      <c r="BL8" s="1041"/>
      <c r="BM8" s="579"/>
      <c r="BR8" s="413"/>
    </row>
    <row r="9" spans="1:70" s="412" customFormat="1" ht="6.75" customHeight="1">
      <c r="A9" s="413"/>
      <c r="AA9" s="1021"/>
      <c r="BH9" s="1041"/>
      <c r="BI9" s="1041"/>
      <c r="BJ9" s="1041"/>
      <c r="BK9" s="1041"/>
      <c r="BL9" s="1041"/>
      <c r="BM9" s="579"/>
    </row>
    <row r="10" spans="1:70" s="414" customFormat="1" ht="13">
      <c r="A10" s="415"/>
      <c r="B10" s="463" t="s">
        <v>17</v>
      </c>
      <c r="C10" s="415"/>
      <c r="D10" s="415"/>
      <c r="E10" s="415"/>
      <c r="F10" s="559"/>
      <c r="G10" s="415"/>
      <c r="V10" s="442"/>
      <c r="W10" s="442"/>
      <c r="X10" s="442"/>
      <c r="Y10" s="442"/>
      <c r="Z10" s="442"/>
      <c r="AA10" s="416"/>
      <c r="AB10" s="442"/>
      <c r="AC10" s="442"/>
      <c r="AD10" s="442"/>
      <c r="AE10" s="442"/>
      <c r="AF10" s="442"/>
      <c r="AG10" s="442"/>
      <c r="AH10" s="559" t="s">
        <v>30</v>
      </c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M10" s="496"/>
    </row>
    <row r="11" spans="1:70" s="471" customFormat="1">
      <c r="A11" s="420">
        <v>1</v>
      </c>
      <c r="B11" s="580" t="str">
        <f t="shared" ref="B11:B42" si="0">VLOOKUP($A11,Suite_Data,2,FALSE)</f>
        <v>Bayside Cleaners</v>
      </c>
      <c r="C11" s="533">
        <f t="shared" ref="C11:C42" si="1">VLOOKUP($A11,Suite_Data,3,FALSE)</f>
        <v>32295</v>
      </c>
      <c r="D11" s="533">
        <f t="shared" ref="D11:D42" si="2">VLOOKUP($A11,Suite_Data,4,FALSE)</f>
        <v>40694</v>
      </c>
      <c r="E11" s="420" t="s">
        <v>17</v>
      </c>
      <c r="F11" s="420" t="str">
        <f t="shared" ref="F11:F42" si="3">IF(HLOOKUP($J$7,Actual_Sqft,AA11,FALSE)&gt;0,"Occupied","Vacant")</f>
        <v>Occupied</v>
      </c>
      <c r="G11" s="533" t="str">
        <f t="shared" ref="G11:G42" si="4">VLOOKUP($A11,Suite_Data,6,FALSE)</f>
        <v>1056</v>
      </c>
      <c r="H11" s="627">
        <v>1500</v>
      </c>
      <c r="J11" s="582">
        <f>HLOOKUP($J$7,'MR-Stat Data Sheet Bud'!$U$8:$AF$1081,$AA11,FALSE)</f>
        <v>11388.75</v>
      </c>
      <c r="K11" s="582">
        <f>HLOOKUP($J$7,'MR-Stat Data Sheet Bud'!$AS$8:$BD$1081,$AA11,FALSE)</f>
        <v>11389</v>
      </c>
      <c r="L11" s="582">
        <f t="shared" ref="L11:L42" si="5">+J11-K11</f>
        <v>-0.25</v>
      </c>
      <c r="N11" s="582">
        <f>HLOOKUP($J$7,'MR-Stat Data Sheet Bud'!$BE$8:$BP$1081,$AA11,FALSE)</f>
        <v>131852.5</v>
      </c>
      <c r="O11" s="582">
        <f>HLOOKUP($J$7,'MR-Stat Data Sheet Bud'!$BQ$8:$CB$1081,$AA11,FALSE)</f>
        <v>131850</v>
      </c>
      <c r="P11" s="582">
        <f t="shared" ref="P11:P42" si="6">+N11-O11</f>
        <v>2.5</v>
      </c>
      <c r="Q11" s="583"/>
      <c r="S11" s="582">
        <f>VLOOKUP($G11,'MR-Stat Data Sheet Bud'!$F$8:$CB$1081,75,FALSE)</f>
        <v>131850</v>
      </c>
      <c r="T11" s="582">
        <v>0</v>
      </c>
      <c r="U11" s="583"/>
      <c r="V11" s="480"/>
      <c r="W11" s="480"/>
      <c r="X11" s="480"/>
      <c r="Y11" s="480"/>
      <c r="Z11" s="480"/>
      <c r="AA11" s="472">
        <v>3</v>
      </c>
      <c r="AB11" s="480"/>
      <c r="AC11" s="480"/>
      <c r="AD11" s="480"/>
      <c r="AE11" s="480"/>
      <c r="AF11" s="480"/>
      <c r="AG11" s="480"/>
      <c r="AH11" s="559" t="s">
        <v>33</v>
      </c>
      <c r="AI11" s="480"/>
      <c r="AJ11" s="480"/>
      <c r="AK11" s="480"/>
      <c r="AL11" s="480"/>
      <c r="AM11" s="480"/>
      <c r="AN11" s="480"/>
      <c r="AO11" s="480"/>
      <c r="AP11" s="480"/>
      <c r="AQ11" s="480"/>
      <c r="AR11" s="480"/>
      <c r="AS11" s="480"/>
      <c r="AT11" s="480"/>
      <c r="AU11" s="480"/>
      <c r="AV11" s="482"/>
      <c r="AW11" s="482"/>
      <c r="AX11" s="482"/>
      <c r="AY11" s="482"/>
      <c r="AZ11" s="482"/>
      <c r="BA11" s="482"/>
      <c r="BB11" s="482"/>
      <c r="BC11" s="482"/>
      <c r="BD11" s="482"/>
      <c r="BE11" s="482"/>
      <c r="BF11" s="482"/>
      <c r="BG11" s="482"/>
      <c r="BH11" s="480"/>
      <c r="BI11" s="480"/>
      <c r="BJ11" s="582"/>
      <c r="BK11" s="584"/>
      <c r="BL11" s="582"/>
      <c r="BM11" s="582"/>
      <c r="BQ11" s="584" t="s">
        <v>71</v>
      </c>
      <c r="BR11" s="420" t="s">
        <v>17</v>
      </c>
    </row>
    <row r="12" spans="1:70" s="471" customFormat="1">
      <c r="A12" s="420">
        <v>2</v>
      </c>
      <c r="B12" s="585" t="str">
        <f t="shared" si="0"/>
        <v>Carol Klein Fine Jewelry 1028</v>
      </c>
      <c r="C12" s="533">
        <f t="shared" si="1"/>
        <v>35223</v>
      </c>
      <c r="D12" s="533">
        <f t="shared" si="2"/>
        <v>40724</v>
      </c>
      <c r="E12" s="420" t="s">
        <v>17</v>
      </c>
      <c r="F12" s="420" t="str">
        <f t="shared" si="3"/>
        <v>Occupied</v>
      </c>
      <c r="G12" s="586" t="str">
        <f t="shared" si="4"/>
        <v>1028</v>
      </c>
      <c r="H12" s="627">
        <v>1055</v>
      </c>
      <c r="J12" s="582">
        <f>HLOOKUP($J$7,'MR-Stat Data Sheet Bud'!$U$8:$AF$1081,$AA12,FALSE)</f>
        <v>5184.45</v>
      </c>
      <c r="K12" s="582">
        <f>HLOOKUP($J$7,'MR-Stat Data Sheet Bud'!$AS$8:$BD$1081,$AA12,FALSE)</f>
        <v>5184</v>
      </c>
      <c r="L12" s="582">
        <f t="shared" si="5"/>
        <v>0.4499999999998181</v>
      </c>
      <c r="N12" s="582">
        <f>HLOOKUP($J$7,'MR-Stat Data Sheet Bud'!$BE$8:$BP$1081,$AA12,FALSE)</f>
        <v>62213.399999999987</v>
      </c>
      <c r="O12" s="582">
        <f>HLOOKUP($J$7,'MR-Stat Data Sheet Bud'!$BQ$8:$CB$1081,$AA12,FALSE)</f>
        <v>62208</v>
      </c>
      <c r="P12" s="582">
        <f t="shared" si="6"/>
        <v>5.3999999999869033</v>
      </c>
      <c r="Q12" s="583"/>
      <c r="S12" s="482">
        <f>VLOOKUP($G12,'MR-Stat Data Sheet Bud'!$F$8:$CB$1081,75,FALSE)</f>
        <v>62208</v>
      </c>
      <c r="T12" s="582">
        <v>0</v>
      </c>
      <c r="U12" s="583"/>
      <c r="V12" s="480"/>
      <c r="W12" s="480"/>
      <c r="X12" s="480"/>
      <c r="Y12" s="480"/>
      <c r="Z12" s="480"/>
      <c r="AA12" s="472">
        <f t="shared" ref="AA12:AA75" si="7">1+AA11</f>
        <v>4</v>
      </c>
      <c r="AB12" s="480"/>
      <c r="AC12" s="480"/>
      <c r="AD12" s="480"/>
      <c r="AE12" s="480"/>
      <c r="AF12" s="480"/>
      <c r="AG12" s="480"/>
      <c r="AH12" s="559" t="s">
        <v>231</v>
      </c>
      <c r="AI12" s="480"/>
      <c r="AJ12" s="480"/>
      <c r="AK12" s="480"/>
      <c r="AL12" s="480"/>
      <c r="AM12" s="480"/>
      <c r="AN12" s="480"/>
      <c r="AO12" s="480"/>
      <c r="AP12" s="480"/>
      <c r="AQ12" s="480"/>
      <c r="AR12" s="480"/>
      <c r="AS12" s="480"/>
      <c r="AT12" s="480"/>
      <c r="AU12" s="480"/>
      <c r="AV12" s="482"/>
      <c r="AW12" s="482"/>
      <c r="AX12" s="482"/>
      <c r="AY12" s="482"/>
      <c r="AZ12" s="482"/>
      <c r="BA12" s="482"/>
      <c r="BB12" s="482"/>
      <c r="BC12" s="482"/>
      <c r="BD12" s="482"/>
      <c r="BE12" s="482"/>
      <c r="BF12" s="482"/>
      <c r="BG12" s="482"/>
      <c r="BH12" s="480"/>
      <c r="BI12" s="480"/>
      <c r="BJ12" s="582"/>
      <c r="BK12" s="584"/>
      <c r="BL12" s="582"/>
      <c r="BM12" s="582"/>
      <c r="BQ12" s="584" t="s">
        <v>100</v>
      </c>
      <c r="BR12" s="420" t="s">
        <v>250</v>
      </c>
    </row>
    <row r="13" spans="1:70" s="471" customFormat="1">
      <c r="A13" s="420">
        <v>3</v>
      </c>
      <c r="B13" s="585" t="str">
        <f t="shared" si="0"/>
        <v>Java City Bakery Café</v>
      </c>
      <c r="C13" s="533">
        <f t="shared" si="1"/>
        <v>34700</v>
      </c>
      <c r="D13" s="533">
        <f t="shared" si="2"/>
        <v>39994</v>
      </c>
      <c r="E13" s="420" t="s">
        <v>17</v>
      </c>
      <c r="F13" s="420" t="str">
        <f t="shared" si="3"/>
        <v>Occupied</v>
      </c>
      <c r="G13" s="586" t="str">
        <f t="shared" si="4"/>
        <v>1064</v>
      </c>
      <c r="H13" s="627">
        <v>1320</v>
      </c>
      <c r="J13" s="582">
        <f>HLOOKUP($J$7,'MR-Stat Data Sheet Bud'!$U$8:$AF$1081,$AA13,FALSE)</f>
        <v>6160</v>
      </c>
      <c r="K13" s="582">
        <f>HLOOKUP($J$7,'MR-Stat Data Sheet Bud'!$AS$8:$BD$1081,$AA13,FALSE)</f>
        <v>6160</v>
      </c>
      <c r="L13" s="582">
        <f t="shared" si="5"/>
        <v>0</v>
      </c>
      <c r="N13" s="582">
        <f>HLOOKUP($J$7,'MR-Stat Data Sheet Bud'!$BE$8:$BP$1081,$AA13,FALSE)</f>
        <v>73920</v>
      </c>
      <c r="O13" s="582">
        <f>HLOOKUP($J$7,'MR-Stat Data Sheet Bud'!$BQ$8:$CB$1081,$AA13,FALSE)</f>
        <v>73920</v>
      </c>
      <c r="P13" s="582">
        <f t="shared" si="6"/>
        <v>0</v>
      </c>
      <c r="Q13" s="583"/>
      <c r="S13" s="482">
        <f>VLOOKUP($G13,'MR-Stat Data Sheet Bud'!$F$8:$CB$1081,75,FALSE)</f>
        <v>73920</v>
      </c>
      <c r="T13" s="582">
        <v>0</v>
      </c>
      <c r="U13" s="583"/>
      <c r="V13" s="480"/>
      <c r="W13" s="480"/>
      <c r="X13" s="480"/>
      <c r="Y13" s="480"/>
      <c r="Z13" s="480"/>
      <c r="AA13" s="472">
        <f t="shared" si="7"/>
        <v>5</v>
      </c>
      <c r="AB13" s="480"/>
      <c r="AC13" s="480"/>
      <c r="AD13" s="480"/>
      <c r="AE13" s="480"/>
      <c r="AF13" s="480"/>
      <c r="AG13" s="480"/>
      <c r="AH13" s="559" t="s">
        <v>232</v>
      </c>
      <c r="AI13" s="480"/>
      <c r="AJ13" s="480"/>
      <c r="AK13" s="480"/>
      <c r="AL13" s="480"/>
      <c r="AM13" s="480"/>
      <c r="AN13" s="480"/>
      <c r="AO13" s="480"/>
      <c r="AP13" s="480"/>
      <c r="AQ13" s="480"/>
      <c r="AR13" s="480"/>
      <c r="AS13" s="480"/>
      <c r="AT13" s="480"/>
      <c r="AU13" s="480"/>
      <c r="AV13" s="482"/>
      <c r="AW13" s="482"/>
      <c r="AX13" s="482"/>
      <c r="AY13" s="482"/>
      <c r="AZ13" s="482"/>
      <c r="BA13" s="482"/>
      <c r="BB13" s="482"/>
      <c r="BC13" s="482"/>
      <c r="BD13" s="482"/>
      <c r="BE13" s="482"/>
      <c r="BF13" s="482"/>
      <c r="BG13" s="482"/>
      <c r="BH13" s="480"/>
      <c r="BI13" s="480"/>
      <c r="BJ13" s="582"/>
      <c r="BK13" s="582"/>
      <c r="BL13" s="582"/>
      <c r="BM13" s="582"/>
      <c r="BR13" s="420" t="s">
        <v>251</v>
      </c>
    </row>
    <row r="14" spans="1:70" s="471" customFormat="1" ht="25">
      <c r="A14" s="420">
        <v>4</v>
      </c>
      <c r="B14" s="585" t="str">
        <f t="shared" si="0"/>
        <v>Just Alterations</v>
      </c>
      <c r="C14" s="533">
        <f t="shared" si="1"/>
        <v>35217</v>
      </c>
      <c r="D14" s="533">
        <f t="shared" si="2"/>
        <v>41243</v>
      </c>
      <c r="E14" s="420" t="s">
        <v>17</v>
      </c>
      <c r="F14" s="420" t="str">
        <f t="shared" si="3"/>
        <v>Occupied</v>
      </c>
      <c r="G14" s="586" t="str">
        <f t="shared" si="4"/>
        <v>1032A</v>
      </c>
      <c r="H14" s="627">
        <v>650</v>
      </c>
      <c r="J14" s="582">
        <f>HLOOKUP($J$7,'MR-Stat Data Sheet Bud'!$U$8:$AF$1081,$AA14,FALSE)</f>
        <v>3549</v>
      </c>
      <c r="K14" s="582">
        <f>HLOOKUP($J$7,'MR-Stat Data Sheet Bud'!$AS$8:$BD$1081,$AA14,FALSE)</f>
        <v>3549</v>
      </c>
      <c r="L14" s="582">
        <f t="shared" si="5"/>
        <v>0</v>
      </c>
      <c r="N14" s="582">
        <f>HLOOKUP($J$7,'MR-Stat Data Sheet Bud'!$BE$8:$BP$1081,$AA14,FALSE)</f>
        <v>38387.800000000003</v>
      </c>
      <c r="O14" s="582">
        <f>HLOOKUP($J$7,'MR-Stat Data Sheet Bud'!$BQ$8:$CB$1081,$AA14,FALSE)</f>
        <v>41908</v>
      </c>
      <c r="P14" s="582">
        <f t="shared" si="6"/>
        <v>-3520.1999999999971</v>
      </c>
      <c r="Q14" s="583" t="s">
        <v>252</v>
      </c>
      <c r="S14" s="482">
        <f>VLOOKUP($G14,'MR-Stat Data Sheet Bud'!$F$8:$CB$1081,75,FALSE)</f>
        <v>41908</v>
      </c>
      <c r="T14" s="582">
        <f>+P14</f>
        <v>-3520.1999999999971</v>
      </c>
      <c r="U14" s="583" t="s">
        <v>252</v>
      </c>
      <c r="V14" s="480"/>
      <c r="W14" s="480"/>
      <c r="X14" s="480"/>
      <c r="Y14" s="480"/>
      <c r="Z14" s="480"/>
      <c r="AA14" s="472">
        <f t="shared" si="7"/>
        <v>6</v>
      </c>
      <c r="AB14" s="480"/>
      <c r="AC14" s="480"/>
      <c r="AD14" s="480"/>
      <c r="AE14" s="480"/>
      <c r="AF14" s="480"/>
      <c r="AG14" s="480"/>
      <c r="AH14" s="559" t="s">
        <v>233</v>
      </c>
      <c r="AI14" s="480"/>
      <c r="AJ14" s="480"/>
      <c r="AK14" s="480"/>
      <c r="AL14" s="480"/>
      <c r="AM14" s="480"/>
      <c r="AN14" s="480"/>
      <c r="AO14" s="480"/>
      <c r="AP14" s="480"/>
      <c r="AQ14" s="480"/>
      <c r="AR14" s="480"/>
      <c r="AS14" s="480"/>
      <c r="AT14" s="480"/>
      <c r="AU14" s="480"/>
      <c r="AV14" s="482"/>
      <c r="AW14" s="482"/>
      <c r="AX14" s="482"/>
      <c r="AY14" s="482"/>
      <c r="AZ14" s="482"/>
      <c r="BA14" s="482"/>
      <c r="BB14" s="482"/>
      <c r="BC14" s="482"/>
      <c r="BD14" s="482"/>
      <c r="BE14" s="482"/>
      <c r="BF14" s="482"/>
      <c r="BG14" s="482"/>
      <c r="BH14" s="480"/>
      <c r="BI14" s="480"/>
      <c r="BJ14" s="582"/>
      <c r="BK14" s="582"/>
      <c r="BL14" s="588"/>
      <c r="BM14" s="582"/>
      <c r="BR14" s="420" t="s">
        <v>253</v>
      </c>
    </row>
    <row r="15" spans="1:70" s="471" customFormat="1" ht="25">
      <c r="A15" s="420">
        <f t="shared" ref="A15:A78" si="8">+A14+1</f>
        <v>5</v>
      </c>
      <c r="B15" s="585" t="str">
        <f t="shared" si="0"/>
        <v>Pacific Coast Floral</v>
      </c>
      <c r="C15" s="533">
        <f t="shared" si="1"/>
        <v>33574</v>
      </c>
      <c r="D15" s="533">
        <f t="shared" si="2"/>
        <v>39994</v>
      </c>
      <c r="E15" s="420" t="s">
        <v>17</v>
      </c>
      <c r="F15" s="420" t="str">
        <f t="shared" si="3"/>
        <v>Occupied</v>
      </c>
      <c r="G15" s="586" t="str">
        <f t="shared" si="4"/>
        <v>1072</v>
      </c>
      <c r="H15" s="627">
        <v>1080</v>
      </c>
      <c r="J15" s="582">
        <f>HLOOKUP($J$7,'MR-Stat Data Sheet Bud'!$U$8:$AF$1081,$AA15,FALSE)</f>
        <v>2579.4</v>
      </c>
      <c r="K15" s="582">
        <f>HLOOKUP($J$7,'MR-Stat Data Sheet Bud'!$AS$8:$BD$1081,$AA15,FALSE)</f>
        <v>4860</v>
      </c>
      <c r="L15" s="582">
        <f t="shared" si="5"/>
        <v>-2280.6</v>
      </c>
      <c r="N15" s="582">
        <f>HLOOKUP($J$7,'MR-Stat Data Sheet Bud'!$BE$8:$BP$1081,$AA15,FALSE)</f>
        <v>44045.760000000002</v>
      </c>
      <c r="O15" s="582">
        <f>HLOOKUP($J$7,'MR-Stat Data Sheet Bud'!$BQ$8:$CB$1081,$AA15,FALSE)</f>
        <v>58320</v>
      </c>
      <c r="P15" s="582">
        <f t="shared" si="6"/>
        <v>-14274.239999999998</v>
      </c>
      <c r="Q15" s="583" t="s">
        <v>254</v>
      </c>
      <c r="S15" s="482">
        <f>VLOOKUP($G15,'MR-Stat Data Sheet Bud'!$F$8:$CB$1081,75,FALSE)</f>
        <v>58320</v>
      </c>
      <c r="T15" s="582">
        <f>+P15</f>
        <v>-14274.239999999998</v>
      </c>
      <c r="U15" s="583" t="s">
        <v>255</v>
      </c>
      <c r="V15" s="480"/>
      <c r="W15" s="480"/>
      <c r="X15" s="480"/>
      <c r="Y15" s="480"/>
      <c r="Z15" s="480"/>
      <c r="AA15" s="472">
        <f t="shared" si="7"/>
        <v>7</v>
      </c>
      <c r="AB15" s="480"/>
      <c r="AC15" s="480"/>
      <c r="AD15" s="480"/>
      <c r="AE15" s="480"/>
      <c r="AF15" s="480"/>
      <c r="AG15" s="480"/>
      <c r="AH15" s="559" t="s">
        <v>234</v>
      </c>
      <c r="AI15" s="480"/>
      <c r="AJ15" s="480"/>
      <c r="AK15" s="480"/>
      <c r="AL15" s="480"/>
      <c r="AM15" s="480"/>
      <c r="AN15" s="480"/>
      <c r="AO15" s="480"/>
      <c r="AP15" s="480"/>
      <c r="AQ15" s="480"/>
      <c r="AR15" s="480"/>
      <c r="AS15" s="480"/>
      <c r="AT15" s="480"/>
      <c r="AU15" s="480"/>
      <c r="AV15" s="482"/>
      <c r="AW15" s="482"/>
      <c r="AX15" s="482"/>
      <c r="AY15" s="482"/>
      <c r="AZ15" s="482"/>
      <c r="BA15" s="482"/>
      <c r="BB15" s="482"/>
      <c r="BC15" s="482"/>
      <c r="BD15" s="482"/>
      <c r="BE15" s="482"/>
      <c r="BF15" s="482"/>
      <c r="BG15" s="482"/>
      <c r="BH15" s="480"/>
      <c r="BI15" s="480"/>
      <c r="BJ15" s="582"/>
      <c r="BK15" s="582"/>
      <c r="BL15" s="582"/>
      <c r="BM15" s="582"/>
      <c r="BR15" s="420"/>
    </row>
    <row r="16" spans="1:70" s="471" customFormat="1" ht="25">
      <c r="A16" s="420">
        <f t="shared" si="8"/>
        <v>6</v>
      </c>
      <c r="B16" s="585" t="str">
        <f t="shared" si="0"/>
        <v xml:space="preserve">Photo Lab - The </v>
      </c>
      <c r="C16" s="533">
        <f t="shared" si="1"/>
        <v>35217</v>
      </c>
      <c r="D16" s="533">
        <f t="shared" si="2"/>
        <v>41060</v>
      </c>
      <c r="E16" s="420" t="s">
        <v>17</v>
      </c>
      <c r="F16" s="420" t="str">
        <f t="shared" si="3"/>
        <v>Occupied</v>
      </c>
      <c r="G16" s="586" t="str">
        <f t="shared" si="4"/>
        <v>1048</v>
      </c>
      <c r="H16" s="627">
        <v>900</v>
      </c>
      <c r="J16" s="582">
        <f>HLOOKUP($J$7,'MR-Stat Data Sheet Bud'!$U$8:$AF$1081,$AA16,FALSE)</f>
        <v>0</v>
      </c>
      <c r="K16" s="582">
        <f>HLOOKUP($J$7,'MR-Stat Data Sheet Bud'!$AS$8:$BD$1081,$AA16,FALSE)</f>
        <v>5100</v>
      </c>
      <c r="L16" s="582">
        <f t="shared" si="5"/>
        <v>-5100</v>
      </c>
      <c r="N16" s="582">
        <f>HLOOKUP($J$7,'MR-Stat Data Sheet Bud'!$BE$8:$BP$1081,$AA16,FALSE)</f>
        <v>54450</v>
      </c>
      <c r="O16" s="582">
        <f>HLOOKUP($J$7,'MR-Stat Data Sheet Bud'!$BQ$8:$CB$1081,$AA16,FALSE)</f>
        <v>59550</v>
      </c>
      <c r="P16" s="582">
        <f t="shared" si="6"/>
        <v>-5100</v>
      </c>
      <c r="Q16" s="583" t="s">
        <v>256</v>
      </c>
      <c r="S16" s="482">
        <f>VLOOKUP($G16,'MR-Stat Data Sheet Bud'!$F$8:$CB$1081,75,FALSE)</f>
        <v>59550</v>
      </c>
      <c r="T16" s="582">
        <v>0</v>
      </c>
      <c r="U16" s="583"/>
      <c r="V16" s="480"/>
      <c r="W16" s="480"/>
      <c r="X16" s="480"/>
      <c r="Y16" s="480"/>
      <c r="Z16" s="480"/>
      <c r="AA16" s="472">
        <f t="shared" si="7"/>
        <v>8</v>
      </c>
      <c r="AB16" s="480"/>
      <c r="AC16" s="480"/>
      <c r="AD16" s="480"/>
      <c r="AE16" s="480"/>
      <c r="AF16" s="480"/>
      <c r="AG16" s="480"/>
      <c r="AH16" s="559" t="s">
        <v>235</v>
      </c>
      <c r="AI16" s="480"/>
      <c r="AJ16" s="480"/>
      <c r="AK16" s="480"/>
      <c r="AL16" s="480"/>
      <c r="AM16" s="480"/>
      <c r="AN16" s="480"/>
      <c r="AO16" s="480"/>
      <c r="AP16" s="480"/>
      <c r="AQ16" s="480"/>
      <c r="AR16" s="480"/>
      <c r="AS16" s="480"/>
      <c r="AT16" s="480"/>
      <c r="AU16" s="480"/>
      <c r="AV16" s="482"/>
      <c r="AW16" s="482"/>
      <c r="AX16" s="482"/>
      <c r="AY16" s="482"/>
      <c r="AZ16" s="482"/>
      <c r="BA16" s="482"/>
      <c r="BB16" s="482"/>
      <c r="BC16" s="482"/>
      <c r="BD16" s="482"/>
      <c r="BE16" s="482"/>
      <c r="BF16" s="482"/>
      <c r="BG16" s="482"/>
      <c r="BH16" s="480"/>
      <c r="BI16" s="480"/>
      <c r="BJ16" s="582"/>
      <c r="BK16" s="582"/>
      <c r="BL16" s="589"/>
      <c r="BM16" s="582"/>
      <c r="BR16" s="420"/>
    </row>
    <row r="17" spans="1:34" s="471" customFormat="1">
      <c r="A17" s="420">
        <f t="shared" si="8"/>
        <v>7</v>
      </c>
      <c r="B17" s="585" t="str">
        <f t="shared" si="0"/>
        <v>Salon "L"</v>
      </c>
      <c r="C17" s="533">
        <f t="shared" si="1"/>
        <v>37838</v>
      </c>
      <c r="D17" s="533">
        <f t="shared" si="2"/>
        <v>40786</v>
      </c>
      <c r="E17" s="420" t="s">
        <v>17</v>
      </c>
      <c r="F17" s="420" t="str">
        <f t="shared" si="3"/>
        <v>Occupied</v>
      </c>
      <c r="G17" s="586" t="str">
        <f t="shared" si="4"/>
        <v>1040</v>
      </c>
      <c r="H17" s="627">
        <v>1500</v>
      </c>
      <c r="J17" s="582">
        <f>HLOOKUP($J$7,'MR-Stat Data Sheet Bud'!$U$8:$AF$1081,$AA17,FALSE)</f>
        <v>6250</v>
      </c>
      <c r="K17" s="582">
        <f>HLOOKUP($J$7,'MR-Stat Data Sheet Bud'!$AS$8:$BD$1081,$AA17,FALSE)</f>
        <v>6250</v>
      </c>
      <c r="L17" s="587">
        <f t="shared" si="5"/>
        <v>0</v>
      </c>
      <c r="N17" s="582">
        <f>HLOOKUP($J$7,'MR-Stat Data Sheet Bud'!$BE$8:$BP$1081,$AA17,FALSE)</f>
        <v>73473.72</v>
      </c>
      <c r="O17" s="582">
        <f>HLOOKUP($J$7,'MR-Stat Data Sheet Bud'!$BQ$8:$CB$1081,$AA17,FALSE)</f>
        <v>73474</v>
      </c>
      <c r="P17" s="582">
        <f t="shared" si="6"/>
        <v>-0.27999999999883585</v>
      </c>
      <c r="Q17" s="583"/>
      <c r="S17" s="482">
        <f>VLOOKUP($G17,'MR-Stat Data Sheet Bud'!$F$8:$CB$1081,75,FALSE)</f>
        <v>73474</v>
      </c>
      <c r="T17" s="582">
        <v>0</v>
      </c>
      <c r="U17" s="583"/>
      <c r="V17" s="480"/>
      <c r="W17" s="480"/>
      <c r="X17" s="480"/>
      <c r="Y17" s="480"/>
      <c r="Z17" s="480"/>
      <c r="AA17" s="472">
        <f t="shared" si="7"/>
        <v>9</v>
      </c>
      <c r="AB17" s="480"/>
      <c r="AC17" s="480"/>
      <c r="AD17" s="480"/>
      <c r="AE17" s="480"/>
      <c r="AF17" s="480"/>
      <c r="AG17" s="480"/>
      <c r="AH17" s="559" t="s">
        <v>236</v>
      </c>
    </row>
    <row r="18" spans="1:34" s="471" customFormat="1">
      <c r="A18" s="420">
        <f t="shared" si="8"/>
        <v>8</v>
      </c>
      <c r="B18" s="585" t="str">
        <f t="shared" si="0"/>
        <v>Sapori Restaurant Italiano</v>
      </c>
      <c r="C18" s="533">
        <f t="shared" si="1"/>
        <v>32674</v>
      </c>
      <c r="D18" s="533">
        <f t="shared" si="2"/>
        <v>40178</v>
      </c>
      <c r="E18" s="420" t="s">
        <v>17</v>
      </c>
      <c r="F18" s="420" t="str">
        <f t="shared" si="3"/>
        <v>Occupied</v>
      </c>
      <c r="G18" s="586" t="str">
        <f t="shared" si="4"/>
        <v>1080</v>
      </c>
      <c r="H18" s="627">
        <v>2742</v>
      </c>
      <c r="J18" s="582">
        <f>HLOOKUP($J$7,'MR-Stat Data Sheet Bud'!$U$8:$AF$1081,$AA18,FALSE)</f>
        <v>12770.87</v>
      </c>
      <c r="K18" s="582">
        <f>HLOOKUP($J$7,'MR-Stat Data Sheet Bud'!$AS$8:$BD$1081,$AA18,FALSE)</f>
        <v>12771</v>
      </c>
      <c r="L18" s="587">
        <f t="shared" si="5"/>
        <v>-0.12999999999919964</v>
      </c>
      <c r="N18" s="582">
        <f>HLOOKUP($J$7,'MR-Stat Data Sheet Bud'!$BE$8:$BP$1081,$AA18,FALSE)</f>
        <v>150659.21999999997</v>
      </c>
      <c r="O18" s="582">
        <f>HLOOKUP($J$7,'MR-Stat Data Sheet Bud'!$BQ$8:$CB$1081,$AA18,FALSE)</f>
        <v>150660</v>
      </c>
      <c r="P18" s="582">
        <f t="shared" si="6"/>
        <v>-0.78000000002793968</v>
      </c>
      <c r="Q18" s="583"/>
      <c r="S18" s="482">
        <f>VLOOKUP($G18,'MR-Stat Data Sheet Bud'!$F$8:$CB$1081,75,FALSE)</f>
        <v>150660</v>
      </c>
      <c r="T18" s="582">
        <v>0</v>
      </c>
      <c r="U18" s="583"/>
      <c r="V18" s="480"/>
      <c r="W18" s="480"/>
      <c r="X18" s="480"/>
      <c r="Y18" s="480"/>
      <c r="Z18" s="480"/>
      <c r="AA18" s="472">
        <f t="shared" si="7"/>
        <v>10</v>
      </c>
      <c r="AB18" s="480"/>
      <c r="AC18" s="480"/>
      <c r="AD18" s="480"/>
      <c r="AE18" s="480"/>
      <c r="AF18" s="480"/>
      <c r="AG18" s="480"/>
      <c r="AH18" s="559" t="s">
        <v>237</v>
      </c>
    </row>
    <row r="19" spans="1:34" s="471" customFormat="1">
      <c r="A19" s="420">
        <f t="shared" si="8"/>
        <v>9</v>
      </c>
      <c r="B19" s="585" t="str">
        <f t="shared" si="0"/>
        <v>Sapori Restaurant Italiano-Patio</v>
      </c>
      <c r="C19" s="533">
        <f t="shared" si="1"/>
        <v>39234</v>
      </c>
      <c r="D19" s="533">
        <f t="shared" si="2"/>
        <v>40178</v>
      </c>
      <c r="E19" s="420" t="s">
        <v>17</v>
      </c>
      <c r="F19" s="420" t="str">
        <f t="shared" si="3"/>
        <v>Occupied</v>
      </c>
      <c r="G19" s="586" t="str">
        <f t="shared" si="4"/>
        <v>1080A</v>
      </c>
      <c r="H19" s="627">
        <v>1309</v>
      </c>
      <c r="J19" s="582">
        <f>HLOOKUP($J$7,'MR-Stat Data Sheet Bud'!$U$8:$AF$1081,$AA19,FALSE)</f>
        <v>1E-4</v>
      </c>
      <c r="K19" s="582">
        <f>HLOOKUP($J$7,'MR-Stat Data Sheet Bud'!$AS$8:$BD$1081,$AA19,FALSE)</f>
        <v>0</v>
      </c>
      <c r="L19" s="587">
        <f t="shared" si="5"/>
        <v>1E-4</v>
      </c>
      <c r="N19" s="582">
        <f>HLOOKUP($J$7,'MR-Stat Data Sheet Bud'!$BE$8:$BP$1081,$AA19,FALSE)</f>
        <v>1.2000000000000003E-3</v>
      </c>
      <c r="O19" s="582">
        <f>HLOOKUP($J$7,'MR-Stat Data Sheet Bud'!$BQ$8:$CB$1081,$AA19,FALSE)</f>
        <v>0</v>
      </c>
      <c r="P19" s="582">
        <f t="shared" si="6"/>
        <v>1.2000000000000003E-3</v>
      </c>
      <c r="Q19" s="583"/>
      <c r="S19" s="482">
        <f>VLOOKUP($G19,'MR-Stat Data Sheet Bud'!$F$8:$CB$1081,75,FALSE)</f>
        <v>0</v>
      </c>
      <c r="T19" s="582">
        <v>0</v>
      </c>
      <c r="U19" s="583"/>
      <c r="V19" s="480"/>
      <c r="W19" s="480"/>
      <c r="X19" s="480"/>
      <c r="Y19" s="480"/>
      <c r="Z19" s="480"/>
      <c r="AA19" s="472">
        <f t="shared" si="7"/>
        <v>11</v>
      </c>
      <c r="AB19" s="480"/>
      <c r="AC19" s="480"/>
      <c r="AD19" s="480"/>
      <c r="AE19" s="480"/>
      <c r="AF19" s="480"/>
      <c r="AG19" s="480"/>
      <c r="AH19" s="559" t="s">
        <v>238</v>
      </c>
    </row>
    <row r="20" spans="1:34" s="471" customFormat="1" ht="16.5" customHeight="1">
      <c r="A20" s="420">
        <f t="shared" si="8"/>
        <v>10</v>
      </c>
      <c r="B20" s="649" t="str">
        <f t="shared" si="0"/>
        <v>Vacant/Shades of Red</v>
      </c>
      <c r="C20" s="533">
        <f t="shared" si="1"/>
        <v>35329</v>
      </c>
      <c r="D20" s="533">
        <f t="shared" si="2"/>
        <v>39813</v>
      </c>
      <c r="E20" s="420" t="s">
        <v>17</v>
      </c>
      <c r="F20" s="650" t="str">
        <f t="shared" si="3"/>
        <v>Vacant</v>
      </c>
      <c r="G20" s="586" t="str">
        <f t="shared" si="4"/>
        <v>1024</v>
      </c>
      <c r="H20" s="627">
        <v>1200</v>
      </c>
      <c r="J20" s="582">
        <f>HLOOKUP($J$7,'MR-Stat Data Sheet Bud'!$U$8:$AF$1081,$AA20,FALSE)</f>
        <v>0</v>
      </c>
      <c r="K20" s="582">
        <f>HLOOKUP($J$7,'MR-Stat Data Sheet Bud'!$AS$8:$BD$1081,$AA20,FALSE)</f>
        <v>5900</v>
      </c>
      <c r="L20" s="582">
        <f t="shared" si="5"/>
        <v>-5900</v>
      </c>
      <c r="N20" s="582">
        <f>HLOOKUP($J$7,'MR-Stat Data Sheet Bud'!$BE$8:$BP$1081,$AA20,FALSE)</f>
        <v>33882</v>
      </c>
      <c r="O20" s="582">
        <f>HLOOKUP($J$7,'MR-Stat Data Sheet Bud'!$BQ$8:$CB$1081,$AA20,FALSE)</f>
        <v>69282</v>
      </c>
      <c r="P20" s="582">
        <f t="shared" si="6"/>
        <v>-35400</v>
      </c>
      <c r="Q20" s="583" t="s">
        <v>257</v>
      </c>
      <c r="S20" s="482">
        <f>VLOOKUP($G20,'MR-Stat Data Sheet Bud'!$F$8:$CB$1081,75,FALSE)</f>
        <v>69282</v>
      </c>
      <c r="T20" s="582">
        <f>-5900*6</f>
        <v>-35400</v>
      </c>
      <c r="U20" s="583" t="s">
        <v>258</v>
      </c>
      <c r="V20" s="480"/>
      <c r="W20" s="480"/>
      <c r="X20" s="480"/>
      <c r="Y20" s="480"/>
      <c r="Z20" s="480"/>
      <c r="AA20" s="472">
        <f t="shared" si="7"/>
        <v>12</v>
      </c>
      <c r="AB20" s="480"/>
      <c r="AC20" s="480"/>
      <c r="AD20" s="480"/>
      <c r="AE20" s="480"/>
      <c r="AF20" s="480"/>
      <c r="AG20" s="480"/>
      <c r="AH20" s="559" t="s">
        <v>51</v>
      </c>
    </row>
    <row r="21" spans="1:34" s="471" customFormat="1" hidden="1">
      <c r="A21" s="420">
        <f t="shared" si="8"/>
        <v>11</v>
      </c>
      <c r="B21" s="585">
        <f t="shared" si="0"/>
        <v>0</v>
      </c>
      <c r="C21" s="533">
        <f t="shared" si="1"/>
        <v>0</v>
      </c>
      <c r="D21" s="533">
        <f t="shared" si="2"/>
        <v>0</v>
      </c>
      <c r="E21" s="420" t="s">
        <v>17</v>
      </c>
      <c r="F21" s="420" t="str">
        <f t="shared" si="3"/>
        <v>Vacant</v>
      </c>
      <c r="G21" s="586">
        <f t="shared" si="4"/>
        <v>0</v>
      </c>
      <c r="H21" s="581"/>
      <c r="J21" s="582">
        <f>HLOOKUP($J$7,'MR-Stat Data Sheet Bud'!$U$8:$AF$1081,$AA21,FALSE)</f>
        <v>0</v>
      </c>
      <c r="K21" s="582">
        <f>HLOOKUP($J$7,'MR-Stat Data Sheet Bud'!$AS$8:$BD$1081,$AA21,FALSE)</f>
        <v>0</v>
      </c>
      <c r="L21" s="587">
        <f t="shared" si="5"/>
        <v>0</v>
      </c>
      <c r="N21" s="582">
        <f>HLOOKUP($J$7,'MR-Stat Data Sheet Bud'!$BE$8:$BP$1081,$AA21,FALSE)</f>
        <v>0</v>
      </c>
      <c r="O21" s="582">
        <f>HLOOKUP($J$7,'MR-Stat Data Sheet Bud'!$BQ$8:$CB$1081,$AA21,FALSE)</f>
        <v>0</v>
      </c>
      <c r="P21" s="582">
        <f t="shared" si="6"/>
        <v>0</v>
      </c>
      <c r="Q21" s="583"/>
      <c r="S21" s="482" t="e">
        <f>VLOOKUP($G21,'MR-Stat Data Sheet Bud'!$F$8:$CB$1081,75,FALSE)</f>
        <v>#N/A</v>
      </c>
      <c r="T21" s="582">
        <v>0</v>
      </c>
      <c r="U21" s="583"/>
      <c r="V21" s="480"/>
      <c r="W21" s="480"/>
      <c r="X21" s="480"/>
      <c r="Y21" s="480"/>
      <c r="Z21" s="480"/>
      <c r="AA21" s="472">
        <f t="shared" si="7"/>
        <v>13</v>
      </c>
      <c r="AB21" s="480"/>
      <c r="AC21" s="480"/>
      <c r="AD21" s="480"/>
      <c r="AE21" s="480"/>
      <c r="AF21" s="480"/>
      <c r="AG21" s="480"/>
      <c r="AH21" s="559" t="s">
        <v>53</v>
      </c>
    </row>
    <row r="22" spans="1:34" s="471" customFormat="1" hidden="1">
      <c r="A22" s="420">
        <f t="shared" si="8"/>
        <v>12</v>
      </c>
      <c r="B22" s="585">
        <f t="shared" si="0"/>
        <v>0</v>
      </c>
      <c r="C22" s="533">
        <f t="shared" si="1"/>
        <v>0</v>
      </c>
      <c r="D22" s="533">
        <f t="shared" si="2"/>
        <v>0</v>
      </c>
      <c r="E22" s="420" t="s">
        <v>17</v>
      </c>
      <c r="F22" s="420" t="str">
        <f t="shared" si="3"/>
        <v>Vacant</v>
      </c>
      <c r="G22" s="586">
        <f t="shared" si="4"/>
        <v>0</v>
      </c>
      <c r="H22" s="590"/>
      <c r="J22" s="582">
        <f>HLOOKUP($J$7,'MR-Stat Data Sheet Bud'!$U$8:$AF$1081,$AA22,FALSE)</f>
        <v>0</v>
      </c>
      <c r="K22" s="582">
        <f>HLOOKUP($J$7,'MR-Stat Data Sheet Bud'!$AS$8:$BD$1081,$AA22,FALSE)</f>
        <v>0</v>
      </c>
      <c r="L22" s="587">
        <f t="shared" si="5"/>
        <v>0</v>
      </c>
      <c r="N22" s="582">
        <f>HLOOKUP($J$7,'MR-Stat Data Sheet Bud'!$BE$8:$BP$1081,$AA22,FALSE)</f>
        <v>0</v>
      </c>
      <c r="O22" s="582">
        <f>HLOOKUP($J$7,'MR-Stat Data Sheet Bud'!$BQ$8:$CB$1081,$AA22,FALSE)</f>
        <v>0</v>
      </c>
      <c r="P22" s="587">
        <f t="shared" si="6"/>
        <v>0</v>
      </c>
      <c r="Q22" s="583"/>
      <c r="S22" s="482" t="e">
        <f>VLOOKUP($G22,'MR-Stat Data Sheet Bud'!$F$8:$CB$1081,75,FALSE)</f>
        <v>#N/A</v>
      </c>
      <c r="T22" s="582">
        <v>0</v>
      </c>
      <c r="U22" s="583"/>
      <c r="V22" s="480"/>
      <c r="W22" s="480"/>
      <c r="X22" s="480"/>
      <c r="Y22" s="480"/>
      <c r="Z22" s="480"/>
      <c r="AA22" s="472">
        <f t="shared" si="7"/>
        <v>14</v>
      </c>
      <c r="AB22" s="480"/>
      <c r="AC22" s="480"/>
      <c r="AD22" s="480"/>
      <c r="AE22" s="480"/>
      <c r="AF22" s="480"/>
      <c r="AG22" s="480"/>
    </row>
    <row r="23" spans="1:34" s="471" customFormat="1" hidden="1">
      <c r="A23" s="420">
        <f t="shared" si="8"/>
        <v>13</v>
      </c>
      <c r="B23" s="585">
        <f t="shared" si="0"/>
        <v>0</v>
      </c>
      <c r="C23" s="533">
        <f t="shared" si="1"/>
        <v>0</v>
      </c>
      <c r="D23" s="533">
        <f t="shared" si="2"/>
        <v>0</v>
      </c>
      <c r="E23" s="420" t="s">
        <v>17</v>
      </c>
      <c r="F23" s="420" t="str">
        <f t="shared" si="3"/>
        <v>Vacant</v>
      </c>
      <c r="G23" s="586">
        <f t="shared" si="4"/>
        <v>0</v>
      </c>
      <c r="H23" s="581"/>
      <c r="J23" s="582">
        <f>HLOOKUP($J$7,'MR-Stat Data Sheet Bud'!$U$8:$AF$1081,$AA23,FALSE)</f>
        <v>0</v>
      </c>
      <c r="K23" s="582">
        <f>HLOOKUP($J$7,'MR-Stat Data Sheet Bud'!$AS$8:$BD$1081,$AA23,FALSE)</f>
        <v>0</v>
      </c>
      <c r="L23" s="582">
        <f t="shared" si="5"/>
        <v>0</v>
      </c>
      <c r="N23" s="582">
        <f>HLOOKUP($J$7,'MR-Stat Data Sheet Bud'!$BE$8:$BP$1081,$AA23,FALSE)</f>
        <v>0</v>
      </c>
      <c r="O23" s="582">
        <f>HLOOKUP($J$7,'MR-Stat Data Sheet Bud'!$BQ$8:$CB$1081,$AA23,FALSE)</f>
        <v>0</v>
      </c>
      <c r="P23" s="582">
        <f t="shared" si="6"/>
        <v>0</v>
      </c>
      <c r="Q23" s="583"/>
      <c r="S23" s="482" t="e">
        <f>VLOOKUP($G23,'MR-Stat Data Sheet Bud'!$F$8:$CB$1081,75,FALSE)</f>
        <v>#N/A</v>
      </c>
      <c r="T23" s="582">
        <v>0</v>
      </c>
      <c r="U23" s="583"/>
      <c r="V23" s="480"/>
      <c r="W23" s="480"/>
      <c r="X23" s="480"/>
      <c r="Y23" s="480"/>
      <c r="Z23" s="480"/>
      <c r="AA23" s="472">
        <f t="shared" si="7"/>
        <v>15</v>
      </c>
      <c r="AB23" s="480"/>
      <c r="AC23" s="480"/>
      <c r="AD23" s="480"/>
      <c r="AE23" s="480"/>
      <c r="AF23" s="480"/>
      <c r="AG23" s="480"/>
    </row>
    <row r="24" spans="1:34" s="471" customFormat="1" hidden="1">
      <c r="A24" s="420">
        <f t="shared" si="8"/>
        <v>14</v>
      </c>
      <c r="B24" s="585">
        <f t="shared" si="0"/>
        <v>0</v>
      </c>
      <c r="C24" s="533">
        <f t="shared" si="1"/>
        <v>0</v>
      </c>
      <c r="D24" s="533">
        <f t="shared" si="2"/>
        <v>0</v>
      </c>
      <c r="E24" s="420" t="s">
        <v>17</v>
      </c>
      <c r="F24" s="420" t="str">
        <f t="shared" si="3"/>
        <v>Vacant</v>
      </c>
      <c r="G24" s="586">
        <f t="shared" si="4"/>
        <v>0</v>
      </c>
      <c r="H24" s="581"/>
      <c r="J24" s="582">
        <f>HLOOKUP($J$7,'MR-Stat Data Sheet Bud'!$U$8:$AF$1081,$AA24,FALSE)</f>
        <v>0</v>
      </c>
      <c r="K24" s="582">
        <f>HLOOKUP($J$7,'MR-Stat Data Sheet Bud'!$AS$8:$BD$1081,$AA24,FALSE)</f>
        <v>0</v>
      </c>
      <c r="L24" s="587">
        <f t="shared" si="5"/>
        <v>0</v>
      </c>
      <c r="N24" s="582">
        <f>HLOOKUP($J$7,'MR-Stat Data Sheet Bud'!$BE$8:$BP$1081,$AA24,FALSE)</f>
        <v>0</v>
      </c>
      <c r="O24" s="582">
        <f>HLOOKUP($J$7,'MR-Stat Data Sheet Bud'!$BQ$8:$CB$1081,$AA24,FALSE)</f>
        <v>0</v>
      </c>
      <c r="P24" s="582">
        <f t="shared" si="6"/>
        <v>0</v>
      </c>
      <c r="Q24" s="583"/>
      <c r="S24" s="482" t="e">
        <f>VLOOKUP($G24,'MR-Stat Data Sheet Bud'!$F$8:$CB$1081,75,FALSE)</f>
        <v>#N/A</v>
      </c>
      <c r="T24" s="582">
        <v>0</v>
      </c>
      <c r="U24" s="583"/>
      <c r="V24" s="480"/>
      <c r="W24" s="480"/>
      <c r="X24" s="480"/>
      <c r="Y24" s="480"/>
      <c r="Z24" s="480"/>
      <c r="AA24" s="472">
        <f t="shared" si="7"/>
        <v>16</v>
      </c>
      <c r="AB24" s="480"/>
      <c r="AC24" s="480"/>
      <c r="AD24" s="480"/>
      <c r="AE24" s="480"/>
      <c r="AF24" s="480"/>
      <c r="AG24" s="480"/>
    </row>
    <row r="25" spans="1:34" s="471" customFormat="1" hidden="1">
      <c r="A25" s="420">
        <f t="shared" si="8"/>
        <v>15</v>
      </c>
      <c r="B25" s="585">
        <f t="shared" si="0"/>
        <v>0</v>
      </c>
      <c r="C25" s="533">
        <f t="shared" si="1"/>
        <v>0</v>
      </c>
      <c r="D25" s="533">
        <f t="shared" si="2"/>
        <v>0</v>
      </c>
      <c r="E25" s="420" t="s">
        <v>17</v>
      </c>
      <c r="F25" s="420" t="str">
        <f t="shared" si="3"/>
        <v>Vacant</v>
      </c>
      <c r="G25" s="586">
        <f t="shared" si="4"/>
        <v>0</v>
      </c>
      <c r="H25" s="581"/>
      <c r="J25" s="582">
        <f>HLOOKUP($J$7,'MR-Stat Data Sheet Bud'!$U$8:$AF$1081,$AA25,FALSE)</f>
        <v>0</v>
      </c>
      <c r="K25" s="582">
        <f>HLOOKUP($J$7,'MR-Stat Data Sheet Bud'!$AS$8:$BD$1081,$AA25,FALSE)</f>
        <v>0</v>
      </c>
      <c r="L25" s="587">
        <f t="shared" si="5"/>
        <v>0</v>
      </c>
      <c r="N25" s="582">
        <f>HLOOKUP($J$7,'MR-Stat Data Sheet Bud'!$BE$8:$BP$1081,$AA25,FALSE)</f>
        <v>0</v>
      </c>
      <c r="O25" s="582">
        <f>HLOOKUP($J$7,'MR-Stat Data Sheet Bud'!$BQ$8:$CB$1081,$AA25,FALSE)</f>
        <v>0</v>
      </c>
      <c r="P25" s="582">
        <f t="shared" si="6"/>
        <v>0</v>
      </c>
      <c r="Q25" s="583"/>
      <c r="S25" s="482" t="e">
        <f>VLOOKUP($G25,'MR-Stat Data Sheet Bud'!$F$8:$CB$1081,75,FALSE)</f>
        <v>#N/A</v>
      </c>
      <c r="T25" s="582">
        <v>0</v>
      </c>
      <c r="U25" s="583"/>
      <c r="V25" s="480"/>
      <c r="W25" s="480"/>
      <c r="X25" s="480"/>
      <c r="Y25" s="480"/>
      <c r="Z25" s="480"/>
      <c r="AA25" s="472">
        <f t="shared" si="7"/>
        <v>17</v>
      </c>
      <c r="AB25" s="480"/>
      <c r="AC25" s="480"/>
      <c r="AD25" s="480"/>
      <c r="AE25" s="480"/>
      <c r="AF25" s="480"/>
      <c r="AG25" s="480"/>
    </row>
    <row r="26" spans="1:34" s="471" customFormat="1" hidden="1">
      <c r="A26" s="420">
        <f t="shared" si="8"/>
        <v>16</v>
      </c>
      <c r="B26" s="585">
        <f t="shared" si="0"/>
        <v>0</v>
      </c>
      <c r="C26" s="533">
        <f t="shared" si="1"/>
        <v>0</v>
      </c>
      <c r="D26" s="533">
        <f t="shared" si="2"/>
        <v>0</v>
      </c>
      <c r="E26" s="420" t="s">
        <v>17</v>
      </c>
      <c r="F26" s="420" t="str">
        <f t="shared" si="3"/>
        <v>Vacant</v>
      </c>
      <c r="G26" s="586">
        <f t="shared" si="4"/>
        <v>0</v>
      </c>
      <c r="H26" s="581"/>
      <c r="J26" s="582">
        <f>HLOOKUP($J$7,'MR-Stat Data Sheet Bud'!$U$8:$AF$1081,$AA26,FALSE)</f>
        <v>0</v>
      </c>
      <c r="K26" s="582">
        <f>HLOOKUP($J$7,'MR-Stat Data Sheet Bud'!$AS$8:$BD$1081,$AA26,FALSE)</f>
        <v>0</v>
      </c>
      <c r="L26" s="587">
        <f t="shared" si="5"/>
        <v>0</v>
      </c>
      <c r="N26" s="582">
        <f>HLOOKUP($J$7,'MR-Stat Data Sheet Bud'!$BE$8:$BP$1081,$AA26,FALSE)</f>
        <v>0</v>
      </c>
      <c r="O26" s="582">
        <f>HLOOKUP($J$7,'MR-Stat Data Sheet Bud'!$BQ$8:$CB$1081,$AA26,FALSE)</f>
        <v>0</v>
      </c>
      <c r="P26" s="582">
        <f t="shared" si="6"/>
        <v>0</v>
      </c>
      <c r="Q26" s="583"/>
      <c r="S26" s="482" t="e">
        <f>VLOOKUP($G26,'MR-Stat Data Sheet Bud'!$F$8:$CB$1081,75,FALSE)</f>
        <v>#N/A</v>
      </c>
      <c r="T26" s="582">
        <v>0</v>
      </c>
      <c r="U26" s="583"/>
      <c r="V26" s="480"/>
      <c r="W26" s="480"/>
      <c r="X26" s="480"/>
      <c r="Y26" s="480"/>
      <c r="Z26" s="480"/>
      <c r="AA26" s="472">
        <f t="shared" si="7"/>
        <v>18</v>
      </c>
      <c r="AB26" s="480"/>
      <c r="AC26" s="480"/>
      <c r="AD26" s="480"/>
      <c r="AE26" s="480"/>
      <c r="AF26" s="480"/>
      <c r="AG26" s="480"/>
    </row>
    <row r="27" spans="1:34" s="471" customFormat="1" hidden="1">
      <c r="A27" s="420">
        <f t="shared" si="8"/>
        <v>17</v>
      </c>
      <c r="B27" s="585">
        <f t="shared" si="0"/>
        <v>0</v>
      </c>
      <c r="C27" s="533">
        <f t="shared" si="1"/>
        <v>0</v>
      </c>
      <c r="D27" s="533">
        <f t="shared" si="2"/>
        <v>0</v>
      </c>
      <c r="E27" s="420" t="s">
        <v>17</v>
      </c>
      <c r="F27" s="420" t="str">
        <f t="shared" si="3"/>
        <v>Vacant</v>
      </c>
      <c r="G27" s="586">
        <f t="shared" si="4"/>
        <v>0</v>
      </c>
      <c r="H27" s="581"/>
      <c r="J27" s="582">
        <f>HLOOKUP($J$7,'MR-Stat Data Sheet Bud'!$U$8:$AF$1081,$AA27,FALSE)</f>
        <v>0</v>
      </c>
      <c r="K27" s="582">
        <f>HLOOKUP($J$7,'MR-Stat Data Sheet Bud'!$AS$8:$BD$1081,$AA27,FALSE)</f>
        <v>0</v>
      </c>
      <c r="L27" s="582">
        <f t="shared" si="5"/>
        <v>0</v>
      </c>
      <c r="N27" s="582">
        <f>HLOOKUP($J$7,'MR-Stat Data Sheet Bud'!$BE$8:$BP$1081,$AA27,FALSE)</f>
        <v>0</v>
      </c>
      <c r="O27" s="582">
        <f>HLOOKUP($J$7,'MR-Stat Data Sheet Bud'!$BQ$8:$CB$1081,$AA27,FALSE)</f>
        <v>0</v>
      </c>
      <c r="P27" s="582">
        <f t="shared" si="6"/>
        <v>0</v>
      </c>
      <c r="Q27" s="583"/>
      <c r="S27" s="482" t="e">
        <f>VLOOKUP($G27,'MR-Stat Data Sheet Bud'!$F$8:$CB$1081,75,FALSE)</f>
        <v>#N/A</v>
      </c>
      <c r="T27" s="582">
        <v>0</v>
      </c>
      <c r="U27" s="583"/>
      <c r="V27" s="480"/>
      <c r="W27" s="480"/>
      <c r="X27" s="480"/>
      <c r="Y27" s="480"/>
      <c r="Z27" s="480"/>
      <c r="AA27" s="472">
        <f t="shared" si="7"/>
        <v>19</v>
      </c>
      <c r="AB27" s="480"/>
      <c r="AC27" s="480"/>
      <c r="AD27" s="480"/>
      <c r="AE27" s="480"/>
      <c r="AF27" s="480"/>
      <c r="AG27" s="480"/>
    </row>
    <row r="28" spans="1:34" s="471" customFormat="1" hidden="1">
      <c r="A28" s="420">
        <f t="shared" si="8"/>
        <v>18</v>
      </c>
      <c r="B28" s="585">
        <f t="shared" si="0"/>
        <v>0</v>
      </c>
      <c r="C28" s="533">
        <f t="shared" si="1"/>
        <v>0</v>
      </c>
      <c r="D28" s="533">
        <f t="shared" si="2"/>
        <v>0</v>
      </c>
      <c r="E28" s="420" t="s">
        <v>17</v>
      </c>
      <c r="F28" s="420" t="str">
        <f t="shared" si="3"/>
        <v>Vacant</v>
      </c>
      <c r="G28" s="586">
        <f t="shared" si="4"/>
        <v>0</v>
      </c>
      <c r="H28" s="581"/>
      <c r="J28" s="582">
        <f>HLOOKUP($J$7,'MR-Stat Data Sheet Bud'!$U$8:$AF$1081,$AA28,FALSE)</f>
        <v>0</v>
      </c>
      <c r="K28" s="582">
        <f>HLOOKUP($J$7,'MR-Stat Data Sheet Bud'!$AS$8:$BD$1081,$AA28,FALSE)</f>
        <v>0</v>
      </c>
      <c r="L28" s="582">
        <f t="shared" si="5"/>
        <v>0</v>
      </c>
      <c r="N28" s="582">
        <f>HLOOKUP($J$7,'MR-Stat Data Sheet Bud'!$BE$8:$BP$1081,$AA28,FALSE)</f>
        <v>0</v>
      </c>
      <c r="O28" s="582">
        <f>HLOOKUP($J$7,'MR-Stat Data Sheet Bud'!$BQ$8:$CB$1081,$AA28,FALSE)</f>
        <v>0</v>
      </c>
      <c r="P28" s="582">
        <f t="shared" si="6"/>
        <v>0</v>
      </c>
      <c r="Q28" s="583"/>
      <c r="S28" s="482" t="e">
        <f>VLOOKUP($G28,'MR-Stat Data Sheet Bud'!$F$8:$CB$1081,75,FALSE)</f>
        <v>#N/A</v>
      </c>
      <c r="T28" s="582">
        <v>0</v>
      </c>
      <c r="U28" s="583"/>
      <c r="V28" s="480"/>
      <c r="W28" s="480"/>
      <c r="X28" s="480"/>
      <c r="Y28" s="480"/>
      <c r="Z28" s="480"/>
      <c r="AA28" s="472">
        <f t="shared" si="7"/>
        <v>20</v>
      </c>
      <c r="AB28" s="480"/>
      <c r="AC28" s="480"/>
      <c r="AD28" s="480"/>
      <c r="AE28" s="480"/>
      <c r="AF28" s="480"/>
      <c r="AG28" s="480"/>
    </row>
    <row r="29" spans="1:34" s="471" customFormat="1" hidden="1">
      <c r="A29" s="420">
        <f t="shared" si="8"/>
        <v>19</v>
      </c>
      <c r="B29" s="585">
        <f t="shared" si="0"/>
        <v>0</v>
      </c>
      <c r="C29" s="533">
        <f t="shared" si="1"/>
        <v>0</v>
      </c>
      <c r="D29" s="533">
        <f t="shared" si="2"/>
        <v>0</v>
      </c>
      <c r="E29" s="420" t="s">
        <v>17</v>
      </c>
      <c r="F29" s="420" t="str">
        <f t="shared" si="3"/>
        <v>Vacant</v>
      </c>
      <c r="G29" s="586">
        <f t="shared" si="4"/>
        <v>0</v>
      </c>
      <c r="H29" s="581"/>
      <c r="J29" s="582">
        <f>HLOOKUP($J$7,'MR-Stat Data Sheet Bud'!$U$8:$AF$1081,$AA29,FALSE)</f>
        <v>0</v>
      </c>
      <c r="K29" s="582">
        <f>HLOOKUP($J$7,'MR-Stat Data Sheet Bud'!$AS$8:$BD$1081,$AA29,FALSE)</f>
        <v>0</v>
      </c>
      <c r="L29" s="582">
        <f t="shared" si="5"/>
        <v>0</v>
      </c>
      <c r="N29" s="582">
        <f>HLOOKUP($J$7,'MR-Stat Data Sheet Bud'!$BE$8:$BP$1081,$AA29,FALSE)</f>
        <v>0</v>
      </c>
      <c r="O29" s="582">
        <f>HLOOKUP($J$7,'MR-Stat Data Sheet Bud'!$BQ$8:$CB$1081,$AA29,FALSE)</f>
        <v>0</v>
      </c>
      <c r="P29" s="582">
        <f t="shared" si="6"/>
        <v>0</v>
      </c>
      <c r="Q29" s="583"/>
      <c r="S29" s="482" t="e">
        <f>VLOOKUP($G29,'MR-Stat Data Sheet Bud'!$F$8:$CB$1081,75,FALSE)</f>
        <v>#N/A</v>
      </c>
      <c r="T29" s="582">
        <v>0</v>
      </c>
      <c r="U29" s="583"/>
      <c r="V29" s="480"/>
      <c r="W29" s="480"/>
      <c r="X29" s="480"/>
      <c r="Y29" s="480"/>
      <c r="Z29" s="480"/>
      <c r="AA29" s="472">
        <f t="shared" si="7"/>
        <v>21</v>
      </c>
      <c r="AB29" s="480"/>
      <c r="AC29" s="480"/>
      <c r="AD29" s="480"/>
      <c r="AE29" s="480"/>
      <c r="AF29" s="480"/>
      <c r="AG29" s="480"/>
    </row>
    <row r="30" spans="1:34" s="471" customFormat="1" hidden="1">
      <c r="A30" s="420">
        <f t="shared" si="8"/>
        <v>20</v>
      </c>
      <c r="B30" s="585">
        <f t="shared" si="0"/>
        <v>0</v>
      </c>
      <c r="C30" s="533">
        <f t="shared" si="1"/>
        <v>0</v>
      </c>
      <c r="D30" s="533">
        <f t="shared" si="2"/>
        <v>0</v>
      </c>
      <c r="E30" s="420" t="s">
        <v>17</v>
      </c>
      <c r="F30" s="420" t="str">
        <f t="shared" si="3"/>
        <v>Vacant</v>
      </c>
      <c r="G30" s="586">
        <f t="shared" si="4"/>
        <v>0</v>
      </c>
      <c r="H30" s="581"/>
      <c r="J30" s="582">
        <f>HLOOKUP($J$7,'MR-Stat Data Sheet Bud'!$U$8:$AF$1081,$AA30,FALSE)</f>
        <v>0</v>
      </c>
      <c r="K30" s="582">
        <f>HLOOKUP($J$7,'MR-Stat Data Sheet Bud'!$AS$8:$BD$1081,$AA30,FALSE)</f>
        <v>0</v>
      </c>
      <c r="L30" s="582">
        <f t="shared" si="5"/>
        <v>0</v>
      </c>
      <c r="N30" s="582">
        <f>HLOOKUP($J$7,'MR-Stat Data Sheet Bud'!$BE$8:$BP$1081,$AA30,FALSE)</f>
        <v>0</v>
      </c>
      <c r="O30" s="582">
        <f>HLOOKUP($J$7,'MR-Stat Data Sheet Bud'!$BQ$8:$CB$1081,$AA30,FALSE)</f>
        <v>0</v>
      </c>
      <c r="P30" s="582">
        <f t="shared" si="6"/>
        <v>0</v>
      </c>
      <c r="Q30" s="583"/>
      <c r="S30" s="482" t="e">
        <f>VLOOKUP($G30,'MR-Stat Data Sheet Bud'!$F$8:$CB$1081,75,FALSE)</f>
        <v>#N/A</v>
      </c>
      <c r="T30" s="582">
        <v>0</v>
      </c>
      <c r="U30" s="583"/>
      <c r="V30" s="480"/>
      <c r="W30" s="480"/>
      <c r="X30" s="480"/>
      <c r="Y30" s="480"/>
      <c r="Z30" s="480"/>
      <c r="AA30" s="472">
        <f t="shared" si="7"/>
        <v>22</v>
      </c>
      <c r="AB30" s="480"/>
      <c r="AC30" s="480"/>
      <c r="AD30" s="480"/>
      <c r="AE30" s="480"/>
      <c r="AF30" s="480"/>
      <c r="AG30" s="480"/>
    </row>
    <row r="31" spans="1:34" s="471" customFormat="1" hidden="1">
      <c r="A31" s="420">
        <f t="shared" si="8"/>
        <v>21</v>
      </c>
      <c r="B31" s="585">
        <f t="shared" si="0"/>
        <v>0</v>
      </c>
      <c r="C31" s="533">
        <f t="shared" si="1"/>
        <v>0</v>
      </c>
      <c r="D31" s="533">
        <f t="shared" si="2"/>
        <v>0</v>
      </c>
      <c r="E31" s="420" t="s">
        <v>17</v>
      </c>
      <c r="F31" s="420" t="str">
        <f t="shared" si="3"/>
        <v>Vacant</v>
      </c>
      <c r="G31" s="586">
        <f t="shared" si="4"/>
        <v>0</v>
      </c>
      <c r="H31" s="581"/>
      <c r="J31" s="582">
        <f>HLOOKUP($J$7,'MR-Stat Data Sheet Bud'!$U$8:$AF$1081,$AA31,FALSE)</f>
        <v>0</v>
      </c>
      <c r="K31" s="582">
        <f>HLOOKUP($J$7,'MR-Stat Data Sheet Bud'!$AS$8:$BD$1081,$AA31,FALSE)</f>
        <v>0</v>
      </c>
      <c r="L31" s="582">
        <f t="shared" si="5"/>
        <v>0</v>
      </c>
      <c r="N31" s="582">
        <f>HLOOKUP($J$7,'MR-Stat Data Sheet Bud'!$BE$8:$BP$1081,$AA31,FALSE)</f>
        <v>0</v>
      </c>
      <c r="O31" s="582">
        <f>HLOOKUP($J$7,'MR-Stat Data Sheet Bud'!$BQ$8:$CB$1081,$AA31,FALSE)</f>
        <v>0</v>
      </c>
      <c r="P31" s="582">
        <f t="shared" si="6"/>
        <v>0</v>
      </c>
      <c r="Q31" s="583"/>
      <c r="S31" s="482" t="e">
        <f>VLOOKUP($G31,'MR-Stat Data Sheet Bud'!$F$8:$CB$1081,75,FALSE)</f>
        <v>#N/A</v>
      </c>
      <c r="T31" s="582">
        <v>0</v>
      </c>
      <c r="U31" s="583"/>
      <c r="V31" s="480"/>
      <c r="W31" s="480"/>
      <c r="X31" s="480"/>
      <c r="Y31" s="480"/>
      <c r="Z31" s="480"/>
      <c r="AA31" s="472">
        <f t="shared" si="7"/>
        <v>23</v>
      </c>
      <c r="AB31" s="480"/>
      <c r="AC31" s="480"/>
      <c r="AD31" s="480"/>
      <c r="AE31" s="480"/>
      <c r="AF31" s="480"/>
      <c r="AG31" s="480"/>
    </row>
    <row r="32" spans="1:34" s="471" customFormat="1" hidden="1">
      <c r="A32" s="420">
        <f t="shared" si="8"/>
        <v>22</v>
      </c>
      <c r="B32" s="585">
        <f t="shared" si="0"/>
        <v>0</v>
      </c>
      <c r="C32" s="533">
        <f t="shared" si="1"/>
        <v>0</v>
      </c>
      <c r="D32" s="533">
        <f t="shared" si="2"/>
        <v>0</v>
      </c>
      <c r="E32" s="420" t="s">
        <v>17</v>
      </c>
      <c r="F32" s="420" t="str">
        <f t="shared" si="3"/>
        <v>Vacant</v>
      </c>
      <c r="G32" s="586">
        <f t="shared" si="4"/>
        <v>0</v>
      </c>
      <c r="H32" s="581"/>
      <c r="J32" s="582">
        <f>HLOOKUP($J$7,'MR-Stat Data Sheet Bud'!$U$8:$AF$1081,$AA32,FALSE)</f>
        <v>0</v>
      </c>
      <c r="K32" s="582">
        <f>HLOOKUP($J$7,'MR-Stat Data Sheet Bud'!$AS$8:$BD$1081,$AA32,FALSE)</f>
        <v>0</v>
      </c>
      <c r="L32" s="582">
        <f t="shared" si="5"/>
        <v>0</v>
      </c>
      <c r="N32" s="582">
        <f>HLOOKUP($J$7,'MR-Stat Data Sheet Bud'!$BE$8:$BP$1081,$AA32,FALSE)</f>
        <v>0</v>
      </c>
      <c r="O32" s="582">
        <f>HLOOKUP($J$7,'MR-Stat Data Sheet Bud'!$BQ$8:$CB$1081,$AA32,FALSE)</f>
        <v>0</v>
      </c>
      <c r="P32" s="582">
        <f t="shared" si="6"/>
        <v>0</v>
      </c>
      <c r="Q32" s="583"/>
      <c r="S32" s="482" t="e">
        <f>VLOOKUP($G32,'MR-Stat Data Sheet Bud'!$F$8:$CB$1081,75,FALSE)</f>
        <v>#N/A</v>
      </c>
      <c r="T32" s="582">
        <v>0</v>
      </c>
      <c r="U32" s="583"/>
      <c r="V32" s="480"/>
      <c r="W32" s="480"/>
      <c r="X32" s="480"/>
      <c r="Y32" s="480"/>
      <c r="Z32" s="480"/>
      <c r="AA32" s="472">
        <f t="shared" si="7"/>
        <v>24</v>
      </c>
      <c r="AB32" s="480"/>
      <c r="AC32" s="480"/>
      <c r="AD32" s="480"/>
      <c r="AE32" s="480"/>
      <c r="AF32" s="480"/>
      <c r="AG32" s="480"/>
    </row>
    <row r="33" spans="1:33" s="471" customFormat="1" hidden="1">
      <c r="A33" s="420">
        <f t="shared" si="8"/>
        <v>23</v>
      </c>
      <c r="B33" s="585">
        <f t="shared" si="0"/>
        <v>0</v>
      </c>
      <c r="C33" s="533">
        <f t="shared" si="1"/>
        <v>0</v>
      </c>
      <c r="D33" s="533">
        <f t="shared" si="2"/>
        <v>0</v>
      </c>
      <c r="E33" s="420" t="s">
        <v>17</v>
      </c>
      <c r="F33" s="420" t="str">
        <f t="shared" si="3"/>
        <v>Vacant</v>
      </c>
      <c r="G33" s="586">
        <f t="shared" si="4"/>
        <v>0</v>
      </c>
      <c r="H33" s="581"/>
      <c r="J33" s="582">
        <f>HLOOKUP($J$7,'MR-Stat Data Sheet Bud'!$U$8:$AF$1081,$AA33,FALSE)</f>
        <v>0</v>
      </c>
      <c r="K33" s="582">
        <f>HLOOKUP($J$7,'MR-Stat Data Sheet Bud'!$AS$8:$BD$1081,$AA33,FALSE)</f>
        <v>0</v>
      </c>
      <c r="L33" s="587">
        <f t="shared" si="5"/>
        <v>0</v>
      </c>
      <c r="N33" s="582">
        <f>HLOOKUP($J$7,'MR-Stat Data Sheet Bud'!$BE$8:$BP$1081,$AA33,FALSE)</f>
        <v>0</v>
      </c>
      <c r="O33" s="582">
        <f>HLOOKUP($J$7,'MR-Stat Data Sheet Bud'!$BQ$8:$CB$1081,$AA33,FALSE)</f>
        <v>0</v>
      </c>
      <c r="P33" s="582">
        <f t="shared" si="6"/>
        <v>0</v>
      </c>
      <c r="Q33" s="583"/>
      <c r="S33" s="482" t="e">
        <f>VLOOKUP($G33,'MR-Stat Data Sheet Bud'!$F$8:$CB$1081,75,FALSE)</f>
        <v>#N/A</v>
      </c>
      <c r="T33" s="582">
        <v>0</v>
      </c>
      <c r="U33" s="583"/>
      <c r="V33" s="480"/>
      <c r="W33" s="480"/>
      <c r="X33" s="480"/>
      <c r="Y33" s="480"/>
      <c r="Z33" s="480"/>
      <c r="AA33" s="472">
        <f t="shared" si="7"/>
        <v>25</v>
      </c>
      <c r="AB33" s="480"/>
      <c r="AC33" s="480"/>
      <c r="AD33" s="480"/>
      <c r="AE33" s="480"/>
      <c r="AF33" s="480"/>
      <c r="AG33" s="480"/>
    </row>
    <row r="34" spans="1:33" s="471" customFormat="1" hidden="1">
      <c r="A34" s="420">
        <f t="shared" si="8"/>
        <v>24</v>
      </c>
      <c r="B34" s="585">
        <f t="shared" si="0"/>
        <v>0</v>
      </c>
      <c r="C34" s="533">
        <f t="shared" si="1"/>
        <v>0</v>
      </c>
      <c r="D34" s="533">
        <f t="shared" si="2"/>
        <v>0</v>
      </c>
      <c r="E34" s="420" t="s">
        <v>17</v>
      </c>
      <c r="F34" s="420" t="str">
        <f t="shared" si="3"/>
        <v>Vacant</v>
      </c>
      <c r="G34" s="586">
        <f t="shared" si="4"/>
        <v>0</v>
      </c>
      <c r="H34" s="581"/>
      <c r="J34" s="582">
        <f>HLOOKUP($J$7,'MR-Stat Data Sheet Bud'!$U$8:$AF$1081,$AA34,FALSE)</f>
        <v>0</v>
      </c>
      <c r="K34" s="582">
        <f>HLOOKUP($J$7,'MR-Stat Data Sheet Bud'!$AS$8:$BD$1081,$AA34,FALSE)</f>
        <v>0</v>
      </c>
      <c r="L34" s="582">
        <f t="shared" si="5"/>
        <v>0</v>
      </c>
      <c r="N34" s="582">
        <f>HLOOKUP($J$7,'MR-Stat Data Sheet Bud'!$BE$8:$BP$1081,$AA34,FALSE)</f>
        <v>0</v>
      </c>
      <c r="O34" s="582">
        <f>HLOOKUP($J$7,'MR-Stat Data Sheet Bud'!$BQ$8:$CB$1081,$AA34,FALSE)</f>
        <v>0</v>
      </c>
      <c r="P34" s="582">
        <f t="shared" si="6"/>
        <v>0</v>
      </c>
      <c r="Q34" s="583"/>
      <c r="S34" s="482" t="e">
        <f>VLOOKUP($G34,'MR-Stat Data Sheet Bud'!$F$8:$CB$1081,75,FALSE)</f>
        <v>#N/A</v>
      </c>
      <c r="T34" s="582">
        <v>0</v>
      </c>
      <c r="U34" s="583"/>
      <c r="V34" s="480"/>
      <c r="W34" s="480"/>
      <c r="X34" s="480"/>
      <c r="Y34" s="480"/>
      <c r="Z34" s="480"/>
      <c r="AA34" s="472">
        <f t="shared" si="7"/>
        <v>26</v>
      </c>
      <c r="AB34" s="480"/>
      <c r="AC34" s="480"/>
      <c r="AD34" s="480"/>
      <c r="AE34" s="480"/>
      <c r="AF34" s="480"/>
      <c r="AG34" s="480"/>
    </row>
    <row r="35" spans="1:33" s="471" customFormat="1" hidden="1">
      <c r="A35" s="420">
        <f t="shared" si="8"/>
        <v>25</v>
      </c>
      <c r="B35" s="585">
        <f t="shared" si="0"/>
        <v>0</v>
      </c>
      <c r="C35" s="533">
        <f t="shared" si="1"/>
        <v>0</v>
      </c>
      <c r="D35" s="533">
        <f t="shared" si="2"/>
        <v>0</v>
      </c>
      <c r="E35" s="420" t="s">
        <v>17</v>
      </c>
      <c r="F35" s="420" t="str">
        <f t="shared" si="3"/>
        <v>Vacant</v>
      </c>
      <c r="G35" s="586">
        <f t="shared" si="4"/>
        <v>0</v>
      </c>
      <c r="H35" s="581"/>
      <c r="J35" s="582">
        <f>HLOOKUP($J$7,'MR-Stat Data Sheet Bud'!$U$8:$AF$1081,$AA35,FALSE)</f>
        <v>0</v>
      </c>
      <c r="K35" s="582">
        <f>HLOOKUP($J$7,'MR-Stat Data Sheet Bud'!$AS$8:$BD$1081,$AA35,FALSE)</f>
        <v>0</v>
      </c>
      <c r="L35" s="587">
        <f t="shared" si="5"/>
        <v>0</v>
      </c>
      <c r="N35" s="582">
        <f>HLOOKUP($J$7,'MR-Stat Data Sheet Bud'!$BE$8:$BP$1081,$AA35,FALSE)</f>
        <v>0</v>
      </c>
      <c r="O35" s="582">
        <f>HLOOKUP($J$7,'MR-Stat Data Sheet Bud'!$BQ$8:$CB$1081,$AA35,FALSE)</f>
        <v>0</v>
      </c>
      <c r="P35" s="582">
        <f t="shared" si="6"/>
        <v>0</v>
      </c>
      <c r="Q35" s="583"/>
      <c r="S35" s="482" t="e">
        <f>VLOOKUP($G35,'MR-Stat Data Sheet Bud'!$F$8:$CB$1081,75,FALSE)</f>
        <v>#N/A</v>
      </c>
      <c r="T35" s="582">
        <v>0</v>
      </c>
      <c r="U35" s="583"/>
      <c r="V35" s="480"/>
      <c r="W35" s="480"/>
      <c r="X35" s="480"/>
      <c r="Y35" s="480"/>
      <c r="Z35" s="480"/>
      <c r="AA35" s="472">
        <f t="shared" si="7"/>
        <v>27</v>
      </c>
      <c r="AB35" s="480"/>
      <c r="AC35" s="480"/>
      <c r="AD35" s="480"/>
      <c r="AE35" s="480"/>
      <c r="AF35" s="480"/>
      <c r="AG35" s="480"/>
    </row>
    <row r="36" spans="1:33" s="471" customFormat="1" hidden="1">
      <c r="A36" s="420">
        <f t="shared" si="8"/>
        <v>26</v>
      </c>
      <c r="B36" s="585">
        <f t="shared" si="0"/>
        <v>0</v>
      </c>
      <c r="C36" s="533">
        <f t="shared" si="1"/>
        <v>0</v>
      </c>
      <c r="D36" s="533">
        <f t="shared" si="2"/>
        <v>0</v>
      </c>
      <c r="E36" s="420" t="s">
        <v>17</v>
      </c>
      <c r="F36" s="420" t="str">
        <f t="shared" si="3"/>
        <v>Vacant</v>
      </c>
      <c r="G36" s="586">
        <f t="shared" si="4"/>
        <v>0</v>
      </c>
      <c r="H36" s="581"/>
      <c r="J36" s="582">
        <f>HLOOKUP($J$7,'MR-Stat Data Sheet Bud'!$U$8:$AF$1081,$AA36,FALSE)</f>
        <v>0</v>
      </c>
      <c r="K36" s="582">
        <f>HLOOKUP($J$7,'MR-Stat Data Sheet Bud'!$AS$8:$BD$1081,$AA36,FALSE)</f>
        <v>0</v>
      </c>
      <c r="L36" s="582">
        <f t="shared" si="5"/>
        <v>0</v>
      </c>
      <c r="N36" s="582">
        <f>HLOOKUP($J$7,'MR-Stat Data Sheet Bud'!$BE$8:$BP$1081,$AA36,FALSE)</f>
        <v>0</v>
      </c>
      <c r="O36" s="582">
        <f>HLOOKUP($J$7,'MR-Stat Data Sheet Bud'!$BQ$8:$CB$1081,$AA36,FALSE)</f>
        <v>0</v>
      </c>
      <c r="P36" s="587">
        <f t="shared" si="6"/>
        <v>0</v>
      </c>
      <c r="Q36" s="583"/>
      <c r="S36" s="482" t="e">
        <f>VLOOKUP($G36,'MR-Stat Data Sheet Bud'!$F$8:$CB$1081,75,FALSE)</f>
        <v>#N/A</v>
      </c>
      <c r="T36" s="582">
        <v>0</v>
      </c>
      <c r="U36" s="583"/>
      <c r="V36" s="480"/>
      <c r="W36" s="480"/>
      <c r="X36" s="480"/>
      <c r="Y36" s="480"/>
      <c r="Z36" s="480"/>
      <c r="AA36" s="472">
        <f t="shared" si="7"/>
        <v>28</v>
      </c>
      <c r="AB36" s="480"/>
      <c r="AC36" s="480"/>
      <c r="AD36" s="480"/>
      <c r="AE36" s="480"/>
      <c r="AF36" s="480"/>
      <c r="AG36" s="480"/>
    </row>
    <row r="37" spans="1:33" s="471" customFormat="1" hidden="1">
      <c r="A37" s="420">
        <f t="shared" si="8"/>
        <v>27</v>
      </c>
      <c r="B37" s="585">
        <f t="shared" si="0"/>
        <v>0</v>
      </c>
      <c r="C37" s="533">
        <f t="shared" si="1"/>
        <v>0</v>
      </c>
      <c r="D37" s="533">
        <f t="shared" si="2"/>
        <v>0</v>
      </c>
      <c r="E37" s="420" t="s">
        <v>17</v>
      </c>
      <c r="F37" s="420" t="str">
        <f t="shared" si="3"/>
        <v>Vacant</v>
      </c>
      <c r="G37" s="586">
        <f t="shared" si="4"/>
        <v>0</v>
      </c>
      <c r="H37" s="581"/>
      <c r="J37" s="582">
        <f>HLOOKUP($J$7,'MR-Stat Data Sheet Bud'!$U$8:$AF$1081,$AA37,FALSE)</f>
        <v>0</v>
      </c>
      <c r="K37" s="582">
        <f>HLOOKUP($J$7,'MR-Stat Data Sheet Bud'!$AS$8:$BD$1081,$AA37,FALSE)</f>
        <v>0</v>
      </c>
      <c r="L37" s="587">
        <f t="shared" si="5"/>
        <v>0</v>
      </c>
      <c r="N37" s="582">
        <f>HLOOKUP($J$7,'MR-Stat Data Sheet Bud'!$BE$8:$BP$1081,$AA37,FALSE)</f>
        <v>0</v>
      </c>
      <c r="O37" s="582">
        <f>HLOOKUP($J$7,'MR-Stat Data Sheet Bud'!$BQ$8:$CB$1081,$AA37,FALSE)</f>
        <v>0</v>
      </c>
      <c r="P37" s="582">
        <f t="shared" si="6"/>
        <v>0</v>
      </c>
      <c r="Q37" s="583"/>
      <c r="S37" s="482" t="e">
        <f>VLOOKUP($G37,'MR-Stat Data Sheet Bud'!$F$8:$CB$1081,75,FALSE)</f>
        <v>#N/A</v>
      </c>
      <c r="T37" s="582">
        <v>0</v>
      </c>
      <c r="U37" s="583"/>
      <c r="V37" s="480"/>
      <c r="W37" s="480"/>
      <c r="X37" s="480"/>
      <c r="Y37" s="480"/>
      <c r="Z37" s="480"/>
      <c r="AA37" s="472">
        <f t="shared" si="7"/>
        <v>29</v>
      </c>
      <c r="AB37" s="480"/>
      <c r="AC37" s="480"/>
      <c r="AD37" s="480"/>
      <c r="AE37" s="480"/>
      <c r="AF37" s="480"/>
      <c r="AG37" s="480"/>
    </row>
    <row r="38" spans="1:33" s="471" customFormat="1" hidden="1">
      <c r="A38" s="420">
        <f t="shared" si="8"/>
        <v>28</v>
      </c>
      <c r="B38" s="585">
        <f t="shared" si="0"/>
        <v>0</v>
      </c>
      <c r="C38" s="533">
        <f t="shared" si="1"/>
        <v>0</v>
      </c>
      <c r="D38" s="533">
        <f t="shared" si="2"/>
        <v>0</v>
      </c>
      <c r="E38" s="420" t="s">
        <v>17</v>
      </c>
      <c r="F38" s="420" t="str">
        <f t="shared" si="3"/>
        <v>Vacant</v>
      </c>
      <c r="G38" s="586">
        <f t="shared" si="4"/>
        <v>0</v>
      </c>
      <c r="H38" s="581"/>
      <c r="J38" s="582">
        <f>HLOOKUP($J$7,'MR-Stat Data Sheet Bud'!$U$8:$AF$1081,$AA38,FALSE)</f>
        <v>0</v>
      </c>
      <c r="K38" s="582">
        <f>HLOOKUP($J$7,'MR-Stat Data Sheet Bud'!$AS$8:$BD$1081,$AA38,FALSE)</f>
        <v>0</v>
      </c>
      <c r="L38" s="582">
        <f t="shared" si="5"/>
        <v>0</v>
      </c>
      <c r="N38" s="582">
        <f>HLOOKUP($J$7,'MR-Stat Data Sheet Bud'!$BE$8:$BP$1081,$AA38,FALSE)</f>
        <v>0</v>
      </c>
      <c r="O38" s="582">
        <f>HLOOKUP($J$7,'MR-Stat Data Sheet Bud'!$BQ$8:$CB$1081,$AA38,FALSE)</f>
        <v>0</v>
      </c>
      <c r="P38" s="582">
        <f t="shared" si="6"/>
        <v>0</v>
      </c>
      <c r="Q38" s="583"/>
      <c r="S38" s="482" t="e">
        <f>VLOOKUP($G38,'MR-Stat Data Sheet Bud'!$F$8:$CB$1081,75,FALSE)</f>
        <v>#N/A</v>
      </c>
      <c r="T38" s="582">
        <v>0</v>
      </c>
      <c r="U38" s="583"/>
      <c r="V38" s="480"/>
      <c r="W38" s="480"/>
      <c r="X38" s="480"/>
      <c r="Y38" s="480"/>
      <c r="Z38" s="480"/>
      <c r="AA38" s="472">
        <f t="shared" si="7"/>
        <v>30</v>
      </c>
      <c r="AB38" s="480"/>
      <c r="AC38" s="480"/>
      <c r="AD38" s="480"/>
      <c r="AE38" s="480"/>
      <c r="AF38" s="480"/>
      <c r="AG38" s="480"/>
    </row>
    <row r="39" spans="1:33" s="471" customFormat="1" hidden="1">
      <c r="A39" s="420">
        <f t="shared" si="8"/>
        <v>29</v>
      </c>
      <c r="B39" s="585">
        <f t="shared" si="0"/>
        <v>0</v>
      </c>
      <c r="C39" s="533">
        <f t="shared" si="1"/>
        <v>0</v>
      </c>
      <c r="D39" s="533">
        <f t="shared" si="2"/>
        <v>0</v>
      </c>
      <c r="E39" s="420" t="s">
        <v>17</v>
      </c>
      <c r="F39" s="420" t="str">
        <f t="shared" si="3"/>
        <v>Vacant</v>
      </c>
      <c r="G39" s="586">
        <f t="shared" si="4"/>
        <v>0</v>
      </c>
      <c r="H39" s="581"/>
      <c r="J39" s="582">
        <f>HLOOKUP($J$7,'MR-Stat Data Sheet Bud'!$U$8:$AF$1081,$AA39,FALSE)</f>
        <v>0</v>
      </c>
      <c r="K39" s="582">
        <f>HLOOKUP($J$7,'MR-Stat Data Sheet Bud'!$AS$8:$BD$1081,$AA39,FALSE)</f>
        <v>0</v>
      </c>
      <c r="L39" s="582">
        <f t="shared" si="5"/>
        <v>0</v>
      </c>
      <c r="N39" s="582">
        <f>HLOOKUP($J$7,'MR-Stat Data Sheet Bud'!$BE$8:$BP$1081,$AA39,FALSE)</f>
        <v>0</v>
      </c>
      <c r="O39" s="582">
        <f>HLOOKUP($J$7,'MR-Stat Data Sheet Bud'!$BQ$8:$CB$1081,$AA39,FALSE)</f>
        <v>0</v>
      </c>
      <c r="P39" s="582">
        <f t="shared" si="6"/>
        <v>0</v>
      </c>
      <c r="Q39" s="583"/>
      <c r="S39" s="482" t="e">
        <f>VLOOKUP($G39,'MR-Stat Data Sheet Bud'!$F$8:$CB$1081,75,FALSE)</f>
        <v>#N/A</v>
      </c>
      <c r="T39" s="582">
        <v>0</v>
      </c>
      <c r="U39" s="583"/>
      <c r="V39" s="480"/>
      <c r="W39" s="480"/>
      <c r="X39" s="480"/>
      <c r="Y39" s="480"/>
      <c r="Z39" s="480"/>
      <c r="AA39" s="472">
        <f t="shared" si="7"/>
        <v>31</v>
      </c>
      <c r="AB39" s="480"/>
      <c r="AC39" s="480"/>
      <c r="AD39" s="480"/>
      <c r="AE39" s="480"/>
      <c r="AF39" s="480"/>
      <c r="AG39" s="480"/>
    </row>
    <row r="40" spans="1:33" s="471" customFormat="1" hidden="1">
      <c r="A40" s="420">
        <f t="shared" si="8"/>
        <v>30</v>
      </c>
      <c r="B40" s="585">
        <f t="shared" si="0"/>
        <v>0</v>
      </c>
      <c r="C40" s="533">
        <f t="shared" si="1"/>
        <v>0</v>
      </c>
      <c r="D40" s="533">
        <f t="shared" si="2"/>
        <v>0</v>
      </c>
      <c r="E40" s="420" t="s">
        <v>17</v>
      </c>
      <c r="F40" s="420" t="str">
        <f t="shared" si="3"/>
        <v>Vacant</v>
      </c>
      <c r="G40" s="586">
        <f t="shared" si="4"/>
        <v>0</v>
      </c>
      <c r="H40" s="581"/>
      <c r="J40" s="582">
        <f>HLOOKUP($J$7,'MR-Stat Data Sheet Bud'!$U$8:$AF$1081,$AA40,FALSE)</f>
        <v>0</v>
      </c>
      <c r="K40" s="582">
        <f>HLOOKUP($J$7,'MR-Stat Data Sheet Bud'!$AS$8:$BD$1081,$AA40,FALSE)</f>
        <v>0</v>
      </c>
      <c r="L40" s="582">
        <f t="shared" si="5"/>
        <v>0</v>
      </c>
      <c r="N40" s="582">
        <f>HLOOKUP($J$7,'MR-Stat Data Sheet Bud'!$BE$8:$BP$1081,$AA40,FALSE)</f>
        <v>0</v>
      </c>
      <c r="O40" s="582">
        <f>HLOOKUP($J$7,'MR-Stat Data Sheet Bud'!$BQ$8:$CB$1081,$AA40,FALSE)</f>
        <v>0</v>
      </c>
      <c r="P40" s="582">
        <f t="shared" si="6"/>
        <v>0</v>
      </c>
      <c r="Q40" s="583"/>
      <c r="S40" s="482" t="e">
        <f>VLOOKUP($G40,'MR-Stat Data Sheet Bud'!$F$8:$CB$1081,75,FALSE)</f>
        <v>#N/A</v>
      </c>
      <c r="T40" s="582">
        <v>0</v>
      </c>
      <c r="U40" s="583"/>
      <c r="V40" s="480"/>
      <c r="W40" s="480"/>
      <c r="X40" s="480"/>
      <c r="Y40" s="480"/>
      <c r="Z40" s="480"/>
      <c r="AA40" s="472">
        <f t="shared" si="7"/>
        <v>32</v>
      </c>
      <c r="AB40" s="480"/>
      <c r="AC40" s="480"/>
      <c r="AD40" s="480"/>
      <c r="AE40" s="480"/>
      <c r="AF40" s="480"/>
      <c r="AG40" s="480"/>
    </row>
    <row r="41" spans="1:33" s="471" customFormat="1" hidden="1">
      <c r="A41" s="420">
        <f t="shared" si="8"/>
        <v>31</v>
      </c>
      <c r="B41" s="585">
        <f t="shared" si="0"/>
        <v>0</v>
      </c>
      <c r="C41" s="533">
        <f t="shared" si="1"/>
        <v>0</v>
      </c>
      <c r="D41" s="533">
        <f t="shared" si="2"/>
        <v>0</v>
      </c>
      <c r="E41" s="420" t="s">
        <v>17</v>
      </c>
      <c r="F41" s="420" t="str">
        <f t="shared" si="3"/>
        <v>Vacant</v>
      </c>
      <c r="G41" s="586">
        <f t="shared" si="4"/>
        <v>0</v>
      </c>
      <c r="H41" s="581"/>
      <c r="J41" s="582">
        <f>HLOOKUP($J$7,'MR-Stat Data Sheet Bud'!$U$8:$AF$1081,$AA41,FALSE)</f>
        <v>0</v>
      </c>
      <c r="K41" s="582">
        <f>HLOOKUP($J$7,'MR-Stat Data Sheet Bud'!$AS$8:$BD$1081,$AA41,FALSE)</f>
        <v>0</v>
      </c>
      <c r="L41" s="582">
        <f t="shared" si="5"/>
        <v>0</v>
      </c>
      <c r="N41" s="582">
        <f>HLOOKUP($J$7,'MR-Stat Data Sheet Bud'!$BE$8:$BP$1081,$AA41,FALSE)</f>
        <v>0</v>
      </c>
      <c r="O41" s="582">
        <f>HLOOKUP($J$7,'MR-Stat Data Sheet Bud'!$BQ$8:$CB$1081,$AA41,FALSE)</f>
        <v>0</v>
      </c>
      <c r="P41" s="582">
        <f t="shared" si="6"/>
        <v>0</v>
      </c>
      <c r="Q41" s="583"/>
      <c r="S41" s="482" t="e">
        <f>VLOOKUP($G41,'MR-Stat Data Sheet Bud'!$F$8:$CB$1081,75,FALSE)</f>
        <v>#N/A</v>
      </c>
      <c r="T41" s="582">
        <v>0</v>
      </c>
      <c r="U41" s="583"/>
      <c r="V41" s="480"/>
      <c r="W41" s="480"/>
      <c r="X41" s="480"/>
      <c r="Y41" s="480"/>
      <c r="Z41" s="480"/>
      <c r="AA41" s="472">
        <f t="shared" si="7"/>
        <v>33</v>
      </c>
      <c r="AB41" s="480"/>
      <c r="AC41" s="480"/>
      <c r="AD41" s="480"/>
      <c r="AE41" s="480"/>
      <c r="AF41" s="480"/>
      <c r="AG41" s="480"/>
    </row>
    <row r="42" spans="1:33" s="471" customFormat="1" hidden="1">
      <c r="A42" s="420">
        <f t="shared" si="8"/>
        <v>32</v>
      </c>
      <c r="B42" s="585">
        <f t="shared" si="0"/>
        <v>0</v>
      </c>
      <c r="C42" s="533">
        <f t="shared" si="1"/>
        <v>0</v>
      </c>
      <c r="D42" s="533">
        <f t="shared" si="2"/>
        <v>0</v>
      </c>
      <c r="E42" s="420" t="s">
        <v>17</v>
      </c>
      <c r="F42" s="420" t="str">
        <f t="shared" si="3"/>
        <v>Vacant</v>
      </c>
      <c r="G42" s="586">
        <f t="shared" si="4"/>
        <v>0</v>
      </c>
      <c r="H42" s="581"/>
      <c r="J42" s="582">
        <f>HLOOKUP($J$7,'MR-Stat Data Sheet Bud'!$U$8:$AF$1081,$AA42,FALSE)</f>
        <v>0</v>
      </c>
      <c r="K42" s="582">
        <f>HLOOKUP($J$7,'MR-Stat Data Sheet Bud'!$AS$8:$BD$1081,$AA42,FALSE)</f>
        <v>0</v>
      </c>
      <c r="L42" s="582">
        <f t="shared" si="5"/>
        <v>0</v>
      </c>
      <c r="N42" s="582">
        <f>HLOOKUP($J$7,'MR-Stat Data Sheet Bud'!$BE$8:$BP$1081,$AA42,FALSE)</f>
        <v>0</v>
      </c>
      <c r="O42" s="582">
        <f>HLOOKUP($J$7,'MR-Stat Data Sheet Bud'!$BQ$8:$CB$1081,$AA42,FALSE)</f>
        <v>0</v>
      </c>
      <c r="P42" s="582">
        <f t="shared" si="6"/>
        <v>0</v>
      </c>
      <c r="Q42" s="583"/>
      <c r="S42" s="482">
        <v>0</v>
      </c>
      <c r="T42" s="582">
        <v>0</v>
      </c>
      <c r="U42" s="583"/>
      <c r="V42" s="480"/>
      <c r="W42" s="480"/>
      <c r="X42" s="480"/>
      <c r="Y42" s="480"/>
      <c r="Z42" s="480"/>
      <c r="AA42" s="472">
        <f t="shared" si="7"/>
        <v>34</v>
      </c>
      <c r="AB42" s="480"/>
      <c r="AC42" s="480"/>
      <c r="AD42" s="480"/>
      <c r="AE42" s="480"/>
      <c r="AF42" s="480"/>
      <c r="AG42" s="480"/>
    </row>
    <row r="43" spans="1:33" s="471" customFormat="1" hidden="1">
      <c r="A43" s="420">
        <f t="shared" si="8"/>
        <v>33</v>
      </c>
      <c r="B43" s="585">
        <f t="shared" ref="B43:B74" si="9">VLOOKUP($A43,Suite_Data,2,FALSE)</f>
        <v>0</v>
      </c>
      <c r="C43" s="533">
        <f t="shared" ref="C43:C74" si="10">VLOOKUP($A43,Suite_Data,3,FALSE)</f>
        <v>0</v>
      </c>
      <c r="D43" s="533">
        <f t="shared" ref="D43:D74" si="11">VLOOKUP($A43,Suite_Data,4,FALSE)</f>
        <v>0</v>
      </c>
      <c r="E43" s="420" t="s">
        <v>17</v>
      </c>
      <c r="F43" s="420" t="str">
        <f t="shared" ref="F43:F74" si="12">IF(HLOOKUP($J$7,Actual_Sqft,AA43,FALSE)&gt;0,"Occupied","Vacant")</f>
        <v>Vacant</v>
      </c>
      <c r="G43" s="586">
        <f t="shared" ref="G43:G74" si="13">VLOOKUP($A43,Suite_Data,6,FALSE)</f>
        <v>0</v>
      </c>
      <c r="H43" s="581"/>
      <c r="J43" s="582">
        <f>HLOOKUP($J$7,'MR-Stat Data Sheet Bud'!$U$8:$AF$1081,$AA43,FALSE)</f>
        <v>0</v>
      </c>
      <c r="K43" s="582">
        <f>HLOOKUP($J$7,'MR-Stat Data Sheet Bud'!$AS$8:$BD$1081,$AA43,FALSE)</f>
        <v>0</v>
      </c>
      <c r="L43" s="582">
        <f t="shared" ref="L43:L74" si="14">+J43-K43</f>
        <v>0</v>
      </c>
      <c r="N43" s="582">
        <f>HLOOKUP($J$7,'MR-Stat Data Sheet Bud'!$BE$8:$BP$1081,$AA43,FALSE)</f>
        <v>0</v>
      </c>
      <c r="O43" s="582">
        <f>HLOOKUP($J$7,'MR-Stat Data Sheet Bud'!$BQ$8:$CB$1081,$AA43,FALSE)</f>
        <v>0</v>
      </c>
      <c r="P43" s="582">
        <f t="shared" ref="P43:P74" si="15">+N43-O43</f>
        <v>0</v>
      </c>
      <c r="Q43" s="583"/>
      <c r="S43" s="482">
        <v>0</v>
      </c>
      <c r="T43" s="582">
        <v>0</v>
      </c>
      <c r="U43" s="583"/>
      <c r="V43" s="480"/>
      <c r="W43" s="480"/>
      <c r="X43" s="480"/>
      <c r="Y43" s="480"/>
      <c r="Z43" s="480"/>
      <c r="AA43" s="472">
        <f t="shared" si="7"/>
        <v>35</v>
      </c>
      <c r="AB43" s="480"/>
      <c r="AC43" s="480"/>
      <c r="AD43" s="480"/>
      <c r="AE43" s="480"/>
      <c r="AF43" s="480"/>
      <c r="AG43" s="480"/>
    </row>
    <row r="44" spans="1:33" s="471" customFormat="1" hidden="1">
      <c r="A44" s="420">
        <f t="shared" si="8"/>
        <v>34</v>
      </c>
      <c r="B44" s="585">
        <f t="shared" si="9"/>
        <v>0</v>
      </c>
      <c r="C44" s="533">
        <f t="shared" si="10"/>
        <v>0</v>
      </c>
      <c r="D44" s="533">
        <f t="shared" si="11"/>
        <v>0</v>
      </c>
      <c r="E44" s="420" t="s">
        <v>17</v>
      </c>
      <c r="F44" s="420" t="str">
        <f t="shared" si="12"/>
        <v>Vacant</v>
      </c>
      <c r="G44" s="586">
        <f t="shared" si="13"/>
        <v>0</v>
      </c>
      <c r="H44" s="581"/>
      <c r="J44" s="582">
        <f>HLOOKUP($J$7,'MR-Stat Data Sheet Bud'!$U$8:$AF$1081,$AA44,FALSE)</f>
        <v>0</v>
      </c>
      <c r="K44" s="582">
        <f>HLOOKUP($J$7,'MR-Stat Data Sheet Bud'!$AS$8:$BD$1081,$AA44,FALSE)</f>
        <v>0</v>
      </c>
      <c r="L44" s="582">
        <f t="shared" si="14"/>
        <v>0</v>
      </c>
      <c r="N44" s="582">
        <f>HLOOKUP($J$7,'MR-Stat Data Sheet Bud'!$BE$8:$BP$1081,$AA44,FALSE)</f>
        <v>0</v>
      </c>
      <c r="O44" s="582">
        <f>HLOOKUP($J$7,'MR-Stat Data Sheet Bud'!$BQ$8:$CB$1081,$AA44,FALSE)</f>
        <v>0</v>
      </c>
      <c r="P44" s="582">
        <f t="shared" si="15"/>
        <v>0</v>
      </c>
      <c r="Q44" s="583"/>
      <c r="S44" s="482">
        <v>0</v>
      </c>
      <c r="T44" s="582">
        <v>0</v>
      </c>
      <c r="U44" s="583"/>
      <c r="V44" s="480"/>
      <c r="W44" s="480"/>
      <c r="X44" s="480"/>
      <c r="Y44" s="480"/>
      <c r="Z44" s="480"/>
      <c r="AA44" s="472">
        <f t="shared" si="7"/>
        <v>36</v>
      </c>
      <c r="AB44" s="480"/>
      <c r="AC44" s="480"/>
      <c r="AD44" s="480"/>
      <c r="AE44" s="480"/>
      <c r="AF44" s="480"/>
      <c r="AG44" s="480"/>
    </row>
    <row r="45" spans="1:33" s="471" customFormat="1" hidden="1">
      <c r="A45" s="420">
        <f t="shared" si="8"/>
        <v>35</v>
      </c>
      <c r="B45" s="585">
        <f t="shared" si="9"/>
        <v>0</v>
      </c>
      <c r="C45" s="533">
        <f t="shared" si="10"/>
        <v>0</v>
      </c>
      <c r="D45" s="533">
        <f t="shared" si="11"/>
        <v>0</v>
      </c>
      <c r="E45" s="420"/>
      <c r="F45" s="420" t="str">
        <f t="shared" si="12"/>
        <v>Vacant</v>
      </c>
      <c r="G45" s="586">
        <f t="shared" si="13"/>
        <v>0</v>
      </c>
      <c r="H45" s="581"/>
      <c r="J45" s="582">
        <f>HLOOKUP($J$7,'MR-Stat Data Sheet Bud'!$U$8:$AF$1081,$AA45,FALSE)</f>
        <v>0</v>
      </c>
      <c r="K45" s="582">
        <f>HLOOKUP($J$7,'MR-Stat Data Sheet Bud'!$AS$8:$BD$1081,$AA45,FALSE)</f>
        <v>0</v>
      </c>
      <c r="L45" s="582">
        <f t="shared" si="14"/>
        <v>0</v>
      </c>
      <c r="N45" s="582">
        <f>HLOOKUP($J$7,'MR-Stat Data Sheet Bud'!$BE$8:$BP$1081,$AA45,FALSE)</f>
        <v>0</v>
      </c>
      <c r="O45" s="582">
        <f>HLOOKUP($J$7,'MR-Stat Data Sheet Bud'!$BQ$8:$CB$1081,$AA45,FALSE)</f>
        <v>0</v>
      </c>
      <c r="P45" s="582">
        <f t="shared" si="15"/>
        <v>0</v>
      </c>
      <c r="Q45" s="583"/>
      <c r="S45" s="482">
        <v>0</v>
      </c>
      <c r="T45" s="582">
        <v>0</v>
      </c>
      <c r="U45" s="583"/>
      <c r="V45" s="480"/>
      <c r="W45" s="480"/>
      <c r="X45" s="480"/>
      <c r="Y45" s="480"/>
      <c r="Z45" s="480"/>
      <c r="AA45" s="472">
        <f t="shared" si="7"/>
        <v>37</v>
      </c>
      <c r="AB45" s="480"/>
      <c r="AC45" s="480"/>
      <c r="AD45" s="480"/>
      <c r="AE45" s="480"/>
      <c r="AF45" s="480"/>
      <c r="AG45" s="480"/>
    </row>
    <row r="46" spans="1:33" s="471" customFormat="1" hidden="1">
      <c r="A46" s="420">
        <f t="shared" si="8"/>
        <v>36</v>
      </c>
      <c r="B46" s="585">
        <f t="shared" si="9"/>
        <v>0</v>
      </c>
      <c r="C46" s="533">
        <f t="shared" si="10"/>
        <v>0</v>
      </c>
      <c r="D46" s="533">
        <f t="shared" si="11"/>
        <v>0</v>
      </c>
      <c r="E46" s="420"/>
      <c r="F46" s="420" t="str">
        <f t="shared" si="12"/>
        <v>Vacant</v>
      </c>
      <c r="G46" s="586">
        <f t="shared" si="13"/>
        <v>0</v>
      </c>
      <c r="H46" s="581"/>
      <c r="J46" s="582">
        <f>HLOOKUP($J$7,'MR-Stat Data Sheet Bud'!$U$8:$AF$1081,$AA46,FALSE)</f>
        <v>0</v>
      </c>
      <c r="K46" s="582">
        <f>HLOOKUP($J$7,'MR-Stat Data Sheet Bud'!$AS$8:$BD$1081,$AA46,FALSE)</f>
        <v>0</v>
      </c>
      <c r="L46" s="582">
        <f t="shared" si="14"/>
        <v>0</v>
      </c>
      <c r="N46" s="582">
        <f>HLOOKUP($J$7,'MR-Stat Data Sheet Bud'!$BE$8:$BP$1081,$AA46,FALSE)</f>
        <v>0</v>
      </c>
      <c r="O46" s="582">
        <f>HLOOKUP($J$7,'MR-Stat Data Sheet Bud'!$BQ$8:$CB$1081,$AA46,FALSE)</f>
        <v>0</v>
      </c>
      <c r="P46" s="582">
        <f t="shared" si="15"/>
        <v>0</v>
      </c>
      <c r="Q46" s="583"/>
      <c r="S46" s="482">
        <v>0</v>
      </c>
      <c r="T46" s="582">
        <v>0</v>
      </c>
      <c r="U46" s="583"/>
      <c r="V46" s="480"/>
      <c r="W46" s="480"/>
      <c r="X46" s="480"/>
      <c r="Y46" s="480"/>
      <c r="Z46" s="480"/>
      <c r="AA46" s="472">
        <f t="shared" si="7"/>
        <v>38</v>
      </c>
      <c r="AB46" s="480"/>
      <c r="AC46" s="480"/>
      <c r="AD46" s="480"/>
      <c r="AE46" s="480"/>
      <c r="AF46" s="480"/>
      <c r="AG46" s="480"/>
    </row>
    <row r="47" spans="1:33" s="471" customFormat="1" hidden="1">
      <c r="A47" s="420">
        <f t="shared" si="8"/>
        <v>37</v>
      </c>
      <c r="B47" s="585">
        <f t="shared" si="9"/>
        <v>0</v>
      </c>
      <c r="C47" s="533">
        <f t="shared" si="10"/>
        <v>0</v>
      </c>
      <c r="D47" s="533">
        <f t="shared" si="11"/>
        <v>0</v>
      </c>
      <c r="E47" s="420"/>
      <c r="F47" s="420" t="str">
        <f t="shared" si="12"/>
        <v>Vacant</v>
      </c>
      <c r="G47" s="586">
        <f t="shared" si="13"/>
        <v>0</v>
      </c>
      <c r="H47" s="581"/>
      <c r="J47" s="582">
        <f>HLOOKUP($J$7,'MR-Stat Data Sheet Bud'!$U$8:$AF$1081,$AA47,FALSE)</f>
        <v>0</v>
      </c>
      <c r="K47" s="582">
        <f>HLOOKUP($J$7,'MR-Stat Data Sheet Bud'!$AS$8:$BD$1081,$AA47,FALSE)</f>
        <v>0</v>
      </c>
      <c r="L47" s="582">
        <f t="shared" si="14"/>
        <v>0</v>
      </c>
      <c r="N47" s="582">
        <f>HLOOKUP($J$7,'MR-Stat Data Sheet Bud'!$BE$8:$BP$1081,$AA47,FALSE)</f>
        <v>0</v>
      </c>
      <c r="O47" s="582">
        <f>HLOOKUP($J$7,'MR-Stat Data Sheet Bud'!$BQ$8:$CB$1081,$AA47,FALSE)</f>
        <v>0</v>
      </c>
      <c r="P47" s="582">
        <f t="shared" si="15"/>
        <v>0</v>
      </c>
      <c r="Q47" s="583"/>
      <c r="S47" s="482">
        <v>0</v>
      </c>
      <c r="T47" s="582">
        <v>0</v>
      </c>
      <c r="U47" s="583"/>
      <c r="V47" s="480"/>
      <c r="W47" s="480"/>
      <c r="X47" s="480"/>
      <c r="Y47" s="480"/>
      <c r="Z47" s="480"/>
      <c r="AA47" s="472">
        <f t="shared" si="7"/>
        <v>39</v>
      </c>
      <c r="AB47" s="480"/>
      <c r="AC47" s="480"/>
      <c r="AD47" s="480"/>
      <c r="AE47" s="480"/>
      <c r="AF47" s="480"/>
      <c r="AG47" s="480"/>
    </row>
    <row r="48" spans="1:33" s="471" customFormat="1" hidden="1">
      <c r="A48" s="420">
        <f t="shared" si="8"/>
        <v>38</v>
      </c>
      <c r="B48" s="585">
        <f t="shared" si="9"/>
        <v>0</v>
      </c>
      <c r="C48" s="533">
        <f t="shared" si="10"/>
        <v>0</v>
      </c>
      <c r="D48" s="533">
        <f t="shared" si="11"/>
        <v>0</v>
      </c>
      <c r="E48" s="420"/>
      <c r="F48" s="420" t="str">
        <f t="shared" si="12"/>
        <v>Vacant</v>
      </c>
      <c r="G48" s="586">
        <f t="shared" si="13"/>
        <v>0</v>
      </c>
      <c r="H48" s="581"/>
      <c r="J48" s="582">
        <f>HLOOKUP($J$7,'MR-Stat Data Sheet Bud'!$U$8:$AF$1081,$AA48,FALSE)</f>
        <v>0</v>
      </c>
      <c r="K48" s="582">
        <f>HLOOKUP($J$7,'MR-Stat Data Sheet Bud'!$AS$8:$BD$1081,$AA48,FALSE)</f>
        <v>0</v>
      </c>
      <c r="L48" s="582">
        <f t="shared" si="14"/>
        <v>0</v>
      </c>
      <c r="N48" s="582">
        <f>HLOOKUP($J$7,'MR-Stat Data Sheet Bud'!$BE$8:$BP$1081,$AA48,FALSE)</f>
        <v>0</v>
      </c>
      <c r="O48" s="582">
        <f>HLOOKUP($J$7,'MR-Stat Data Sheet Bud'!$BQ$8:$CB$1081,$AA48,FALSE)</f>
        <v>0</v>
      </c>
      <c r="P48" s="582">
        <f t="shared" si="15"/>
        <v>0</v>
      </c>
      <c r="Q48" s="583"/>
      <c r="S48" s="482">
        <v>0</v>
      </c>
      <c r="T48" s="582">
        <v>0</v>
      </c>
      <c r="U48" s="583"/>
      <c r="V48" s="480"/>
      <c r="W48" s="480"/>
      <c r="X48" s="480"/>
      <c r="Y48" s="480"/>
      <c r="Z48" s="480"/>
      <c r="AA48" s="472">
        <f t="shared" si="7"/>
        <v>40</v>
      </c>
      <c r="AB48" s="480"/>
      <c r="AC48" s="480"/>
      <c r="AD48" s="480"/>
      <c r="AE48" s="480"/>
      <c r="AF48" s="480"/>
      <c r="AG48" s="480"/>
    </row>
    <row r="49" spans="1:33" s="471" customFormat="1" hidden="1">
      <c r="A49" s="420">
        <f t="shared" si="8"/>
        <v>39</v>
      </c>
      <c r="B49" s="585">
        <f t="shared" si="9"/>
        <v>0</v>
      </c>
      <c r="C49" s="533">
        <f t="shared" si="10"/>
        <v>0</v>
      </c>
      <c r="D49" s="533">
        <f t="shared" si="11"/>
        <v>0</v>
      </c>
      <c r="E49" s="420"/>
      <c r="F49" s="420" t="str">
        <f t="shared" si="12"/>
        <v>Vacant</v>
      </c>
      <c r="G49" s="586">
        <f t="shared" si="13"/>
        <v>0</v>
      </c>
      <c r="H49" s="581"/>
      <c r="J49" s="582">
        <f>HLOOKUP($J$7,'MR-Stat Data Sheet Bud'!$U$8:$AF$1081,$AA49,FALSE)</f>
        <v>0</v>
      </c>
      <c r="K49" s="582">
        <f>HLOOKUP($J$7,'MR-Stat Data Sheet Bud'!$AS$8:$BD$1081,$AA49,FALSE)</f>
        <v>0</v>
      </c>
      <c r="L49" s="582">
        <f t="shared" si="14"/>
        <v>0</v>
      </c>
      <c r="N49" s="582">
        <f>HLOOKUP($J$7,'MR-Stat Data Sheet Bud'!$BE$8:$BP$1081,$AA49,FALSE)</f>
        <v>0</v>
      </c>
      <c r="O49" s="582">
        <f>HLOOKUP($J$7,'MR-Stat Data Sheet Bud'!$BQ$8:$CB$1081,$AA49,FALSE)</f>
        <v>0</v>
      </c>
      <c r="P49" s="582">
        <f t="shared" si="15"/>
        <v>0</v>
      </c>
      <c r="Q49" s="583"/>
      <c r="S49" s="482">
        <v>0</v>
      </c>
      <c r="T49" s="582">
        <v>0</v>
      </c>
      <c r="U49" s="583"/>
      <c r="V49" s="480"/>
      <c r="W49" s="480"/>
      <c r="X49" s="480"/>
      <c r="Y49" s="480"/>
      <c r="Z49" s="480"/>
      <c r="AA49" s="472">
        <f t="shared" si="7"/>
        <v>41</v>
      </c>
      <c r="AB49" s="480"/>
      <c r="AC49" s="480"/>
      <c r="AD49" s="480"/>
      <c r="AE49" s="480"/>
      <c r="AF49" s="480"/>
      <c r="AG49" s="480"/>
    </row>
    <row r="50" spans="1:33" s="471" customFormat="1" hidden="1">
      <c r="A50" s="420">
        <f t="shared" si="8"/>
        <v>40</v>
      </c>
      <c r="B50" s="585">
        <f t="shared" si="9"/>
        <v>0</v>
      </c>
      <c r="C50" s="533">
        <f t="shared" si="10"/>
        <v>0</v>
      </c>
      <c r="D50" s="533">
        <f t="shared" si="11"/>
        <v>0</v>
      </c>
      <c r="E50" s="420"/>
      <c r="F50" s="420" t="str">
        <f t="shared" si="12"/>
        <v>Vacant</v>
      </c>
      <c r="G50" s="586">
        <f t="shared" si="13"/>
        <v>0</v>
      </c>
      <c r="H50" s="581"/>
      <c r="J50" s="582">
        <f>HLOOKUP($J$7,'MR-Stat Data Sheet Bud'!$U$8:$AF$1081,$AA50,FALSE)</f>
        <v>0</v>
      </c>
      <c r="K50" s="582">
        <f>HLOOKUP($J$7,'MR-Stat Data Sheet Bud'!$AS$8:$BD$1081,$AA50,FALSE)</f>
        <v>0</v>
      </c>
      <c r="L50" s="582">
        <f t="shared" si="14"/>
        <v>0</v>
      </c>
      <c r="N50" s="582">
        <f>HLOOKUP($J$7,'MR-Stat Data Sheet Bud'!$BE$8:$BP$1081,$AA50,FALSE)</f>
        <v>0</v>
      </c>
      <c r="O50" s="582">
        <f>HLOOKUP($J$7,'MR-Stat Data Sheet Bud'!$BQ$8:$CB$1081,$AA50,FALSE)</f>
        <v>0</v>
      </c>
      <c r="P50" s="582">
        <f t="shared" si="15"/>
        <v>0</v>
      </c>
      <c r="Q50" s="583"/>
      <c r="S50" s="482">
        <v>0</v>
      </c>
      <c r="T50" s="582">
        <v>0</v>
      </c>
      <c r="U50" s="583"/>
      <c r="V50" s="480"/>
      <c r="W50" s="480"/>
      <c r="X50" s="480"/>
      <c r="Y50" s="480"/>
      <c r="Z50" s="480"/>
      <c r="AA50" s="472">
        <f t="shared" si="7"/>
        <v>42</v>
      </c>
      <c r="AB50" s="480"/>
      <c r="AC50" s="480"/>
      <c r="AD50" s="480"/>
      <c r="AE50" s="480"/>
      <c r="AF50" s="480"/>
      <c r="AG50" s="480"/>
    </row>
    <row r="51" spans="1:33" s="471" customFormat="1" hidden="1">
      <c r="A51" s="420">
        <f t="shared" si="8"/>
        <v>41</v>
      </c>
      <c r="B51" s="585">
        <f t="shared" si="9"/>
        <v>0</v>
      </c>
      <c r="C51" s="533">
        <f t="shared" si="10"/>
        <v>0</v>
      </c>
      <c r="D51" s="533">
        <f t="shared" si="11"/>
        <v>0</v>
      </c>
      <c r="E51" s="420"/>
      <c r="F51" s="420" t="str">
        <f t="shared" si="12"/>
        <v>Vacant</v>
      </c>
      <c r="G51" s="586">
        <f t="shared" si="13"/>
        <v>0</v>
      </c>
      <c r="H51" s="581"/>
      <c r="J51" s="582">
        <f>HLOOKUP($J$7,'MR-Stat Data Sheet Bud'!$U$8:$AF$1081,$AA51,FALSE)</f>
        <v>0</v>
      </c>
      <c r="K51" s="582">
        <f>HLOOKUP($J$7,'MR-Stat Data Sheet Bud'!$AS$8:$BD$1081,$AA51,FALSE)</f>
        <v>0</v>
      </c>
      <c r="L51" s="582">
        <f t="shared" si="14"/>
        <v>0</v>
      </c>
      <c r="N51" s="582">
        <f>HLOOKUP($J$7,'MR-Stat Data Sheet Bud'!$BE$8:$BP$1081,$AA51,FALSE)</f>
        <v>0</v>
      </c>
      <c r="O51" s="582">
        <f>HLOOKUP($J$7,'MR-Stat Data Sheet Bud'!$BQ$8:$CB$1081,$AA51,FALSE)</f>
        <v>0</v>
      </c>
      <c r="P51" s="582">
        <f t="shared" si="15"/>
        <v>0</v>
      </c>
      <c r="Q51" s="583"/>
      <c r="S51" s="482">
        <v>0</v>
      </c>
      <c r="T51" s="582">
        <v>0</v>
      </c>
      <c r="U51" s="583"/>
      <c r="V51" s="480"/>
      <c r="W51" s="480"/>
      <c r="X51" s="480"/>
      <c r="Y51" s="480"/>
      <c r="Z51" s="480"/>
      <c r="AA51" s="472">
        <f t="shared" si="7"/>
        <v>43</v>
      </c>
      <c r="AB51" s="480"/>
      <c r="AC51" s="480"/>
      <c r="AD51" s="480"/>
      <c r="AE51" s="480"/>
      <c r="AF51" s="480"/>
      <c r="AG51" s="480"/>
    </row>
    <row r="52" spans="1:33" s="471" customFormat="1" hidden="1">
      <c r="A52" s="420">
        <f t="shared" si="8"/>
        <v>42</v>
      </c>
      <c r="B52" s="585">
        <f t="shared" si="9"/>
        <v>0</v>
      </c>
      <c r="C52" s="533">
        <f t="shared" si="10"/>
        <v>0</v>
      </c>
      <c r="D52" s="533">
        <f t="shared" si="11"/>
        <v>0</v>
      </c>
      <c r="E52" s="420"/>
      <c r="F52" s="420" t="str">
        <f t="shared" si="12"/>
        <v>Vacant</v>
      </c>
      <c r="G52" s="586">
        <f t="shared" si="13"/>
        <v>0</v>
      </c>
      <c r="H52" s="581"/>
      <c r="J52" s="582">
        <f>HLOOKUP($J$7,'MR-Stat Data Sheet Bud'!$U$8:$AF$1081,$AA52,FALSE)</f>
        <v>0</v>
      </c>
      <c r="K52" s="582">
        <f>HLOOKUP($J$7,'MR-Stat Data Sheet Bud'!$AS$8:$BD$1081,$AA52,FALSE)</f>
        <v>0</v>
      </c>
      <c r="L52" s="582">
        <f t="shared" si="14"/>
        <v>0</v>
      </c>
      <c r="N52" s="582">
        <f>HLOOKUP($J$7,'MR-Stat Data Sheet Bud'!$BE$8:$BP$1081,$AA52,FALSE)</f>
        <v>0</v>
      </c>
      <c r="O52" s="582">
        <f>HLOOKUP($J$7,'MR-Stat Data Sheet Bud'!$BQ$8:$CB$1081,$AA52,FALSE)</f>
        <v>0</v>
      </c>
      <c r="P52" s="582">
        <f t="shared" si="15"/>
        <v>0</v>
      </c>
      <c r="Q52" s="583"/>
      <c r="S52" s="482">
        <v>0</v>
      </c>
      <c r="T52" s="582">
        <v>0</v>
      </c>
      <c r="U52" s="583"/>
      <c r="V52" s="480"/>
      <c r="W52" s="480"/>
      <c r="X52" s="480"/>
      <c r="Y52" s="480"/>
      <c r="Z52" s="480"/>
      <c r="AA52" s="472">
        <f t="shared" si="7"/>
        <v>44</v>
      </c>
      <c r="AB52" s="480"/>
      <c r="AC52" s="480"/>
      <c r="AD52" s="480"/>
      <c r="AE52" s="480"/>
      <c r="AF52" s="480"/>
      <c r="AG52" s="480"/>
    </row>
    <row r="53" spans="1:33" s="471" customFormat="1" hidden="1">
      <c r="A53" s="420">
        <f t="shared" si="8"/>
        <v>43</v>
      </c>
      <c r="B53" s="585">
        <f t="shared" si="9"/>
        <v>0</v>
      </c>
      <c r="C53" s="533">
        <f t="shared" si="10"/>
        <v>0</v>
      </c>
      <c r="D53" s="533">
        <f t="shared" si="11"/>
        <v>0</v>
      </c>
      <c r="E53" s="420"/>
      <c r="F53" s="420" t="str">
        <f t="shared" si="12"/>
        <v>Vacant</v>
      </c>
      <c r="G53" s="586">
        <f t="shared" si="13"/>
        <v>0</v>
      </c>
      <c r="H53" s="581"/>
      <c r="J53" s="582">
        <f>HLOOKUP($J$7,'MR-Stat Data Sheet Bud'!$U$8:$AF$1081,$AA53,FALSE)</f>
        <v>0</v>
      </c>
      <c r="K53" s="582">
        <f>HLOOKUP($J$7,'MR-Stat Data Sheet Bud'!$AS$8:$BD$1081,$AA53,FALSE)</f>
        <v>0</v>
      </c>
      <c r="L53" s="582">
        <f t="shared" si="14"/>
        <v>0</v>
      </c>
      <c r="N53" s="582">
        <f>HLOOKUP($J$7,'MR-Stat Data Sheet Bud'!$BE$8:$BP$1081,$AA53,FALSE)</f>
        <v>0</v>
      </c>
      <c r="O53" s="582">
        <f>HLOOKUP($J$7,'MR-Stat Data Sheet Bud'!$BQ$8:$CB$1081,$AA53,FALSE)</f>
        <v>0</v>
      </c>
      <c r="P53" s="582">
        <f t="shared" si="15"/>
        <v>0</v>
      </c>
      <c r="Q53" s="583"/>
      <c r="S53" s="482">
        <v>0</v>
      </c>
      <c r="T53" s="582">
        <v>0</v>
      </c>
      <c r="U53" s="583"/>
      <c r="V53" s="480"/>
      <c r="W53" s="480"/>
      <c r="X53" s="480"/>
      <c r="Y53" s="480"/>
      <c r="Z53" s="480"/>
      <c r="AA53" s="472">
        <f t="shared" si="7"/>
        <v>45</v>
      </c>
      <c r="AB53" s="480"/>
      <c r="AC53" s="480"/>
      <c r="AD53" s="480"/>
      <c r="AE53" s="480"/>
      <c r="AF53" s="480"/>
      <c r="AG53" s="480"/>
    </row>
    <row r="54" spans="1:33" s="471" customFormat="1" hidden="1">
      <c r="A54" s="420">
        <f t="shared" si="8"/>
        <v>44</v>
      </c>
      <c r="B54" s="585">
        <f t="shared" si="9"/>
        <v>0</v>
      </c>
      <c r="C54" s="533">
        <f t="shared" si="10"/>
        <v>0</v>
      </c>
      <c r="D54" s="533">
        <f t="shared" si="11"/>
        <v>0</v>
      </c>
      <c r="E54" s="420"/>
      <c r="F54" s="420" t="str">
        <f t="shared" si="12"/>
        <v>Vacant</v>
      </c>
      <c r="G54" s="586">
        <f t="shared" si="13"/>
        <v>0</v>
      </c>
      <c r="H54" s="581"/>
      <c r="J54" s="582">
        <f>HLOOKUP($J$7,'MR-Stat Data Sheet Bud'!$U$8:$AF$1081,$AA54,FALSE)</f>
        <v>0</v>
      </c>
      <c r="K54" s="582">
        <f>HLOOKUP($J$7,'MR-Stat Data Sheet Bud'!$AS$8:$BD$1081,$AA54,FALSE)</f>
        <v>0</v>
      </c>
      <c r="L54" s="582">
        <f t="shared" si="14"/>
        <v>0</v>
      </c>
      <c r="N54" s="582">
        <f>HLOOKUP($J$7,'MR-Stat Data Sheet Bud'!$BE$8:$BP$1081,$AA54,FALSE)</f>
        <v>0</v>
      </c>
      <c r="O54" s="582">
        <f>HLOOKUP($J$7,'MR-Stat Data Sheet Bud'!$BQ$8:$CB$1081,$AA54,FALSE)</f>
        <v>0</v>
      </c>
      <c r="P54" s="582">
        <f t="shared" si="15"/>
        <v>0</v>
      </c>
      <c r="Q54" s="583"/>
      <c r="S54" s="482">
        <v>0</v>
      </c>
      <c r="T54" s="582">
        <v>0</v>
      </c>
      <c r="U54" s="583"/>
      <c r="V54" s="480"/>
      <c r="W54" s="480"/>
      <c r="X54" s="480"/>
      <c r="Y54" s="480"/>
      <c r="Z54" s="480"/>
      <c r="AA54" s="472">
        <f t="shared" si="7"/>
        <v>46</v>
      </c>
      <c r="AB54" s="480"/>
      <c r="AC54" s="480"/>
      <c r="AD54" s="480"/>
      <c r="AE54" s="480"/>
      <c r="AF54" s="480"/>
      <c r="AG54" s="480"/>
    </row>
    <row r="55" spans="1:33" s="471" customFormat="1" hidden="1">
      <c r="A55" s="420">
        <f t="shared" si="8"/>
        <v>45</v>
      </c>
      <c r="B55" s="585">
        <f t="shared" si="9"/>
        <v>0</v>
      </c>
      <c r="C55" s="533">
        <f t="shared" si="10"/>
        <v>0</v>
      </c>
      <c r="D55" s="533">
        <f t="shared" si="11"/>
        <v>0</v>
      </c>
      <c r="E55" s="420"/>
      <c r="F55" s="420" t="str">
        <f t="shared" si="12"/>
        <v>Vacant</v>
      </c>
      <c r="G55" s="586">
        <f t="shared" si="13"/>
        <v>0</v>
      </c>
      <c r="H55" s="581"/>
      <c r="J55" s="582">
        <f>HLOOKUP($J$7,'MR-Stat Data Sheet Bud'!$U$8:$AF$1081,$AA55,FALSE)</f>
        <v>0</v>
      </c>
      <c r="K55" s="582">
        <f>HLOOKUP($J$7,'MR-Stat Data Sheet Bud'!$AS$8:$BD$1081,$AA55,FALSE)</f>
        <v>0</v>
      </c>
      <c r="L55" s="582">
        <f t="shared" si="14"/>
        <v>0</v>
      </c>
      <c r="N55" s="582">
        <f>HLOOKUP($J$7,'MR-Stat Data Sheet Bud'!$BE$8:$BP$1081,$AA55,FALSE)</f>
        <v>0</v>
      </c>
      <c r="O55" s="582">
        <f>HLOOKUP($J$7,'MR-Stat Data Sheet Bud'!$BQ$8:$CB$1081,$AA55,FALSE)</f>
        <v>0</v>
      </c>
      <c r="P55" s="582">
        <f t="shared" si="15"/>
        <v>0</v>
      </c>
      <c r="Q55" s="583"/>
      <c r="S55" s="482">
        <v>0</v>
      </c>
      <c r="T55" s="582">
        <v>0</v>
      </c>
      <c r="U55" s="583"/>
      <c r="V55" s="480"/>
      <c r="W55" s="480"/>
      <c r="X55" s="480"/>
      <c r="Y55" s="480"/>
      <c r="Z55" s="480"/>
      <c r="AA55" s="472">
        <f t="shared" si="7"/>
        <v>47</v>
      </c>
      <c r="AB55" s="480"/>
      <c r="AC55" s="480"/>
      <c r="AD55" s="480"/>
      <c r="AE55" s="480"/>
      <c r="AF55" s="480"/>
      <c r="AG55" s="480"/>
    </row>
    <row r="56" spans="1:33" s="471" customFormat="1" hidden="1">
      <c r="A56" s="420">
        <f t="shared" si="8"/>
        <v>46</v>
      </c>
      <c r="B56" s="585">
        <f t="shared" si="9"/>
        <v>0</v>
      </c>
      <c r="C56" s="533">
        <f t="shared" si="10"/>
        <v>0</v>
      </c>
      <c r="D56" s="533">
        <f t="shared" si="11"/>
        <v>0</v>
      </c>
      <c r="E56" s="420"/>
      <c r="F56" s="420" t="str">
        <f t="shared" si="12"/>
        <v>Vacant</v>
      </c>
      <c r="G56" s="586">
        <f t="shared" si="13"/>
        <v>0</v>
      </c>
      <c r="H56" s="581"/>
      <c r="J56" s="582">
        <f>HLOOKUP($J$7,'MR-Stat Data Sheet Bud'!$U$8:$AF$1081,$AA56,FALSE)</f>
        <v>0</v>
      </c>
      <c r="K56" s="582">
        <f>HLOOKUP($J$7,'MR-Stat Data Sheet Bud'!$AS$8:$BD$1081,$AA56,FALSE)</f>
        <v>0</v>
      </c>
      <c r="L56" s="582">
        <f t="shared" si="14"/>
        <v>0</v>
      </c>
      <c r="N56" s="582">
        <f>HLOOKUP($J$7,'MR-Stat Data Sheet Bud'!$BE$8:$BP$1081,$AA56,FALSE)</f>
        <v>0</v>
      </c>
      <c r="O56" s="582">
        <f>HLOOKUP($J$7,'MR-Stat Data Sheet Bud'!$BQ$8:$CB$1081,$AA56,FALSE)</f>
        <v>0</v>
      </c>
      <c r="P56" s="582">
        <f t="shared" si="15"/>
        <v>0</v>
      </c>
      <c r="Q56" s="583"/>
      <c r="S56" s="482">
        <v>0</v>
      </c>
      <c r="T56" s="582">
        <v>0</v>
      </c>
      <c r="U56" s="583"/>
      <c r="V56" s="480"/>
      <c r="W56" s="480"/>
      <c r="X56" s="480"/>
      <c r="Y56" s="480"/>
      <c r="Z56" s="480"/>
      <c r="AA56" s="472">
        <f t="shared" si="7"/>
        <v>48</v>
      </c>
      <c r="AB56" s="480"/>
      <c r="AC56" s="480"/>
      <c r="AD56" s="480"/>
      <c r="AE56" s="480"/>
      <c r="AF56" s="480"/>
      <c r="AG56" s="480"/>
    </row>
    <row r="57" spans="1:33" s="471" customFormat="1" hidden="1">
      <c r="A57" s="420">
        <f t="shared" si="8"/>
        <v>47</v>
      </c>
      <c r="B57" s="585">
        <f t="shared" si="9"/>
        <v>0</v>
      </c>
      <c r="C57" s="533">
        <f t="shared" si="10"/>
        <v>0</v>
      </c>
      <c r="D57" s="533">
        <f t="shared" si="11"/>
        <v>0</v>
      </c>
      <c r="E57" s="420"/>
      <c r="F57" s="420" t="str">
        <f t="shared" si="12"/>
        <v>Vacant</v>
      </c>
      <c r="G57" s="586">
        <f t="shared" si="13"/>
        <v>0</v>
      </c>
      <c r="H57" s="581"/>
      <c r="J57" s="582">
        <f>HLOOKUP($J$7,'MR-Stat Data Sheet Bud'!$U$8:$AF$1081,$AA57,FALSE)</f>
        <v>0</v>
      </c>
      <c r="K57" s="582">
        <f>HLOOKUP($J$7,'MR-Stat Data Sheet Bud'!$AS$8:$BD$1081,$AA57,FALSE)</f>
        <v>0</v>
      </c>
      <c r="L57" s="582">
        <f t="shared" si="14"/>
        <v>0</v>
      </c>
      <c r="N57" s="582">
        <f>HLOOKUP($J$7,'MR-Stat Data Sheet Bud'!$BE$8:$BP$1081,$AA57,FALSE)</f>
        <v>0</v>
      </c>
      <c r="O57" s="582">
        <f>HLOOKUP($J$7,'MR-Stat Data Sheet Bud'!$BQ$8:$CB$1081,$AA57,FALSE)</f>
        <v>0</v>
      </c>
      <c r="P57" s="582">
        <f t="shared" si="15"/>
        <v>0</v>
      </c>
      <c r="Q57" s="583"/>
      <c r="S57" s="482">
        <v>0</v>
      </c>
      <c r="T57" s="582">
        <v>0</v>
      </c>
      <c r="U57" s="583"/>
      <c r="V57" s="480"/>
      <c r="W57" s="480"/>
      <c r="X57" s="480"/>
      <c r="Y57" s="480"/>
      <c r="Z57" s="480"/>
      <c r="AA57" s="472">
        <f t="shared" si="7"/>
        <v>49</v>
      </c>
      <c r="AB57" s="480"/>
      <c r="AC57" s="480"/>
      <c r="AD57" s="480"/>
      <c r="AE57" s="480"/>
      <c r="AF57" s="480"/>
      <c r="AG57" s="480"/>
    </row>
    <row r="58" spans="1:33" s="471" customFormat="1" hidden="1">
      <c r="A58" s="420">
        <f t="shared" si="8"/>
        <v>48</v>
      </c>
      <c r="B58" s="585">
        <f t="shared" si="9"/>
        <v>0</v>
      </c>
      <c r="C58" s="533">
        <f t="shared" si="10"/>
        <v>0</v>
      </c>
      <c r="D58" s="533">
        <f t="shared" si="11"/>
        <v>0</v>
      </c>
      <c r="E58" s="420"/>
      <c r="F58" s="420" t="str">
        <f t="shared" si="12"/>
        <v>Vacant</v>
      </c>
      <c r="G58" s="586">
        <f t="shared" si="13"/>
        <v>0</v>
      </c>
      <c r="H58" s="581"/>
      <c r="J58" s="582">
        <f>HLOOKUP($J$7,'MR-Stat Data Sheet Bud'!$U$8:$AF$1081,$AA58,FALSE)</f>
        <v>0</v>
      </c>
      <c r="K58" s="582">
        <f>HLOOKUP($J$7,'MR-Stat Data Sheet Bud'!$AS$8:$BD$1081,$AA58,FALSE)</f>
        <v>0</v>
      </c>
      <c r="L58" s="582">
        <f t="shared" si="14"/>
        <v>0</v>
      </c>
      <c r="N58" s="582">
        <f>HLOOKUP($J$7,'MR-Stat Data Sheet Bud'!$BE$8:$BP$1081,$AA58,FALSE)</f>
        <v>0</v>
      </c>
      <c r="O58" s="582">
        <f>HLOOKUP($J$7,'MR-Stat Data Sheet Bud'!$BQ$8:$CB$1081,$AA58,FALSE)</f>
        <v>0</v>
      </c>
      <c r="P58" s="582">
        <f t="shared" si="15"/>
        <v>0</v>
      </c>
      <c r="Q58" s="583"/>
      <c r="S58" s="482">
        <v>0</v>
      </c>
      <c r="T58" s="582">
        <v>0</v>
      </c>
      <c r="U58" s="583"/>
      <c r="V58" s="480"/>
      <c r="W58" s="480"/>
      <c r="X58" s="480"/>
      <c r="Y58" s="480"/>
      <c r="Z58" s="480"/>
      <c r="AA58" s="472">
        <f t="shared" si="7"/>
        <v>50</v>
      </c>
      <c r="AB58" s="480"/>
      <c r="AC58" s="480"/>
      <c r="AD58" s="480"/>
      <c r="AE58" s="480"/>
      <c r="AF58" s="480"/>
      <c r="AG58" s="480"/>
    </row>
    <row r="59" spans="1:33" s="471" customFormat="1" hidden="1">
      <c r="A59" s="420">
        <f t="shared" si="8"/>
        <v>49</v>
      </c>
      <c r="B59" s="585">
        <f t="shared" si="9"/>
        <v>0</v>
      </c>
      <c r="C59" s="533">
        <f t="shared" si="10"/>
        <v>0</v>
      </c>
      <c r="D59" s="533">
        <f t="shared" si="11"/>
        <v>0</v>
      </c>
      <c r="E59" s="420"/>
      <c r="F59" s="420" t="str">
        <f t="shared" si="12"/>
        <v>Vacant</v>
      </c>
      <c r="G59" s="586">
        <f t="shared" si="13"/>
        <v>0</v>
      </c>
      <c r="H59" s="581"/>
      <c r="J59" s="582">
        <f>HLOOKUP($J$7,'MR-Stat Data Sheet Bud'!$U$8:$AF$1081,$AA59,FALSE)</f>
        <v>0</v>
      </c>
      <c r="K59" s="582">
        <f>HLOOKUP($J$7,'MR-Stat Data Sheet Bud'!$AS$8:$BD$1081,$AA59,FALSE)</f>
        <v>0</v>
      </c>
      <c r="L59" s="582">
        <f t="shared" si="14"/>
        <v>0</v>
      </c>
      <c r="N59" s="582">
        <f>HLOOKUP($J$7,'MR-Stat Data Sheet Bud'!$BE$8:$BP$1081,$AA59,FALSE)</f>
        <v>0</v>
      </c>
      <c r="O59" s="582">
        <f>HLOOKUP($J$7,'MR-Stat Data Sheet Bud'!$BQ$8:$CB$1081,$AA59,FALSE)</f>
        <v>0</v>
      </c>
      <c r="P59" s="582">
        <f t="shared" si="15"/>
        <v>0</v>
      </c>
      <c r="Q59" s="583"/>
      <c r="S59" s="482">
        <v>0</v>
      </c>
      <c r="T59" s="582">
        <v>0</v>
      </c>
      <c r="U59" s="583"/>
      <c r="V59" s="480"/>
      <c r="W59" s="480"/>
      <c r="X59" s="480"/>
      <c r="Y59" s="480"/>
      <c r="Z59" s="480"/>
      <c r="AA59" s="472">
        <f t="shared" si="7"/>
        <v>51</v>
      </c>
      <c r="AB59" s="480"/>
      <c r="AC59" s="480"/>
      <c r="AD59" s="480"/>
      <c r="AE59" s="480"/>
      <c r="AF59" s="480"/>
      <c r="AG59" s="480"/>
    </row>
    <row r="60" spans="1:33" s="471" customFormat="1" hidden="1">
      <c r="A60" s="420">
        <f t="shared" si="8"/>
        <v>50</v>
      </c>
      <c r="B60" s="585">
        <f t="shared" si="9"/>
        <v>0</v>
      </c>
      <c r="C60" s="533">
        <f t="shared" si="10"/>
        <v>0</v>
      </c>
      <c r="D60" s="533">
        <f t="shared" si="11"/>
        <v>0</v>
      </c>
      <c r="E60" s="420"/>
      <c r="F60" s="420" t="str">
        <f t="shared" si="12"/>
        <v>Vacant</v>
      </c>
      <c r="G60" s="586">
        <f t="shared" si="13"/>
        <v>0</v>
      </c>
      <c r="H60" s="581"/>
      <c r="J60" s="582">
        <f>HLOOKUP($J$7,'MR-Stat Data Sheet Bud'!$U$8:$AF$1081,$AA60,FALSE)</f>
        <v>0</v>
      </c>
      <c r="K60" s="582">
        <f>HLOOKUP($J$7,'MR-Stat Data Sheet Bud'!$AS$8:$BD$1081,$AA60,FALSE)</f>
        <v>0</v>
      </c>
      <c r="L60" s="582">
        <f t="shared" si="14"/>
        <v>0</v>
      </c>
      <c r="N60" s="582">
        <f>HLOOKUP($J$7,'MR-Stat Data Sheet Bud'!$BE$8:$BP$1081,$AA60,FALSE)</f>
        <v>0</v>
      </c>
      <c r="O60" s="582">
        <f>HLOOKUP($J$7,'MR-Stat Data Sheet Bud'!$BQ$8:$CB$1081,$AA60,FALSE)</f>
        <v>0</v>
      </c>
      <c r="P60" s="582">
        <f t="shared" si="15"/>
        <v>0</v>
      </c>
      <c r="Q60" s="583"/>
      <c r="S60" s="482">
        <v>0</v>
      </c>
      <c r="T60" s="582">
        <v>0</v>
      </c>
      <c r="U60" s="583"/>
      <c r="V60" s="480"/>
      <c r="W60" s="480"/>
      <c r="X60" s="480"/>
      <c r="Y60" s="480"/>
      <c r="Z60" s="480"/>
      <c r="AA60" s="472">
        <f t="shared" si="7"/>
        <v>52</v>
      </c>
      <c r="AB60" s="480"/>
      <c r="AC60" s="480"/>
      <c r="AD60" s="480"/>
      <c r="AE60" s="480"/>
      <c r="AF60" s="480"/>
      <c r="AG60" s="480"/>
    </row>
    <row r="61" spans="1:33" s="471" customFormat="1" hidden="1">
      <c r="A61" s="420">
        <f t="shared" si="8"/>
        <v>51</v>
      </c>
      <c r="B61" s="585">
        <f t="shared" si="9"/>
        <v>0</v>
      </c>
      <c r="C61" s="533">
        <f t="shared" si="10"/>
        <v>0</v>
      </c>
      <c r="D61" s="533">
        <f t="shared" si="11"/>
        <v>0</v>
      </c>
      <c r="E61" s="420"/>
      <c r="F61" s="420" t="str">
        <f t="shared" si="12"/>
        <v>Vacant</v>
      </c>
      <c r="G61" s="586">
        <f t="shared" si="13"/>
        <v>0</v>
      </c>
      <c r="H61" s="581"/>
      <c r="J61" s="582">
        <f>HLOOKUP($J$7,'MR-Stat Data Sheet Bud'!$U$8:$AF$1081,$AA61,FALSE)</f>
        <v>0</v>
      </c>
      <c r="K61" s="582">
        <f>HLOOKUP($J$7,'MR-Stat Data Sheet Bud'!$AS$8:$BD$1081,$AA61,FALSE)</f>
        <v>0</v>
      </c>
      <c r="L61" s="582">
        <f t="shared" si="14"/>
        <v>0</v>
      </c>
      <c r="N61" s="582">
        <f>HLOOKUP($J$7,'MR-Stat Data Sheet Bud'!$BE$8:$BP$1081,$AA61,FALSE)</f>
        <v>0</v>
      </c>
      <c r="O61" s="582">
        <f>HLOOKUP($J$7,'MR-Stat Data Sheet Bud'!$BQ$8:$CB$1081,$AA61,FALSE)</f>
        <v>0</v>
      </c>
      <c r="P61" s="582">
        <f t="shared" si="15"/>
        <v>0</v>
      </c>
      <c r="Q61" s="583"/>
      <c r="S61" s="482">
        <v>0</v>
      </c>
      <c r="T61" s="582">
        <v>0</v>
      </c>
      <c r="U61" s="583"/>
      <c r="V61" s="480"/>
      <c r="W61" s="480"/>
      <c r="X61" s="480"/>
      <c r="Y61" s="480"/>
      <c r="Z61" s="480"/>
      <c r="AA61" s="472">
        <f t="shared" si="7"/>
        <v>53</v>
      </c>
      <c r="AB61" s="480"/>
      <c r="AC61" s="480"/>
      <c r="AD61" s="480"/>
      <c r="AE61" s="480"/>
      <c r="AF61" s="480"/>
      <c r="AG61" s="480"/>
    </row>
    <row r="62" spans="1:33" s="471" customFormat="1" hidden="1">
      <c r="A62" s="420">
        <f t="shared" si="8"/>
        <v>52</v>
      </c>
      <c r="B62" s="585">
        <f t="shared" si="9"/>
        <v>0</v>
      </c>
      <c r="C62" s="533">
        <f t="shared" si="10"/>
        <v>0</v>
      </c>
      <c r="D62" s="533">
        <f t="shared" si="11"/>
        <v>0</v>
      </c>
      <c r="E62" s="420"/>
      <c r="F62" s="420" t="str">
        <f t="shared" si="12"/>
        <v>Vacant</v>
      </c>
      <c r="G62" s="586">
        <f t="shared" si="13"/>
        <v>0</v>
      </c>
      <c r="H62" s="581"/>
      <c r="J62" s="582">
        <f>HLOOKUP($J$7,'MR-Stat Data Sheet Bud'!$U$8:$AF$1081,$AA62,FALSE)</f>
        <v>0</v>
      </c>
      <c r="K62" s="582">
        <f>HLOOKUP($J$7,'MR-Stat Data Sheet Bud'!$AS$8:$BD$1081,$AA62,FALSE)</f>
        <v>0</v>
      </c>
      <c r="L62" s="582">
        <f t="shared" si="14"/>
        <v>0</v>
      </c>
      <c r="N62" s="582">
        <f>HLOOKUP($J$7,'MR-Stat Data Sheet Bud'!$BE$8:$BP$1081,$AA62,FALSE)</f>
        <v>0</v>
      </c>
      <c r="O62" s="582">
        <f>HLOOKUP($J$7,'MR-Stat Data Sheet Bud'!$BQ$8:$CB$1081,$AA62,FALSE)</f>
        <v>0</v>
      </c>
      <c r="P62" s="582">
        <f t="shared" si="15"/>
        <v>0</v>
      </c>
      <c r="Q62" s="583"/>
      <c r="S62" s="482">
        <v>0</v>
      </c>
      <c r="T62" s="582">
        <v>0</v>
      </c>
      <c r="U62" s="583"/>
      <c r="V62" s="480"/>
      <c r="W62" s="480"/>
      <c r="X62" s="480"/>
      <c r="Y62" s="480"/>
      <c r="Z62" s="480"/>
      <c r="AA62" s="472">
        <f t="shared" si="7"/>
        <v>54</v>
      </c>
      <c r="AB62" s="480"/>
      <c r="AC62" s="480"/>
      <c r="AD62" s="480"/>
      <c r="AE62" s="480"/>
      <c r="AF62" s="480"/>
      <c r="AG62" s="480"/>
    </row>
    <row r="63" spans="1:33" s="471" customFormat="1" hidden="1">
      <c r="A63" s="420">
        <f t="shared" si="8"/>
        <v>53</v>
      </c>
      <c r="B63" s="585">
        <f t="shared" si="9"/>
        <v>0</v>
      </c>
      <c r="C63" s="533">
        <f t="shared" si="10"/>
        <v>0</v>
      </c>
      <c r="D63" s="533">
        <f t="shared" si="11"/>
        <v>0</v>
      </c>
      <c r="E63" s="420"/>
      <c r="F63" s="420" t="str">
        <f t="shared" si="12"/>
        <v>Vacant</v>
      </c>
      <c r="G63" s="586">
        <f t="shared" si="13"/>
        <v>0</v>
      </c>
      <c r="H63" s="581"/>
      <c r="J63" s="582">
        <f>HLOOKUP($J$7,'MR-Stat Data Sheet Bud'!$U$8:$AF$1081,$AA63,FALSE)</f>
        <v>0</v>
      </c>
      <c r="K63" s="582">
        <f>HLOOKUP($J$7,'MR-Stat Data Sheet Bud'!$AS$8:$BD$1081,$AA63,FALSE)</f>
        <v>0</v>
      </c>
      <c r="L63" s="582">
        <f t="shared" si="14"/>
        <v>0</v>
      </c>
      <c r="N63" s="582">
        <f>HLOOKUP($J$7,'MR-Stat Data Sheet Bud'!$BE$8:$BP$1081,$AA63,FALSE)</f>
        <v>0</v>
      </c>
      <c r="O63" s="582">
        <f>HLOOKUP($J$7,'MR-Stat Data Sheet Bud'!$BQ$8:$CB$1081,$AA63,FALSE)</f>
        <v>0</v>
      </c>
      <c r="P63" s="582">
        <f t="shared" si="15"/>
        <v>0</v>
      </c>
      <c r="Q63" s="583"/>
      <c r="S63" s="482">
        <v>0</v>
      </c>
      <c r="T63" s="582">
        <v>0</v>
      </c>
      <c r="U63" s="583"/>
      <c r="V63" s="480"/>
      <c r="W63" s="480"/>
      <c r="X63" s="480"/>
      <c r="Y63" s="480"/>
      <c r="Z63" s="480"/>
      <c r="AA63" s="472">
        <f t="shared" si="7"/>
        <v>55</v>
      </c>
      <c r="AB63" s="480"/>
      <c r="AC63" s="480"/>
      <c r="AD63" s="480"/>
      <c r="AE63" s="480"/>
      <c r="AF63" s="480"/>
      <c r="AG63" s="480"/>
    </row>
    <row r="64" spans="1:33" s="471" customFormat="1" hidden="1">
      <c r="A64" s="420">
        <f t="shared" si="8"/>
        <v>54</v>
      </c>
      <c r="B64" s="585">
        <f t="shared" si="9"/>
        <v>0</v>
      </c>
      <c r="C64" s="533">
        <f t="shared" si="10"/>
        <v>0</v>
      </c>
      <c r="D64" s="533">
        <f t="shared" si="11"/>
        <v>0</v>
      </c>
      <c r="E64" s="420"/>
      <c r="F64" s="420" t="str">
        <f t="shared" si="12"/>
        <v>Vacant</v>
      </c>
      <c r="G64" s="586">
        <f t="shared" si="13"/>
        <v>0</v>
      </c>
      <c r="H64" s="581"/>
      <c r="J64" s="582">
        <f>HLOOKUP($J$7,'MR-Stat Data Sheet Bud'!$U$8:$AF$1081,$AA64,FALSE)</f>
        <v>0</v>
      </c>
      <c r="K64" s="582">
        <f>HLOOKUP($J$7,'MR-Stat Data Sheet Bud'!$AS$8:$BD$1081,$AA64,FALSE)</f>
        <v>0</v>
      </c>
      <c r="L64" s="582">
        <f t="shared" si="14"/>
        <v>0</v>
      </c>
      <c r="N64" s="582">
        <f>HLOOKUP($J$7,'MR-Stat Data Sheet Bud'!$BE$8:$BP$1081,$AA64,FALSE)</f>
        <v>0</v>
      </c>
      <c r="O64" s="582">
        <f>HLOOKUP($J$7,'MR-Stat Data Sheet Bud'!$BQ$8:$CB$1081,$AA64,FALSE)</f>
        <v>0</v>
      </c>
      <c r="P64" s="582">
        <f t="shared" si="15"/>
        <v>0</v>
      </c>
      <c r="Q64" s="583"/>
      <c r="S64" s="482">
        <v>0</v>
      </c>
      <c r="T64" s="582">
        <v>0</v>
      </c>
      <c r="U64" s="583"/>
      <c r="V64" s="480"/>
      <c r="W64" s="480"/>
      <c r="X64" s="480"/>
      <c r="Y64" s="480"/>
      <c r="Z64" s="480"/>
      <c r="AA64" s="472">
        <f t="shared" si="7"/>
        <v>56</v>
      </c>
      <c r="AB64" s="480"/>
      <c r="AC64" s="480"/>
      <c r="AD64" s="480"/>
      <c r="AE64" s="480"/>
      <c r="AF64" s="480"/>
      <c r="AG64" s="480"/>
    </row>
    <row r="65" spans="1:33" s="471" customFormat="1" hidden="1">
      <c r="A65" s="420">
        <f t="shared" si="8"/>
        <v>55</v>
      </c>
      <c r="B65" s="585">
        <f t="shared" si="9"/>
        <v>0</v>
      </c>
      <c r="C65" s="533">
        <f t="shared" si="10"/>
        <v>0</v>
      </c>
      <c r="D65" s="533">
        <f t="shared" si="11"/>
        <v>0</v>
      </c>
      <c r="E65" s="420"/>
      <c r="F65" s="420" t="str">
        <f t="shared" si="12"/>
        <v>Vacant</v>
      </c>
      <c r="G65" s="586">
        <f t="shared" si="13"/>
        <v>0</v>
      </c>
      <c r="H65" s="581"/>
      <c r="J65" s="582">
        <f>HLOOKUP($J$7,'MR-Stat Data Sheet Bud'!$U$8:$AF$1081,$AA65,FALSE)</f>
        <v>0</v>
      </c>
      <c r="K65" s="582">
        <f>HLOOKUP($J$7,'MR-Stat Data Sheet Bud'!$AS$8:$BD$1081,$AA65,FALSE)</f>
        <v>0</v>
      </c>
      <c r="L65" s="582">
        <f t="shared" si="14"/>
        <v>0</v>
      </c>
      <c r="N65" s="582">
        <f>HLOOKUP($J$7,'MR-Stat Data Sheet Bud'!$BE$8:$BP$1081,$AA65,FALSE)</f>
        <v>0</v>
      </c>
      <c r="O65" s="582">
        <f>HLOOKUP($J$7,'MR-Stat Data Sheet Bud'!$BQ$8:$CB$1081,$AA65,FALSE)</f>
        <v>0</v>
      </c>
      <c r="P65" s="582">
        <f t="shared" si="15"/>
        <v>0</v>
      </c>
      <c r="Q65" s="583"/>
      <c r="S65" s="482">
        <v>0</v>
      </c>
      <c r="T65" s="582">
        <v>0</v>
      </c>
      <c r="U65" s="583"/>
      <c r="V65" s="480"/>
      <c r="W65" s="480"/>
      <c r="X65" s="480"/>
      <c r="Y65" s="480"/>
      <c r="Z65" s="480"/>
      <c r="AA65" s="472">
        <f t="shared" si="7"/>
        <v>57</v>
      </c>
      <c r="AB65" s="480"/>
      <c r="AC65" s="480"/>
      <c r="AD65" s="480"/>
      <c r="AE65" s="480"/>
      <c r="AF65" s="480"/>
      <c r="AG65" s="480"/>
    </row>
    <row r="66" spans="1:33" s="471" customFormat="1" hidden="1">
      <c r="A66" s="420">
        <f t="shared" si="8"/>
        <v>56</v>
      </c>
      <c r="B66" s="585">
        <f t="shared" si="9"/>
        <v>0</v>
      </c>
      <c r="C66" s="533">
        <f t="shared" si="10"/>
        <v>0</v>
      </c>
      <c r="D66" s="533">
        <f t="shared" si="11"/>
        <v>0</v>
      </c>
      <c r="E66" s="420"/>
      <c r="F66" s="420" t="str">
        <f t="shared" si="12"/>
        <v>Vacant</v>
      </c>
      <c r="G66" s="586">
        <f t="shared" si="13"/>
        <v>0</v>
      </c>
      <c r="H66" s="581"/>
      <c r="J66" s="582">
        <f>HLOOKUP($J$7,'MR-Stat Data Sheet Bud'!$U$8:$AF$1081,$AA66,FALSE)</f>
        <v>0</v>
      </c>
      <c r="K66" s="582">
        <f>HLOOKUP($J$7,'MR-Stat Data Sheet Bud'!$AS$8:$BD$1081,$AA66,FALSE)</f>
        <v>0</v>
      </c>
      <c r="L66" s="582">
        <f t="shared" si="14"/>
        <v>0</v>
      </c>
      <c r="N66" s="582">
        <f>HLOOKUP($J$7,'MR-Stat Data Sheet Bud'!$BE$8:$BP$1081,$AA66,FALSE)</f>
        <v>0</v>
      </c>
      <c r="O66" s="582">
        <f>HLOOKUP($J$7,'MR-Stat Data Sheet Bud'!$BQ$8:$CB$1081,$AA66,FALSE)</f>
        <v>0</v>
      </c>
      <c r="P66" s="582">
        <f t="shared" si="15"/>
        <v>0</v>
      </c>
      <c r="Q66" s="583"/>
      <c r="S66" s="482">
        <v>0</v>
      </c>
      <c r="T66" s="582">
        <v>0</v>
      </c>
      <c r="U66" s="583"/>
      <c r="V66" s="480"/>
      <c r="W66" s="480"/>
      <c r="X66" s="480"/>
      <c r="Y66" s="480"/>
      <c r="Z66" s="480"/>
      <c r="AA66" s="472">
        <f t="shared" si="7"/>
        <v>58</v>
      </c>
      <c r="AB66" s="480"/>
      <c r="AC66" s="480"/>
      <c r="AD66" s="480"/>
      <c r="AE66" s="480"/>
      <c r="AF66" s="480"/>
      <c r="AG66" s="480"/>
    </row>
    <row r="67" spans="1:33" s="471" customFormat="1" hidden="1">
      <c r="A67" s="420">
        <f t="shared" si="8"/>
        <v>57</v>
      </c>
      <c r="B67" s="585">
        <f t="shared" si="9"/>
        <v>0</v>
      </c>
      <c r="C67" s="533">
        <f t="shared" si="10"/>
        <v>0</v>
      </c>
      <c r="D67" s="533">
        <f t="shared" si="11"/>
        <v>0</v>
      </c>
      <c r="E67" s="420"/>
      <c r="F67" s="420" t="str">
        <f t="shared" si="12"/>
        <v>Vacant</v>
      </c>
      <c r="G67" s="586">
        <f t="shared" si="13"/>
        <v>0</v>
      </c>
      <c r="H67" s="581"/>
      <c r="J67" s="582">
        <f>HLOOKUP($J$7,'MR-Stat Data Sheet Bud'!$U$8:$AF$1081,$AA67,FALSE)</f>
        <v>0</v>
      </c>
      <c r="K67" s="582">
        <f>HLOOKUP($J$7,'MR-Stat Data Sheet Bud'!$AS$8:$BD$1081,$AA67,FALSE)</f>
        <v>0</v>
      </c>
      <c r="L67" s="582">
        <f t="shared" si="14"/>
        <v>0</v>
      </c>
      <c r="N67" s="582">
        <f>HLOOKUP($J$7,'MR-Stat Data Sheet Bud'!$BE$8:$BP$1081,$AA67,FALSE)</f>
        <v>0</v>
      </c>
      <c r="O67" s="582">
        <f>HLOOKUP($J$7,'MR-Stat Data Sheet Bud'!$BQ$8:$CB$1081,$AA67,FALSE)</f>
        <v>0</v>
      </c>
      <c r="P67" s="582">
        <f t="shared" si="15"/>
        <v>0</v>
      </c>
      <c r="Q67" s="583"/>
      <c r="S67" s="482">
        <v>0</v>
      </c>
      <c r="T67" s="582">
        <v>0</v>
      </c>
      <c r="U67" s="583"/>
      <c r="V67" s="480"/>
      <c r="W67" s="480"/>
      <c r="X67" s="480"/>
      <c r="Y67" s="480"/>
      <c r="Z67" s="480"/>
      <c r="AA67" s="472">
        <f t="shared" si="7"/>
        <v>59</v>
      </c>
      <c r="AB67" s="480"/>
      <c r="AC67" s="480"/>
      <c r="AD67" s="480"/>
      <c r="AE67" s="480"/>
      <c r="AF67" s="480"/>
      <c r="AG67" s="480"/>
    </row>
    <row r="68" spans="1:33" s="471" customFormat="1" hidden="1">
      <c r="A68" s="420">
        <f t="shared" si="8"/>
        <v>58</v>
      </c>
      <c r="B68" s="585">
        <f t="shared" si="9"/>
        <v>0</v>
      </c>
      <c r="C68" s="533">
        <f t="shared" si="10"/>
        <v>0</v>
      </c>
      <c r="D68" s="533">
        <f t="shared" si="11"/>
        <v>0</v>
      </c>
      <c r="E68" s="420"/>
      <c r="F68" s="420" t="str">
        <f t="shared" si="12"/>
        <v>Vacant</v>
      </c>
      <c r="G68" s="586">
        <f t="shared" si="13"/>
        <v>0</v>
      </c>
      <c r="H68" s="581"/>
      <c r="J68" s="582">
        <f>HLOOKUP($J$7,'MR-Stat Data Sheet Bud'!$U$8:$AF$1081,$AA68,FALSE)</f>
        <v>0</v>
      </c>
      <c r="K68" s="582">
        <f>HLOOKUP($J$7,'MR-Stat Data Sheet Bud'!$AS$8:$BD$1081,$AA68,FALSE)</f>
        <v>0</v>
      </c>
      <c r="L68" s="582">
        <f t="shared" si="14"/>
        <v>0</v>
      </c>
      <c r="N68" s="582">
        <f>HLOOKUP($J$7,'MR-Stat Data Sheet Bud'!$BE$8:$BP$1081,$AA68,FALSE)</f>
        <v>0</v>
      </c>
      <c r="O68" s="582">
        <f>HLOOKUP($J$7,'MR-Stat Data Sheet Bud'!$BQ$8:$CB$1081,$AA68,FALSE)</f>
        <v>0</v>
      </c>
      <c r="P68" s="582">
        <f t="shared" si="15"/>
        <v>0</v>
      </c>
      <c r="Q68" s="583"/>
      <c r="S68" s="482">
        <v>0</v>
      </c>
      <c r="T68" s="582">
        <v>0</v>
      </c>
      <c r="U68" s="583"/>
      <c r="V68" s="480"/>
      <c r="W68" s="480"/>
      <c r="X68" s="480"/>
      <c r="Y68" s="480"/>
      <c r="Z68" s="480"/>
      <c r="AA68" s="472">
        <f t="shared" si="7"/>
        <v>60</v>
      </c>
      <c r="AB68" s="480"/>
      <c r="AC68" s="480"/>
      <c r="AD68" s="480"/>
      <c r="AE68" s="480"/>
      <c r="AF68" s="480"/>
      <c r="AG68" s="480"/>
    </row>
    <row r="69" spans="1:33" s="471" customFormat="1" hidden="1">
      <c r="A69" s="420">
        <f t="shared" si="8"/>
        <v>59</v>
      </c>
      <c r="B69" s="585">
        <f t="shared" si="9"/>
        <v>0</v>
      </c>
      <c r="C69" s="533">
        <f t="shared" si="10"/>
        <v>0</v>
      </c>
      <c r="D69" s="533">
        <f t="shared" si="11"/>
        <v>0</v>
      </c>
      <c r="E69" s="420"/>
      <c r="F69" s="420" t="str">
        <f t="shared" si="12"/>
        <v>Vacant</v>
      </c>
      <c r="G69" s="586">
        <f t="shared" si="13"/>
        <v>0</v>
      </c>
      <c r="H69" s="581"/>
      <c r="J69" s="582">
        <f>HLOOKUP($J$7,'MR-Stat Data Sheet Bud'!$U$8:$AF$1081,$AA69,FALSE)</f>
        <v>0</v>
      </c>
      <c r="K69" s="582">
        <f>HLOOKUP($J$7,'MR-Stat Data Sheet Bud'!$AS$8:$BD$1081,$AA69,FALSE)</f>
        <v>0</v>
      </c>
      <c r="L69" s="582">
        <f t="shared" si="14"/>
        <v>0</v>
      </c>
      <c r="N69" s="582">
        <f>HLOOKUP($J$7,'MR-Stat Data Sheet Bud'!$BE$8:$BP$1081,$AA69,FALSE)</f>
        <v>0</v>
      </c>
      <c r="O69" s="582">
        <f>HLOOKUP($J$7,'MR-Stat Data Sheet Bud'!$BQ$8:$CB$1081,$AA69,FALSE)</f>
        <v>0</v>
      </c>
      <c r="P69" s="582">
        <f t="shared" si="15"/>
        <v>0</v>
      </c>
      <c r="Q69" s="583"/>
      <c r="S69" s="482">
        <v>0</v>
      </c>
      <c r="T69" s="582">
        <v>0</v>
      </c>
      <c r="U69" s="583"/>
      <c r="V69" s="480"/>
      <c r="W69" s="480"/>
      <c r="X69" s="480"/>
      <c r="Y69" s="480"/>
      <c r="Z69" s="480"/>
      <c r="AA69" s="472">
        <f t="shared" si="7"/>
        <v>61</v>
      </c>
      <c r="AB69" s="480"/>
      <c r="AC69" s="480"/>
      <c r="AD69" s="480"/>
      <c r="AE69" s="480"/>
      <c r="AF69" s="480"/>
      <c r="AG69" s="480"/>
    </row>
    <row r="70" spans="1:33" s="471" customFormat="1" hidden="1">
      <c r="A70" s="420">
        <f t="shared" si="8"/>
        <v>60</v>
      </c>
      <c r="B70" s="585">
        <f t="shared" si="9"/>
        <v>0</v>
      </c>
      <c r="C70" s="533">
        <f t="shared" si="10"/>
        <v>0</v>
      </c>
      <c r="D70" s="533">
        <f t="shared" si="11"/>
        <v>0</v>
      </c>
      <c r="E70" s="420"/>
      <c r="F70" s="420" t="str">
        <f t="shared" si="12"/>
        <v>Vacant</v>
      </c>
      <c r="G70" s="586">
        <f t="shared" si="13"/>
        <v>0</v>
      </c>
      <c r="H70" s="581"/>
      <c r="J70" s="582">
        <f>HLOOKUP($J$7,'MR-Stat Data Sheet Bud'!$U$8:$AF$1081,$AA70,FALSE)</f>
        <v>0</v>
      </c>
      <c r="K70" s="582">
        <f>HLOOKUP($J$7,'MR-Stat Data Sheet Bud'!$AS$8:$BD$1081,$AA70,FALSE)</f>
        <v>0</v>
      </c>
      <c r="L70" s="582">
        <f t="shared" si="14"/>
        <v>0</v>
      </c>
      <c r="N70" s="582">
        <f>HLOOKUP($J$7,'MR-Stat Data Sheet Bud'!$BE$8:$BP$1081,$AA70,FALSE)</f>
        <v>0</v>
      </c>
      <c r="O70" s="582">
        <f>HLOOKUP($J$7,'MR-Stat Data Sheet Bud'!$BQ$8:$CB$1081,$AA70,FALSE)</f>
        <v>0</v>
      </c>
      <c r="P70" s="582">
        <f t="shared" si="15"/>
        <v>0</v>
      </c>
      <c r="Q70" s="583"/>
      <c r="S70" s="482">
        <v>0</v>
      </c>
      <c r="T70" s="582">
        <v>0</v>
      </c>
      <c r="U70" s="583"/>
      <c r="V70" s="480"/>
      <c r="W70" s="480"/>
      <c r="X70" s="480"/>
      <c r="Y70" s="480"/>
      <c r="Z70" s="480"/>
      <c r="AA70" s="472">
        <f t="shared" si="7"/>
        <v>62</v>
      </c>
      <c r="AB70" s="480"/>
      <c r="AC70" s="480"/>
      <c r="AD70" s="480"/>
      <c r="AE70" s="480"/>
      <c r="AF70" s="480"/>
      <c r="AG70" s="480"/>
    </row>
    <row r="71" spans="1:33" s="471" customFormat="1" hidden="1">
      <c r="A71" s="420">
        <f t="shared" si="8"/>
        <v>61</v>
      </c>
      <c r="B71" s="585">
        <f t="shared" si="9"/>
        <v>0</v>
      </c>
      <c r="C71" s="533">
        <f t="shared" si="10"/>
        <v>0</v>
      </c>
      <c r="D71" s="533">
        <f t="shared" si="11"/>
        <v>0</v>
      </c>
      <c r="E71" s="420"/>
      <c r="F71" s="420" t="str">
        <f t="shared" si="12"/>
        <v>Vacant</v>
      </c>
      <c r="G71" s="586">
        <f t="shared" si="13"/>
        <v>0</v>
      </c>
      <c r="H71" s="581"/>
      <c r="J71" s="582">
        <f>HLOOKUP($J$7,'MR-Stat Data Sheet Bud'!$U$8:$AF$1081,$AA71,FALSE)</f>
        <v>0</v>
      </c>
      <c r="K71" s="582">
        <f>HLOOKUP($J$7,'MR-Stat Data Sheet Bud'!$AS$8:$BD$1081,$AA71,FALSE)</f>
        <v>0</v>
      </c>
      <c r="L71" s="582">
        <f t="shared" si="14"/>
        <v>0</v>
      </c>
      <c r="N71" s="582">
        <f>HLOOKUP($J$7,'MR-Stat Data Sheet Bud'!$BE$8:$BP$1081,$AA71,FALSE)</f>
        <v>0</v>
      </c>
      <c r="O71" s="582">
        <f>HLOOKUP($J$7,'MR-Stat Data Sheet Bud'!$BQ$8:$CB$1081,$AA71,FALSE)</f>
        <v>0</v>
      </c>
      <c r="P71" s="582">
        <f t="shared" si="15"/>
        <v>0</v>
      </c>
      <c r="Q71" s="583"/>
      <c r="S71" s="482">
        <v>0</v>
      </c>
      <c r="T71" s="582">
        <v>0</v>
      </c>
      <c r="U71" s="583"/>
      <c r="V71" s="480"/>
      <c r="W71" s="480"/>
      <c r="X71" s="480"/>
      <c r="Y71" s="480"/>
      <c r="Z71" s="480"/>
      <c r="AA71" s="472">
        <f t="shared" si="7"/>
        <v>63</v>
      </c>
      <c r="AB71" s="480"/>
      <c r="AC71" s="480"/>
      <c r="AD71" s="480"/>
      <c r="AE71" s="480"/>
      <c r="AF71" s="480"/>
      <c r="AG71" s="480"/>
    </row>
    <row r="72" spans="1:33" s="471" customFormat="1" hidden="1">
      <c r="A72" s="420">
        <f t="shared" si="8"/>
        <v>62</v>
      </c>
      <c r="B72" s="585">
        <f t="shared" si="9"/>
        <v>0</v>
      </c>
      <c r="C72" s="533">
        <f t="shared" si="10"/>
        <v>0</v>
      </c>
      <c r="D72" s="533">
        <f t="shared" si="11"/>
        <v>0</v>
      </c>
      <c r="E72" s="420"/>
      <c r="F72" s="420" t="str">
        <f t="shared" si="12"/>
        <v>Vacant</v>
      </c>
      <c r="G72" s="586">
        <f t="shared" si="13"/>
        <v>0</v>
      </c>
      <c r="H72" s="581"/>
      <c r="J72" s="582">
        <f>HLOOKUP($J$7,'MR-Stat Data Sheet Bud'!$U$8:$AF$1081,$AA72,FALSE)</f>
        <v>0</v>
      </c>
      <c r="K72" s="582">
        <f>HLOOKUP($J$7,'MR-Stat Data Sheet Bud'!$AS$8:$BD$1081,$AA72,FALSE)</f>
        <v>0</v>
      </c>
      <c r="L72" s="582">
        <f t="shared" si="14"/>
        <v>0</v>
      </c>
      <c r="N72" s="582">
        <f>HLOOKUP($J$7,'MR-Stat Data Sheet Bud'!$BE$8:$BP$1081,$AA72,FALSE)</f>
        <v>0</v>
      </c>
      <c r="O72" s="582">
        <f>HLOOKUP($J$7,'MR-Stat Data Sheet Bud'!$BQ$8:$CB$1081,$AA72,FALSE)</f>
        <v>0</v>
      </c>
      <c r="P72" s="582">
        <f t="shared" si="15"/>
        <v>0</v>
      </c>
      <c r="Q72" s="583"/>
      <c r="S72" s="482">
        <v>0</v>
      </c>
      <c r="T72" s="582">
        <v>0</v>
      </c>
      <c r="U72" s="583"/>
      <c r="V72" s="480"/>
      <c r="W72" s="480"/>
      <c r="X72" s="480"/>
      <c r="Y72" s="480"/>
      <c r="Z72" s="480"/>
      <c r="AA72" s="472">
        <f t="shared" si="7"/>
        <v>64</v>
      </c>
      <c r="AB72" s="480"/>
      <c r="AC72" s="480"/>
      <c r="AD72" s="480"/>
      <c r="AE72" s="480"/>
      <c r="AF72" s="480"/>
      <c r="AG72" s="480"/>
    </row>
    <row r="73" spans="1:33" s="471" customFormat="1" hidden="1">
      <c r="A73" s="420">
        <f t="shared" si="8"/>
        <v>63</v>
      </c>
      <c r="B73" s="585">
        <f t="shared" si="9"/>
        <v>0</v>
      </c>
      <c r="C73" s="533">
        <f t="shared" si="10"/>
        <v>0</v>
      </c>
      <c r="D73" s="533">
        <f t="shared" si="11"/>
        <v>0</v>
      </c>
      <c r="E73" s="420"/>
      <c r="F73" s="420" t="str">
        <f t="shared" si="12"/>
        <v>Vacant</v>
      </c>
      <c r="G73" s="586">
        <f t="shared" si="13"/>
        <v>0</v>
      </c>
      <c r="H73" s="581"/>
      <c r="J73" s="582">
        <f>HLOOKUP($J$7,'MR-Stat Data Sheet Bud'!$U$8:$AF$1081,$AA73,FALSE)</f>
        <v>0</v>
      </c>
      <c r="K73" s="582">
        <f>HLOOKUP($J$7,'MR-Stat Data Sheet Bud'!$AS$8:$BD$1081,$AA73,FALSE)</f>
        <v>0</v>
      </c>
      <c r="L73" s="582">
        <f t="shared" si="14"/>
        <v>0</v>
      </c>
      <c r="N73" s="582">
        <f>HLOOKUP($J$7,'MR-Stat Data Sheet Bud'!$BE$8:$BP$1081,$AA73,FALSE)</f>
        <v>0</v>
      </c>
      <c r="O73" s="582">
        <f>HLOOKUP($J$7,'MR-Stat Data Sheet Bud'!$BQ$8:$CB$1081,$AA73,FALSE)</f>
        <v>0</v>
      </c>
      <c r="P73" s="582">
        <f t="shared" si="15"/>
        <v>0</v>
      </c>
      <c r="Q73" s="583"/>
      <c r="S73" s="482">
        <v>0</v>
      </c>
      <c r="T73" s="582">
        <v>0</v>
      </c>
      <c r="U73" s="583"/>
      <c r="V73" s="480"/>
      <c r="W73" s="480"/>
      <c r="X73" s="480"/>
      <c r="Y73" s="480"/>
      <c r="Z73" s="480"/>
      <c r="AA73" s="472">
        <f t="shared" si="7"/>
        <v>65</v>
      </c>
      <c r="AB73" s="480"/>
      <c r="AC73" s="480"/>
      <c r="AD73" s="480"/>
      <c r="AE73" s="480"/>
      <c r="AF73" s="480"/>
      <c r="AG73" s="480"/>
    </row>
    <row r="74" spans="1:33" s="471" customFormat="1" hidden="1">
      <c r="A74" s="420">
        <f t="shared" si="8"/>
        <v>64</v>
      </c>
      <c r="B74" s="585">
        <f t="shared" si="9"/>
        <v>0</v>
      </c>
      <c r="C74" s="533">
        <f t="shared" si="10"/>
        <v>0</v>
      </c>
      <c r="D74" s="533">
        <f t="shared" si="11"/>
        <v>0</v>
      </c>
      <c r="E74" s="420"/>
      <c r="F74" s="420" t="str">
        <f t="shared" si="12"/>
        <v>Vacant</v>
      </c>
      <c r="G74" s="586">
        <f t="shared" si="13"/>
        <v>0</v>
      </c>
      <c r="H74" s="581"/>
      <c r="J74" s="582">
        <f>HLOOKUP($J$7,'MR-Stat Data Sheet Bud'!$U$8:$AF$1081,$AA74,FALSE)</f>
        <v>0</v>
      </c>
      <c r="K74" s="582">
        <f>HLOOKUP($J$7,'MR-Stat Data Sheet Bud'!$AS$8:$BD$1081,$AA74,FALSE)</f>
        <v>0</v>
      </c>
      <c r="L74" s="582">
        <f t="shared" si="14"/>
        <v>0</v>
      </c>
      <c r="N74" s="582">
        <f>HLOOKUP($J$7,'MR-Stat Data Sheet Bud'!$BE$8:$BP$1081,$AA74,FALSE)</f>
        <v>0</v>
      </c>
      <c r="O74" s="582">
        <f>HLOOKUP($J$7,'MR-Stat Data Sheet Bud'!$BQ$8:$CB$1081,$AA74,FALSE)</f>
        <v>0</v>
      </c>
      <c r="P74" s="582">
        <f t="shared" si="15"/>
        <v>0</v>
      </c>
      <c r="Q74" s="583"/>
      <c r="S74" s="482">
        <v>0</v>
      </c>
      <c r="T74" s="582">
        <v>0</v>
      </c>
      <c r="U74" s="583"/>
      <c r="V74" s="480"/>
      <c r="W74" s="480"/>
      <c r="X74" s="480"/>
      <c r="Y74" s="480"/>
      <c r="Z74" s="480"/>
      <c r="AA74" s="472">
        <f t="shared" si="7"/>
        <v>66</v>
      </c>
      <c r="AB74" s="480"/>
      <c r="AC74" s="480"/>
      <c r="AD74" s="480"/>
      <c r="AE74" s="480"/>
      <c r="AF74" s="480"/>
      <c r="AG74" s="480"/>
    </row>
    <row r="75" spans="1:33" s="471" customFormat="1" hidden="1">
      <c r="A75" s="420">
        <f t="shared" si="8"/>
        <v>65</v>
      </c>
      <c r="B75" s="585">
        <f t="shared" ref="B75:B106" si="16">VLOOKUP($A75,Suite_Data,2,FALSE)</f>
        <v>0</v>
      </c>
      <c r="C75" s="533">
        <f t="shared" ref="C75:C106" si="17">VLOOKUP($A75,Suite_Data,3,FALSE)</f>
        <v>0</v>
      </c>
      <c r="D75" s="533">
        <f t="shared" ref="D75:D106" si="18">VLOOKUP($A75,Suite_Data,4,FALSE)</f>
        <v>0</v>
      </c>
      <c r="E75" s="420"/>
      <c r="F75" s="420" t="str">
        <f t="shared" ref="F75:F106" si="19">IF(HLOOKUP($J$7,Actual_Sqft,AA75,FALSE)&gt;0,"Occupied","Vacant")</f>
        <v>Vacant</v>
      </c>
      <c r="G75" s="586">
        <f t="shared" ref="G75:G106" si="20">VLOOKUP($A75,Suite_Data,6,FALSE)</f>
        <v>0</v>
      </c>
      <c r="H75" s="581"/>
      <c r="J75" s="582">
        <f>HLOOKUP($J$7,'MR-Stat Data Sheet Bud'!$U$8:$AF$1081,$AA75,FALSE)</f>
        <v>0</v>
      </c>
      <c r="K75" s="582">
        <f>HLOOKUP($J$7,'MR-Stat Data Sheet Bud'!$AS$8:$BD$1081,$AA75,FALSE)</f>
        <v>0</v>
      </c>
      <c r="L75" s="582">
        <f t="shared" ref="L75:L106" si="21">+J75-K75</f>
        <v>0</v>
      </c>
      <c r="N75" s="582">
        <f>HLOOKUP($J$7,'MR-Stat Data Sheet Bud'!$BE$8:$BP$1081,$AA75,FALSE)</f>
        <v>0</v>
      </c>
      <c r="O75" s="582">
        <f>HLOOKUP($J$7,'MR-Stat Data Sheet Bud'!$BQ$8:$CB$1081,$AA75,FALSE)</f>
        <v>0</v>
      </c>
      <c r="P75" s="582">
        <f t="shared" ref="P75:P106" si="22">+N75-O75</f>
        <v>0</v>
      </c>
      <c r="Q75" s="583"/>
      <c r="S75" s="482">
        <v>0</v>
      </c>
      <c r="T75" s="582">
        <v>0</v>
      </c>
      <c r="U75" s="583"/>
      <c r="V75" s="480"/>
      <c r="W75" s="480"/>
      <c r="X75" s="480"/>
      <c r="Y75" s="480"/>
      <c r="Z75" s="480"/>
      <c r="AA75" s="472">
        <f t="shared" si="7"/>
        <v>67</v>
      </c>
      <c r="AB75" s="480"/>
      <c r="AC75" s="480"/>
      <c r="AD75" s="480"/>
      <c r="AE75" s="480"/>
      <c r="AF75" s="480"/>
      <c r="AG75" s="480"/>
    </row>
    <row r="76" spans="1:33" s="471" customFormat="1" hidden="1">
      <c r="A76" s="420">
        <f t="shared" si="8"/>
        <v>66</v>
      </c>
      <c r="B76" s="585">
        <f t="shared" si="16"/>
        <v>0</v>
      </c>
      <c r="C76" s="533">
        <f t="shared" si="17"/>
        <v>0</v>
      </c>
      <c r="D76" s="533">
        <f t="shared" si="18"/>
        <v>0</v>
      </c>
      <c r="E76" s="420"/>
      <c r="F76" s="420" t="str">
        <f t="shared" si="19"/>
        <v>Vacant</v>
      </c>
      <c r="G76" s="586">
        <f t="shared" si="20"/>
        <v>0</v>
      </c>
      <c r="H76" s="581"/>
      <c r="J76" s="582">
        <f>HLOOKUP($J$7,'MR-Stat Data Sheet Bud'!$U$8:$AF$1081,$AA76,FALSE)</f>
        <v>0</v>
      </c>
      <c r="K76" s="582">
        <f>HLOOKUP($J$7,'MR-Stat Data Sheet Bud'!$AS$8:$BD$1081,$AA76,FALSE)</f>
        <v>0</v>
      </c>
      <c r="L76" s="582">
        <f t="shared" si="21"/>
        <v>0</v>
      </c>
      <c r="N76" s="582">
        <f>HLOOKUP($J$7,'MR-Stat Data Sheet Bud'!$BE$8:$BP$1081,$AA76,FALSE)</f>
        <v>0</v>
      </c>
      <c r="O76" s="582">
        <f>HLOOKUP($J$7,'MR-Stat Data Sheet Bud'!$BQ$8:$CB$1081,$AA76,FALSE)</f>
        <v>0</v>
      </c>
      <c r="P76" s="582">
        <f t="shared" si="22"/>
        <v>0</v>
      </c>
      <c r="Q76" s="583"/>
      <c r="S76" s="482">
        <v>0</v>
      </c>
      <c r="T76" s="582">
        <v>0</v>
      </c>
      <c r="U76" s="583"/>
      <c r="V76" s="480"/>
      <c r="W76" s="480"/>
      <c r="X76" s="480"/>
      <c r="Y76" s="480"/>
      <c r="Z76" s="480"/>
      <c r="AA76" s="472">
        <f t="shared" ref="AA76:AA139" si="23">1+AA75</f>
        <v>68</v>
      </c>
      <c r="AB76" s="480"/>
      <c r="AC76" s="480"/>
      <c r="AD76" s="480"/>
      <c r="AE76" s="480"/>
      <c r="AF76" s="480"/>
      <c r="AG76" s="480"/>
    </row>
    <row r="77" spans="1:33" s="471" customFormat="1" hidden="1">
      <c r="A77" s="420">
        <f t="shared" si="8"/>
        <v>67</v>
      </c>
      <c r="B77" s="585">
        <f t="shared" si="16"/>
        <v>0</v>
      </c>
      <c r="C77" s="533">
        <f t="shared" si="17"/>
        <v>0</v>
      </c>
      <c r="D77" s="533">
        <f t="shared" si="18"/>
        <v>0</v>
      </c>
      <c r="E77" s="420"/>
      <c r="F77" s="420" t="str">
        <f t="shared" si="19"/>
        <v>Vacant</v>
      </c>
      <c r="G77" s="586">
        <f t="shared" si="20"/>
        <v>0</v>
      </c>
      <c r="H77" s="581"/>
      <c r="J77" s="582">
        <f>HLOOKUP($J$7,'MR-Stat Data Sheet Bud'!$U$8:$AF$1081,$AA77,FALSE)</f>
        <v>0</v>
      </c>
      <c r="K77" s="582">
        <f>HLOOKUP($J$7,'MR-Stat Data Sheet Bud'!$AS$8:$BD$1081,$AA77,FALSE)</f>
        <v>0</v>
      </c>
      <c r="L77" s="582">
        <f t="shared" si="21"/>
        <v>0</v>
      </c>
      <c r="N77" s="582">
        <f>HLOOKUP($J$7,'MR-Stat Data Sheet Bud'!$BE$8:$BP$1081,$AA77,FALSE)</f>
        <v>0</v>
      </c>
      <c r="O77" s="582">
        <f>HLOOKUP($J$7,'MR-Stat Data Sheet Bud'!$BQ$8:$CB$1081,$AA77,FALSE)</f>
        <v>0</v>
      </c>
      <c r="P77" s="582">
        <f t="shared" si="22"/>
        <v>0</v>
      </c>
      <c r="Q77" s="583"/>
      <c r="S77" s="482">
        <v>0</v>
      </c>
      <c r="T77" s="582">
        <v>0</v>
      </c>
      <c r="U77" s="583"/>
      <c r="V77" s="480"/>
      <c r="W77" s="480"/>
      <c r="X77" s="480"/>
      <c r="Y77" s="480"/>
      <c r="Z77" s="480"/>
      <c r="AA77" s="472">
        <f t="shared" si="23"/>
        <v>69</v>
      </c>
      <c r="AB77" s="480"/>
      <c r="AC77" s="480"/>
      <c r="AD77" s="480"/>
      <c r="AE77" s="480"/>
      <c r="AF77" s="480"/>
      <c r="AG77" s="480"/>
    </row>
    <row r="78" spans="1:33" s="471" customFormat="1" hidden="1">
      <c r="A78" s="420">
        <f t="shared" si="8"/>
        <v>68</v>
      </c>
      <c r="B78" s="585">
        <f t="shared" si="16"/>
        <v>0</v>
      </c>
      <c r="C78" s="533">
        <f t="shared" si="17"/>
        <v>0</v>
      </c>
      <c r="D78" s="533">
        <f t="shared" si="18"/>
        <v>0</v>
      </c>
      <c r="E78" s="420"/>
      <c r="F78" s="420" t="str">
        <f t="shared" si="19"/>
        <v>Vacant</v>
      </c>
      <c r="G78" s="586">
        <f t="shared" si="20"/>
        <v>0</v>
      </c>
      <c r="H78" s="581"/>
      <c r="J78" s="582">
        <f>HLOOKUP($J$7,'MR-Stat Data Sheet Bud'!$U$8:$AF$1081,$AA78,FALSE)</f>
        <v>0</v>
      </c>
      <c r="K78" s="582">
        <f>HLOOKUP($J$7,'MR-Stat Data Sheet Bud'!$AS$8:$BD$1081,$AA78,FALSE)</f>
        <v>0</v>
      </c>
      <c r="L78" s="582">
        <f t="shared" si="21"/>
        <v>0</v>
      </c>
      <c r="N78" s="582">
        <f>HLOOKUP($J$7,'MR-Stat Data Sheet Bud'!$BE$8:$BP$1081,$AA78,FALSE)</f>
        <v>0</v>
      </c>
      <c r="O78" s="582">
        <f>HLOOKUP($J$7,'MR-Stat Data Sheet Bud'!$BQ$8:$CB$1081,$AA78,FALSE)</f>
        <v>0</v>
      </c>
      <c r="P78" s="582">
        <f t="shared" si="22"/>
        <v>0</v>
      </c>
      <c r="Q78" s="583"/>
      <c r="S78" s="482">
        <v>0</v>
      </c>
      <c r="T78" s="582">
        <v>0</v>
      </c>
      <c r="U78" s="583"/>
      <c r="V78" s="480"/>
      <c r="W78" s="480"/>
      <c r="X78" s="480"/>
      <c r="Y78" s="480"/>
      <c r="Z78" s="480"/>
      <c r="AA78" s="472">
        <f t="shared" si="23"/>
        <v>70</v>
      </c>
      <c r="AB78" s="480"/>
      <c r="AC78" s="480"/>
      <c r="AD78" s="480"/>
      <c r="AE78" s="480"/>
      <c r="AF78" s="480"/>
      <c r="AG78" s="480"/>
    </row>
    <row r="79" spans="1:33" s="471" customFormat="1" hidden="1">
      <c r="A79" s="420">
        <f t="shared" ref="A79:A142" si="24">+A78+1</f>
        <v>69</v>
      </c>
      <c r="B79" s="585">
        <f t="shared" si="16"/>
        <v>0</v>
      </c>
      <c r="C79" s="533">
        <f t="shared" si="17"/>
        <v>0</v>
      </c>
      <c r="D79" s="533">
        <f t="shared" si="18"/>
        <v>0</v>
      </c>
      <c r="E79" s="420"/>
      <c r="F79" s="420" t="str">
        <f t="shared" si="19"/>
        <v>Vacant</v>
      </c>
      <c r="G79" s="586">
        <f t="shared" si="20"/>
        <v>0</v>
      </c>
      <c r="H79" s="581"/>
      <c r="J79" s="582">
        <f>HLOOKUP($J$7,'MR-Stat Data Sheet Bud'!$U$8:$AF$1081,$AA79,FALSE)</f>
        <v>0</v>
      </c>
      <c r="K79" s="582">
        <f>HLOOKUP($J$7,'MR-Stat Data Sheet Bud'!$AS$8:$BD$1081,$AA79,FALSE)</f>
        <v>0</v>
      </c>
      <c r="L79" s="582">
        <f t="shared" si="21"/>
        <v>0</v>
      </c>
      <c r="N79" s="582">
        <f>HLOOKUP($J$7,'MR-Stat Data Sheet Bud'!$BE$8:$BP$1081,$AA79,FALSE)</f>
        <v>0</v>
      </c>
      <c r="O79" s="582">
        <f>HLOOKUP($J$7,'MR-Stat Data Sheet Bud'!$BQ$8:$CB$1081,$AA79,FALSE)</f>
        <v>0</v>
      </c>
      <c r="P79" s="582">
        <f t="shared" si="22"/>
        <v>0</v>
      </c>
      <c r="Q79" s="583"/>
      <c r="S79" s="482">
        <v>0</v>
      </c>
      <c r="T79" s="582">
        <v>0</v>
      </c>
      <c r="U79" s="583"/>
      <c r="V79" s="480"/>
      <c r="W79" s="480"/>
      <c r="X79" s="480"/>
      <c r="Y79" s="480"/>
      <c r="Z79" s="480"/>
      <c r="AA79" s="472">
        <f t="shared" si="23"/>
        <v>71</v>
      </c>
      <c r="AB79" s="480"/>
      <c r="AC79" s="480"/>
      <c r="AD79" s="480"/>
      <c r="AE79" s="480"/>
      <c r="AF79" s="480"/>
      <c r="AG79" s="480"/>
    </row>
    <row r="80" spans="1:33" s="471" customFormat="1" hidden="1">
      <c r="A80" s="420">
        <f t="shared" si="24"/>
        <v>70</v>
      </c>
      <c r="B80" s="585">
        <f t="shared" si="16"/>
        <v>0</v>
      </c>
      <c r="C80" s="533">
        <f t="shared" si="17"/>
        <v>0</v>
      </c>
      <c r="D80" s="533">
        <f t="shared" si="18"/>
        <v>0</v>
      </c>
      <c r="E80" s="420"/>
      <c r="F80" s="420" t="str">
        <f t="shared" si="19"/>
        <v>Vacant</v>
      </c>
      <c r="G80" s="586">
        <f t="shared" si="20"/>
        <v>0</v>
      </c>
      <c r="H80" s="581"/>
      <c r="J80" s="582">
        <f>HLOOKUP($J$7,'MR-Stat Data Sheet Bud'!$U$8:$AF$1081,$AA80,FALSE)</f>
        <v>0</v>
      </c>
      <c r="K80" s="582">
        <f>HLOOKUP($J$7,'MR-Stat Data Sheet Bud'!$AS$8:$BD$1081,$AA80,FALSE)</f>
        <v>0</v>
      </c>
      <c r="L80" s="582">
        <f t="shared" si="21"/>
        <v>0</v>
      </c>
      <c r="N80" s="582">
        <f>HLOOKUP($J$7,'MR-Stat Data Sheet Bud'!$BE$8:$BP$1081,$AA80,FALSE)</f>
        <v>0</v>
      </c>
      <c r="O80" s="582">
        <f>HLOOKUP($J$7,'MR-Stat Data Sheet Bud'!$BQ$8:$CB$1081,$AA80,FALSE)</f>
        <v>0</v>
      </c>
      <c r="P80" s="582">
        <f t="shared" si="22"/>
        <v>0</v>
      </c>
      <c r="Q80" s="583"/>
      <c r="S80" s="482">
        <v>0</v>
      </c>
      <c r="T80" s="582">
        <v>0</v>
      </c>
      <c r="U80" s="583"/>
      <c r="V80" s="480"/>
      <c r="W80" s="480"/>
      <c r="X80" s="480"/>
      <c r="Y80" s="480"/>
      <c r="Z80" s="480"/>
      <c r="AA80" s="472">
        <f t="shared" si="23"/>
        <v>72</v>
      </c>
      <c r="AB80" s="480"/>
      <c r="AC80" s="480"/>
      <c r="AD80" s="480"/>
      <c r="AE80" s="480"/>
      <c r="AF80" s="480"/>
      <c r="AG80" s="480"/>
    </row>
    <row r="81" spans="1:33" s="471" customFormat="1" hidden="1">
      <c r="A81" s="420">
        <f t="shared" si="24"/>
        <v>71</v>
      </c>
      <c r="B81" s="585">
        <f t="shared" si="16"/>
        <v>0</v>
      </c>
      <c r="C81" s="533">
        <f t="shared" si="17"/>
        <v>0</v>
      </c>
      <c r="D81" s="533">
        <f t="shared" si="18"/>
        <v>0</v>
      </c>
      <c r="E81" s="420"/>
      <c r="F81" s="420" t="str">
        <f t="shared" si="19"/>
        <v>Vacant</v>
      </c>
      <c r="G81" s="586">
        <f t="shared" si="20"/>
        <v>0</v>
      </c>
      <c r="H81" s="581"/>
      <c r="J81" s="582">
        <f>HLOOKUP($J$7,'MR-Stat Data Sheet Bud'!$U$8:$AF$1081,$AA81,FALSE)</f>
        <v>0</v>
      </c>
      <c r="K81" s="582">
        <f>HLOOKUP($J$7,'MR-Stat Data Sheet Bud'!$AS$8:$BD$1081,$AA81,FALSE)</f>
        <v>0</v>
      </c>
      <c r="L81" s="582">
        <f t="shared" si="21"/>
        <v>0</v>
      </c>
      <c r="N81" s="582">
        <f>HLOOKUP($J$7,'MR-Stat Data Sheet Bud'!$BE$8:$BP$1081,$AA81,FALSE)</f>
        <v>0</v>
      </c>
      <c r="O81" s="582">
        <f>HLOOKUP($J$7,'MR-Stat Data Sheet Bud'!$BQ$8:$CB$1081,$AA81,FALSE)</f>
        <v>0</v>
      </c>
      <c r="P81" s="582">
        <f t="shared" si="22"/>
        <v>0</v>
      </c>
      <c r="Q81" s="583"/>
      <c r="S81" s="482">
        <v>0</v>
      </c>
      <c r="T81" s="582">
        <v>0</v>
      </c>
      <c r="U81" s="583"/>
      <c r="V81" s="480"/>
      <c r="W81" s="480"/>
      <c r="X81" s="480"/>
      <c r="Y81" s="480"/>
      <c r="Z81" s="480"/>
      <c r="AA81" s="472">
        <f t="shared" si="23"/>
        <v>73</v>
      </c>
      <c r="AB81" s="480"/>
      <c r="AC81" s="480"/>
      <c r="AD81" s="480"/>
      <c r="AE81" s="480"/>
      <c r="AF81" s="480"/>
      <c r="AG81" s="480"/>
    </row>
    <row r="82" spans="1:33" s="471" customFormat="1" hidden="1">
      <c r="A82" s="420">
        <f t="shared" si="24"/>
        <v>72</v>
      </c>
      <c r="B82" s="585">
        <f t="shared" si="16"/>
        <v>0</v>
      </c>
      <c r="C82" s="533">
        <f t="shared" si="17"/>
        <v>0</v>
      </c>
      <c r="D82" s="533">
        <f t="shared" si="18"/>
        <v>0</v>
      </c>
      <c r="E82" s="420"/>
      <c r="F82" s="420" t="str">
        <f t="shared" si="19"/>
        <v>Vacant</v>
      </c>
      <c r="G82" s="586">
        <f t="shared" si="20"/>
        <v>0</v>
      </c>
      <c r="H82" s="581"/>
      <c r="J82" s="582">
        <f>HLOOKUP($J$7,'MR-Stat Data Sheet Bud'!$U$8:$AF$1081,$AA82,FALSE)</f>
        <v>0</v>
      </c>
      <c r="K82" s="582">
        <f>HLOOKUP($J$7,'MR-Stat Data Sheet Bud'!$AS$8:$BD$1081,$AA82,FALSE)</f>
        <v>0</v>
      </c>
      <c r="L82" s="582">
        <f t="shared" si="21"/>
        <v>0</v>
      </c>
      <c r="N82" s="582">
        <f>HLOOKUP($J$7,'MR-Stat Data Sheet Bud'!$BE$8:$BP$1081,$AA82,FALSE)</f>
        <v>0</v>
      </c>
      <c r="O82" s="582">
        <f>HLOOKUP($J$7,'MR-Stat Data Sheet Bud'!$BQ$8:$CB$1081,$AA82,FALSE)</f>
        <v>0</v>
      </c>
      <c r="P82" s="582">
        <f t="shared" si="22"/>
        <v>0</v>
      </c>
      <c r="Q82" s="583"/>
      <c r="S82" s="482">
        <v>0</v>
      </c>
      <c r="T82" s="582">
        <v>0</v>
      </c>
      <c r="U82" s="583"/>
      <c r="V82" s="480"/>
      <c r="W82" s="480"/>
      <c r="X82" s="480"/>
      <c r="Y82" s="480"/>
      <c r="Z82" s="480"/>
      <c r="AA82" s="472">
        <f t="shared" si="23"/>
        <v>74</v>
      </c>
      <c r="AB82" s="480"/>
      <c r="AC82" s="480"/>
      <c r="AD82" s="480"/>
      <c r="AE82" s="480"/>
      <c r="AF82" s="480"/>
      <c r="AG82" s="480"/>
    </row>
    <row r="83" spans="1:33" s="471" customFormat="1" hidden="1">
      <c r="A83" s="420">
        <f t="shared" si="24"/>
        <v>73</v>
      </c>
      <c r="B83" s="585">
        <f t="shared" si="16"/>
        <v>0</v>
      </c>
      <c r="C83" s="533">
        <f t="shared" si="17"/>
        <v>0</v>
      </c>
      <c r="D83" s="533">
        <f t="shared" si="18"/>
        <v>0</v>
      </c>
      <c r="E83" s="420"/>
      <c r="F83" s="420" t="str">
        <f t="shared" si="19"/>
        <v>Vacant</v>
      </c>
      <c r="G83" s="586">
        <f t="shared" si="20"/>
        <v>0</v>
      </c>
      <c r="H83" s="581"/>
      <c r="J83" s="582">
        <f>HLOOKUP($J$7,'MR-Stat Data Sheet Bud'!$U$8:$AF$1081,$AA83,FALSE)</f>
        <v>0</v>
      </c>
      <c r="K83" s="582">
        <f>HLOOKUP($J$7,'MR-Stat Data Sheet Bud'!$AS$8:$BD$1081,$AA83,FALSE)</f>
        <v>0</v>
      </c>
      <c r="L83" s="582">
        <f t="shared" si="21"/>
        <v>0</v>
      </c>
      <c r="N83" s="582">
        <f>HLOOKUP($J$7,'MR-Stat Data Sheet Bud'!$BE$8:$BP$1081,$AA83,FALSE)</f>
        <v>0</v>
      </c>
      <c r="O83" s="582">
        <f>HLOOKUP($J$7,'MR-Stat Data Sheet Bud'!$BQ$8:$CB$1081,$AA83,FALSE)</f>
        <v>0</v>
      </c>
      <c r="P83" s="582">
        <f t="shared" si="22"/>
        <v>0</v>
      </c>
      <c r="Q83" s="583"/>
      <c r="S83" s="482">
        <v>0</v>
      </c>
      <c r="T83" s="582">
        <v>0</v>
      </c>
      <c r="U83" s="583"/>
      <c r="V83" s="480"/>
      <c r="W83" s="480"/>
      <c r="X83" s="480"/>
      <c r="Y83" s="480"/>
      <c r="Z83" s="480"/>
      <c r="AA83" s="472">
        <f t="shared" si="23"/>
        <v>75</v>
      </c>
      <c r="AB83" s="480"/>
      <c r="AC83" s="480"/>
      <c r="AD83" s="480"/>
      <c r="AE83" s="480"/>
      <c r="AF83" s="480"/>
      <c r="AG83" s="480"/>
    </row>
    <row r="84" spans="1:33" s="471" customFormat="1" hidden="1">
      <c r="A84" s="420">
        <f t="shared" si="24"/>
        <v>74</v>
      </c>
      <c r="B84" s="585">
        <f t="shared" si="16"/>
        <v>0</v>
      </c>
      <c r="C84" s="533">
        <f t="shared" si="17"/>
        <v>0</v>
      </c>
      <c r="D84" s="533">
        <f t="shared" si="18"/>
        <v>0</v>
      </c>
      <c r="E84" s="420"/>
      <c r="F84" s="420" t="str">
        <f t="shared" si="19"/>
        <v>Vacant</v>
      </c>
      <c r="G84" s="586">
        <f t="shared" si="20"/>
        <v>0</v>
      </c>
      <c r="H84" s="581"/>
      <c r="J84" s="582">
        <f>HLOOKUP($J$7,'MR-Stat Data Sheet Bud'!$U$8:$AF$1081,$AA84,FALSE)</f>
        <v>0</v>
      </c>
      <c r="K84" s="582">
        <f>HLOOKUP($J$7,'MR-Stat Data Sheet Bud'!$AS$8:$BD$1081,$AA84,FALSE)</f>
        <v>0</v>
      </c>
      <c r="L84" s="582">
        <f t="shared" si="21"/>
        <v>0</v>
      </c>
      <c r="N84" s="582">
        <f>HLOOKUP($J$7,'MR-Stat Data Sheet Bud'!$BE$8:$BP$1081,$AA84,FALSE)</f>
        <v>0</v>
      </c>
      <c r="O84" s="582">
        <f>HLOOKUP($J$7,'MR-Stat Data Sheet Bud'!$BQ$8:$CB$1081,$AA84,FALSE)</f>
        <v>0</v>
      </c>
      <c r="P84" s="582">
        <f t="shared" si="22"/>
        <v>0</v>
      </c>
      <c r="Q84" s="583"/>
      <c r="S84" s="482">
        <v>0</v>
      </c>
      <c r="T84" s="582">
        <v>0</v>
      </c>
      <c r="U84" s="583"/>
      <c r="V84" s="480"/>
      <c r="W84" s="480"/>
      <c r="X84" s="480"/>
      <c r="Y84" s="480"/>
      <c r="Z84" s="480"/>
      <c r="AA84" s="472">
        <f t="shared" si="23"/>
        <v>76</v>
      </c>
      <c r="AB84" s="480"/>
      <c r="AC84" s="480"/>
      <c r="AD84" s="480"/>
      <c r="AE84" s="480"/>
      <c r="AF84" s="480"/>
      <c r="AG84" s="480"/>
    </row>
    <row r="85" spans="1:33" s="471" customFormat="1" hidden="1">
      <c r="A85" s="420">
        <f t="shared" si="24"/>
        <v>75</v>
      </c>
      <c r="B85" s="585">
        <f t="shared" si="16"/>
        <v>0</v>
      </c>
      <c r="C85" s="533">
        <f t="shared" si="17"/>
        <v>0</v>
      </c>
      <c r="D85" s="533">
        <f t="shared" si="18"/>
        <v>0</v>
      </c>
      <c r="E85" s="420"/>
      <c r="F85" s="420" t="str">
        <f t="shared" si="19"/>
        <v>Vacant</v>
      </c>
      <c r="G85" s="586">
        <f t="shared" si="20"/>
        <v>0</v>
      </c>
      <c r="H85" s="581"/>
      <c r="J85" s="582">
        <f>HLOOKUP($J$7,'MR-Stat Data Sheet Bud'!$U$8:$AF$1081,$AA85,FALSE)</f>
        <v>0</v>
      </c>
      <c r="K85" s="582">
        <f>HLOOKUP($J$7,'MR-Stat Data Sheet Bud'!$AS$8:$BD$1081,$AA85,FALSE)</f>
        <v>0</v>
      </c>
      <c r="L85" s="582">
        <f t="shared" si="21"/>
        <v>0</v>
      </c>
      <c r="N85" s="582">
        <f>HLOOKUP($J$7,'MR-Stat Data Sheet Bud'!$BE$8:$BP$1081,$AA85,FALSE)</f>
        <v>0</v>
      </c>
      <c r="O85" s="582">
        <f>HLOOKUP($J$7,'MR-Stat Data Sheet Bud'!$BQ$8:$CB$1081,$AA85,FALSE)</f>
        <v>0</v>
      </c>
      <c r="P85" s="582">
        <f t="shared" si="22"/>
        <v>0</v>
      </c>
      <c r="Q85" s="583"/>
      <c r="S85" s="482">
        <v>0</v>
      </c>
      <c r="T85" s="582">
        <v>0</v>
      </c>
      <c r="U85" s="583"/>
      <c r="V85" s="480"/>
      <c r="W85" s="480"/>
      <c r="X85" s="480"/>
      <c r="Y85" s="480"/>
      <c r="Z85" s="480"/>
      <c r="AA85" s="472">
        <f t="shared" si="23"/>
        <v>77</v>
      </c>
      <c r="AB85" s="480"/>
      <c r="AC85" s="480"/>
      <c r="AD85" s="480"/>
      <c r="AE85" s="480"/>
      <c r="AF85" s="480"/>
      <c r="AG85" s="480"/>
    </row>
    <row r="86" spans="1:33" s="471" customFormat="1" hidden="1">
      <c r="A86" s="420">
        <f t="shared" si="24"/>
        <v>76</v>
      </c>
      <c r="B86" s="585">
        <f t="shared" si="16"/>
        <v>0</v>
      </c>
      <c r="C86" s="533">
        <f t="shared" si="17"/>
        <v>0</v>
      </c>
      <c r="D86" s="533">
        <f t="shared" si="18"/>
        <v>0</v>
      </c>
      <c r="E86" s="420"/>
      <c r="F86" s="420" t="str">
        <f t="shared" si="19"/>
        <v>Vacant</v>
      </c>
      <c r="G86" s="586">
        <f t="shared" si="20"/>
        <v>0</v>
      </c>
      <c r="H86" s="581"/>
      <c r="J86" s="582">
        <f>HLOOKUP($J$7,'MR-Stat Data Sheet Bud'!$U$8:$AF$1081,$AA86,FALSE)</f>
        <v>0</v>
      </c>
      <c r="K86" s="582">
        <f>HLOOKUP($J$7,'MR-Stat Data Sheet Bud'!$AS$8:$BD$1081,$AA86,FALSE)</f>
        <v>0</v>
      </c>
      <c r="L86" s="582">
        <f t="shared" si="21"/>
        <v>0</v>
      </c>
      <c r="N86" s="582">
        <f>HLOOKUP($J$7,'MR-Stat Data Sheet Bud'!$BE$8:$BP$1081,$AA86,FALSE)</f>
        <v>0</v>
      </c>
      <c r="O86" s="582">
        <f>HLOOKUP($J$7,'MR-Stat Data Sheet Bud'!$BQ$8:$CB$1081,$AA86,FALSE)</f>
        <v>0</v>
      </c>
      <c r="P86" s="582">
        <f t="shared" si="22"/>
        <v>0</v>
      </c>
      <c r="Q86" s="583"/>
      <c r="S86" s="482">
        <v>0</v>
      </c>
      <c r="T86" s="582">
        <v>0</v>
      </c>
      <c r="U86" s="583"/>
      <c r="V86" s="480"/>
      <c r="W86" s="480"/>
      <c r="X86" s="480"/>
      <c r="Y86" s="480"/>
      <c r="Z86" s="480"/>
      <c r="AA86" s="472">
        <f t="shared" si="23"/>
        <v>78</v>
      </c>
      <c r="AB86" s="480"/>
      <c r="AC86" s="480"/>
      <c r="AD86" s="480"/>
      <c r="AE86" s="480"/>
      <c r="AF86" s="480"/>
      <c r="AG86" s="480"/>
    </row>
    <row r="87" spans="1:33" s="471" customFormat="1" hidden="1">
      <c r="A87" s="420">
        <f t="shared" si="24"/>
        <v>77</v>
      </c>
      <c r="B87" s="585">
        <f t="shared" si="16"/>
        <v>0</v>
      </c>
      <c r="C87" s="533">
        <f t="shared" si="17"/>
        <v>0</v>
      </c>
      <c r="D87" s="533">
        <f t="shared" si="18"/>
        <v>0</v>
      </c>
      <c r="E87" s="420"/>
      <c r="F87" s="420" t="str">
        <f t="shared" si="19"/>
        <v>Vacant</v>
      </c>
      <c r="G87" s="586">
        <f t="shared" si="20"/>
        <v>0</v>
      </c>
      <c r="H87" s="581"/>
      <c r="J87" s="582">
        <f>HLOOKUP($J$7,'MR-Stat Data Sheet Bud'!$U$8:$AF$1081,$AA87,FALSE)</f>
        <v>0</v>
      </c>
      <c r="K87" s="582">
        <f>HLOOKUP($J$7,'MR-Stat Data Sheet Bud'!$AS$8:$BD$1081,$AA87,FALSE)</f>
        <v>0</v>
      </c>
      <c r="L87" s="582">
        <f t="shared" si="21"/>
        <v>0</v>
      </c>
      <c r="N87" s="582">
        <f>HLOOKUP($J$7,'MR-Stat Data Sheet Bud'!$BE$8:$BP$1081,$AA87,FALSE)</f>
        <v>0</v>
      </c>
      <c r="O87" s="582">
        <f>HLOOKUP($J$7,'MR-Stat Data Sheet Bud'!$BQ$8:$CB$1081,$AA87,FALSE)</f>
        <v>0</v>
      </c>
      <c r="P87" s="582">
        <f t="shared" si="22"/>
        <v>0</v>
      </c>
      <c r="Q87" s="583"/>
      <c r="S87" s="482">
        <v>0</v>
      </c>
      <c r="T87" s="582">
        <v>0</v>
      </c>
      <c r="U87" s="583"/>
      <c r="V87" s="480"/>
      <c r="W87" s="480"/>
      <c r="X87" s="480"/>
      <c r="Y87" s="480"/>
      <c r="Z87" s="480"/>
      <c r="AA87" s="472">
        <f t="shared" si="23"/>
        <v>79</v>
      </c>
      <c r="AB87" s="480"/>
      <c r="AC87" s="480"/>
      <c r="AD87" s="480"/>
      <c r="AE87" s="480"/>
      <c r="AF87" s="480"/>
      <c r="AG87" s="480"/>
    </row>
    <row r="88" spans="1:33" s="471" customFormat="1" hidden="1">
      <c r="A88" s="420">
        <f t="shared" si="24"/>
        <v>78</v>
      </c>
      <c r="B88" s="585">
        <f t="shared" si="16"/>
        <v>0</v>
      </c>
      <c r="C88" s="533">
        <f t="shared" si="17"/>
        <v>0</v>
      </c>
      <c r="D88" s="533">
        <f t="shared" si="18"/>
        <v>0</v>
      </c>
      <c r="E88" s="420"/>
      <c r="F88" s="420" t="str">
        <f t="shared" si="19"/>
        <v>Vacant</v>
      </c>
      <c r="G88" s="586">
        <f t="shared" si="20"/>
        <v>0</v>
      </c>
      <c r="H88" s="581"/>
      <c r="J88" s="582">
        <f>HLOOKUP($J$7,'MR-Stat Data Sheet Bud'!$U$8:$AF$1081,$AA88,FALSE)</f>
        <v>0</v>
      </c>
      <c r="K88" s="582">
        <f>HLOOKUP($J$7,'MR-Stat Data Sheet Bud'!$AS$8:$BD$1081,$AA88,FALSE)</f>
        <v>0</v>
      </c>
      <c r="L88" s="582">
        <f t="shared" si="21"/>
        <v>0</v>
      </c>
      <c r="N88" s="582">
        <f>HLOOKUP($J$7,'MR-Stat Data Sheet Bud'!$BE$8:$BP$1081,$AA88,FALSE)</f>
        <v>0</v>
      </c>
      <c r="O88" s="582">
        <f>HLOOKUP($J$7,'MR-Stat Data Sheet Bud'!$BQ$8:$CB$1081,$AA88,FALSE)</f>
        <v>0</v>
      </c>
      <c r="P88" s="582">
        <f t="shared" si="22"/>
        <v>0</v>
      </c>
      <c r="Q88" s="583"/>
      <c r="S88" s="482">
        <v>0</v>
      </c>
      <c r="T88" s="582">
        <v>0</v>
      </c>
      <c r="U88" s="583"/>
      <c r="V88" s="480"/>
      <c r="W88" s="480"/>
      <c r="X88" s="480"/>
      <c r="Y88" s="480"/>
      <c r="Z88" s="480"/>
      <c r="AA88" s="472">
        <f t="shared" si="23"/>
        <v>80</v>
      </c>
      <c r="AB88" s="480"/>
      <c r="AC88" s="480"/>
      <c r="AD88" s="480"/>
      <c r="AE88" s="480"/>
      <c r="AF88" s="480"/>
      <c r="AG88" s="480"/>
    </row>
    <row r="89" spans="1:33" s="471" customFormat="1" hidden="1">
      <c r="A89" s="420">
        <f t="shared" si="24"/>
        <v>79</v>
      </c>
      <c r="B89" s="585">
        <f t="shared" si="16"/>
        <v>0</v>
      </c>
      <c r="C89" s="533">
        <f t="shared" si="17"/>
        <v>0</v>
      </c>
      <c r="D89" s="533">
        <f t="shared" si="18"/>
        <v>0</v>
      </c>
      <c r="E89" s="420"/>
      <c r="F89" s="420" t="str">
        <f t="shared" si="19"/>
        <v>Vacant</v>
      </c>
      <c r="G89" s="586">
        <f t="shared" si="20"/>
        <v>0</v>
      </c>
      <c r="H89" s="581"/>
      <c r="J89" s="582">
        <f>HLOOKUP($J$7,'MR-Stat Data Sheet Bud'!$U$8:$AF$1081,$AA89,FALSE)</f>
        <v>0</v>
      </c>
      <c r="K89" s="582">
        <f>HLOOKUP($J$7,'MR-Stat Data Sheet Bud'!$AS$8:$BD$1081,$AA89,FALSE)</f>
        <v>0</v>
      </c>
      <c r="L89" s="582">
        <f t="shared" si="21"/>
        <v>0</v>
      </c>
      <c r="N89" s="582">
        <f>HLOOKUP($J$7,'MR-Stat Data Sheet Bud'!$BE$8:$BP$1081,$AA89,FALSE)</f>
        <v>0</v>
      </c>
      <c r="O89" s="582">
        <f>HLOOKUP($J$7,'MR-Stat Data Sheet Bud'!$BQ$8:$CB$1081,$AA89,FALSE)</f>
        <v>0</v>
      </c>
      <c r="P89" s="582">
        <f t="shared" si="22"/>
        <v>0</v>
      </c>
      <c r="Q89" s="583"/>
      <c r="S89" s="482">
        <v>0</v>
      </c>
      <c r="T89" s="582">
        <v>0</v>
      </c>
      <c r="U89" s="583"/>
      <c r="V89" s="480"/>
      <c r="W89" s="480"/>
      <c r="X89" s="480"/>
      <c r="Y89" s="480"/>
      <c r="Z89" s="480"/>
      <c r="AA89" s="472">
        <f t="shared" si="23"/>
        <v>81</v>
      </c>
      <c r="AB89" s="480"/>
      <c r="AC89" s="480"/>
      <c r="AD89" s="480"/>
      <c r="AE89" s="480"/>
      <c r="AF89" s="480"/>
      <c r="AG89" s="480"/>
    </row>
    <row r="90" spans="1:33" s="471" customFormat="1" hidden="1">
      <c r="A90" s="420">
        <f t="shared" si="24"/>
        <v>80</v>
      </c>
      <c r="B90" s="585">
        <f t="shared" si="16"/>
        <v>0</v>
      </c>
      <c r="C90" s="533">
        <f t="shared" si="17"/>
        <v>0</v>
      </c>
      <c r="D90" s="533">
        <f t="shared" si="18"/>
        <v>0</v>
      </c>
      <c r="E90" s="420"/>
      <c r="F90" s="420" t="str">
        <f t="shared" si="19"/>
        <v>Vacant</v>
      </c>
      <c r="G90" s="586">
        <f t="shared" si="20"/>
        <v>0</v>
      </c>
      <c r="H90" s="581"/>
      <c r="J90" s="582">
        <f>HLOOKUP($J$7,'MR-Stat Data Sheet Bud'!$U$8:$AF$1081,$AA90,FALSE)</f>
        <v>0</v>
      </c>
      <c r="K90" s="582">
        <f>HLOOKUP($J$7,'MR-Stat Data Sheet Bud'!$AS$8:$BD$1081,$AA90,FALSE)</f>
        <v>0</v>
      </c>
      <c r="L90" s="582">
        <f t="shared" si="21"/>
        <v>0</v>
      </c>
      <c r="N90" s="582">
        <f>HLOOKUP($J$7,'MR-Stat Data Sheet Bud'!$BE$8:$BP$1081,$AA90,FALSE)</f>
        <v>0</v>
      </c>
      <c r="O90" s="582">
        <f>HLOOKUP($J$7,'MR-Stat Data Sheet Bud'!$BQ$8:$CB$1081,$AA90,FALSE)</f>
        <v>0</v>
      </c>
      <c r="P90" s="582">
        <f t="shared" si="22"/>
        <v>0</v>
      </c>
      <c r="Q90" s="583"/>
      <c r="S90" s="482">
        <v>0</v>
      </c>
      <c r="T90" s="582">
        <v>0</v>
      </c>
      <c r="U90" s="583"/>
      <c r="V90" s="480"/>
      <c r="W90" s="480"/>
      <c r="X90" s="480"/>
      <c r="Y90" s="480"/>
      <c r="Z90" s="480"/>
      <c r="AA90" s="472">
        <f t="shared" si="23"/>
        <v>82</v>
      </c>
      <c r="AB90" s="480"/>
      <c r="AC90" s="480"/>
      <c r="AD90" s="480"/>
      <c r="AE90" s="480"/>
      <c r="AF90" s="480"/>
      <c r="AG90" s="480"/>
    </row>
    <row r="91" spans="1:33" s="471" customFormat="1" hidden="1">
      <c r="A91" s="420">
        <f t="shared" si="24"/>
        <v>81</v>
      </c>
      <c r="B91" s="585">
        <f t="shared" si="16"/>
        <v>0</v>
      </c>
      <c r="C91" s="533">
        <f t="shared" si="17"/>
        <v>0</v>
      </c>
      <c r="D91" s="533">
        <f t="shared" si="18"/>
        <v>0</v>
      </c>
      <c r="E91" s="420"/>
      <c r="F91" s="420" t="str">
        <f t="shared" si="19"/>
        <v>Vacant</v>
      </c>
      <c r="G91" s="586">
        <f t="shared" si="20"/>
        <v>0</v>
      </c>
      <c r="H91" s="581"/>
      <c r="J91" s="582">
        <f>HLOOKUP($J$7,'MR-Stat Data Sheet Bud'!$U$8:$AF$1081,$AA91,FALSE)</f>
        <v>0</v>
      </c>
      <c r="K91" s="582">
        <f>HLOOKUP($J$7,'MR-Stat Data Sheet Bud'!$AS$8:$BD$1081,$AA91,FALSE)</f>
        <v>0</v>
      </c>
      <c r="L91" s="582">
        <f t="shared" si="21"/>
        <v>0</v>
      </c>
      <c r="N91" s="582">
        <f>HLOOKUP($J$7,'MR-Stat Data Sheet Bud'!$BE$8:$BP$1081,$AA91,FALSE)</f>
        <v>0</v>
      </c>
      <c r="O91" s="582">
        <f>HLOOKUP($J$7,'MR-Stat Data Sheet Bud'!$BQ$8:$CB$1081,$AA91,FALSE)</f>
        <v>0</v>
      </c>
      <c r="P91" s="582">
        <f t="shared" si="22"/>
        <v>0</v>
      </c>
      <c r="Q91" s="583"/>
      <c r="S91" s="482">
        <v>0</v>
      </c>
      <c r="T91" s="582">
        <v>0</v>
      </c>
      <c r="U91" s="583"/>
      <c r="V91" s="480"/>
      <c r="W91" s="480"/>
      <c r="X91" s="480"/>
      <c r="Y91" s="480"/>
      <c r="Z91" s="480"/>
      <c r="AA91" s="472">
        <f t="shared" si="23"/>
        <v>83</v>
      </c>
      <c r="AB91" s="480"/>
      <c r="AC91" s="480"/>
      <c r="AD91" s="480"/>
      <c r="AE91" s="480"/>
      <c r="AF91" s="480"/>
      <c r="AG91" s="480"/>
    </row>
    <row r="92" spans="1:33" s="471" customFormat="1" hidden="1">
      <c r="A92" s="420">
        <f t="shared" si="24"/>
        <v>82</v>
      </c>
      <c r="B92" s="585">
        <f t="shared" si="16"/>
        <v>0</v>
      </c>
      <c r="C92" s="533">
        <f t="shared" si="17"/>
        <v>0</v>
      </c>
      <c r="D92" s="533">
        <f t="shared" si="18"/>
        <v>0</v>
      </c>
      <c r="E92" s="420"/>
      <c r="F92" s="420" t="str">
        <f t="shared" si="19"/>
        <v>Vacant</v>
      </c>
      <c r="G92" s="586">
        <f t="shared" si="20"/>
        <v>0</v>
      </c>
      <c r="H92" s="581"/>
      <c r="J92" s="582">
        <f>HLOOKUP($J$7,'MR-Stat Data Sheet Bud'!$U$8:$AF$1081,$AA92,FALSE)</f>
        <v>0</v>
      </c>
      <c r="K92" s="582">
        <f>HLOOKUP($J$7,'MR-Stat Data Sheet Bud'!$AS$8:$BD$1081,$AA92,FALSE)</f>
        <v>0</v>
      </c>
      <c r="L92" s="582">
        <f t="shared" si="21"/>
        <v>0</v>
      </c>
      <c r="N92" s="582">
        <f>HLOOKUP($J$7,'MR-Stat Data Sheet Bud'!$BE$8:$BP$1081,$AA92,FALSE)</f>
        <v>0</v>
      </c>
      <c r="O92" s="582">
        <f>HLOOKUP($J$7,'MR-Stat Data Sheet Bud'!$BQ$8:$CB$1081,$AA92,FALSE)</f>
        <v>0</v>
      </c>
      <c r="P92" s="582">
        <f t="shared" si="22"/>
        <v>0</v>
      </c>
      <c r="Q92" s="583"/>
      <c r="S92" s="482">
        <v>0</v>
      </c>
      <c r="T92" s="582">
        <v>0</v>
      </c>
      <c r="U92" s="583"/>
      <c r="V92" s="480"/>
      <c r="W92" s="480"/>
      <c r="X92" s="480"/>
      <c r="Y92" s="480"/>
      <c r="Z92" s="480"/>
      <c r="AA92" s="472">
        <f t="shared" si="23"/>
        <v>84</v>
      </c>
      <c r="AB92" s="480"/>
      <c r="AC92" s="480"/>
      <c r="AD92" s="480"/>
      <c r="AE92" s="480"/>
      <c r="AF92" s="480"/>
      <c r="AG92" s="480"/>
    </row>
    <row r="93" spans="1:33" s="471" customFormat="1" hidden="1">
      <c r="A93" s="420">
        <f t="shared" si="24"/>
        <v>83</v>
      </c>
      <c r="B93" s="585">
        <f t="shared" si="16"/>
        <v>0</v>
      </c>
      <c r="C93" s="533">
        <f t="shared" si="17"/>
        <v>0</v>
      </c>
      <c r="D93" s="533">
        <f t="shared" si="18"/>
        <v>0</v>
      </c>
      <c r="E93" s="420"/>
      <c r="F93" s="420" t="str">
        <f t="shared" si="19"/>
        <v>Vacant</v>
      </c>
      <c r="G93" s="586">
        <f t="shared" si="20"/>
        <v>0</v>
      </c>
      <c r="H93" s="581"/>
      <c r="J93" s="582">
        <f>HLOOKUP($J$7,'MR-Stat Data Sheet Bud'!$U$8:$AF$1081,$AA93,FALSE)</f>
        <v>0</v>
      </c>
      <c r="K93" s="582">
        <f>HLOOKUP($J$7,'MR-Stat Data Sheet Bud'!$AS$8:$BD$1081,$AA93,FALSE)</f>
        <v>0</v>
      </c>
      <c r="L93" s="582">
        <f t="shared" si="21"/>
        <v>0</v>
      </c>
      <c r="N93" s="582">
        <f>HLOOKUP($J$7,'MR-Stat Data Sheet Bud'!$BE$8:$BP$1081,$AA93,FALSE)</f>
        <v>0</v>
      </c>
      <c r="O93" s="582">
        <f>HLOOKUP($J$7,'MR-Stat Data Sheet Bud'!$BQ$8:$CB$1081,$AA93,FALSE)</f>
        <v>0</v>
      </c>
      <c r="P93" s="582">
        <f t="shared" si="22"/>
        <v>0</v>
      </c>
      <c r="Q93" s="583"/>
      <c r="S93" s="482">
        <v>0</v>
      </c>
      <c r="T93" s="582">
        <v>0</v>
      </c>
      <c r="U93" s="583"/>
      <c r="V93" s="480"/>
      <c r="W93" s="480"/>
      <c r="X93" s="480"/>
      <c r="Y93" s="480"/>
      <c r="Z93" s="480"/>
      <c r="AA93" s="472">
        <f t="shared" si="23"/>
        <v>85</v>
      </c>
      <c r="AB93" s="480"/>
      <c r="AC93" s="480"/>
      <c r="AD93" s="480"/>
      <c r="AE93" s="480"/>
      <c r="AF93" s="480"/>
      <c r="AG93" s="480"/>
    </row>
    <row r="94" spans="1:33" s="471" customFormat="1" hidden="1">
      <c r="A94" s="420">
        <f t="shared" si="24"/>
        <v>84</v>
      </c>
      <c r="B94" s="585">
        <f t="shared" si="16"/>
        <v>0</v>
      </c>
      <c r="C94" s="533">
        <f t="shared" si="17"/>
        <v>0</v>
      </c>
      <c r="D94" s="533">
        <f t="shared" si="18"/>
        <v>0</v>
      </c>
      <c r="E94" s="420"/>
      <c r="F94" s="420" t="str">
        <f t="shared" si="19"/>
        <v>Vacant</v>
      </c>
      <c r="G94" s="586">
        <f t="shared" si="20"/>
        <v>0</v>
      </c>
      <c r="H94" s="581"/>
      <c r="J94" s="582">
        <f>HLOOKUP($J$7,'MR-Stat Data Sheet Bud'!$U$8:$AF$1081,$AA94,FALSE)</f>
        <v>0</v>
      </c>
      <c r="K94" s="582">
        <f>HLOOKUP($J$7,'MR-Stat Data Sheet Bud'!$AS$8:$BD$1081,$AA94,FALSE)</f>
        <v>0</v>
      </c>
      <c r="L94" s="582">
        <f t="shared" si="21"/>
        <v>0</v>
      </c>
      <c r="N94" s="582">
        <f>HLOOKUP($J$7,'MR-Stat Data Sheet Bud'!$BE$8:$BP$1081,$AA94,FALSE)</f>
        <v>0</v>
      </c>
      <c r="O94" s="582">
        <f>HLOOKUP($J$7,'MR-Stat Data Sheet Bud'!$BQ$8:$CB$1081,$AA94,FALSE)</f>
        <v>0</v>
      </c>
      <c r="P94" s="582">
        <f t="shared" si="22"/>
        <v>0</v>
      </c>
      <c r="Q94" s="583"/>
      <c r="S94" s="482">
        <v>0</v>
      </c>
      <c r="T94" s="582">
        <v>0</v>
      </c>
      <c r="U94" s="583"/>
      <c r="V94" s="480"/>
      <c r="W94" s="480"/>
      <c r="X94" s="480"/>
      <c r="Y94" s="480"/>
      <c r="Z94" s="480"/>
      <c r="AA94" s="472">
        <f t="shared" si="23"/>
        <v>86</v>
      </c>
      <c r="AB94" s="480"/>
      <c r="AC94" s="480"/>
      <c r="AD94" s="480"/>
      <c r="AE94" s="480"/>
      <c r="AF94" s="480"/>
      <c r="AG94" s="480"/>
    </row>
    <row r="95" spans="1:33" s="471" customFormat="1" hidden="1">
      <c r="A95" s="420">
        <f t="shared" si="24"/>
        <v>85</v>
      </c>
      <c r="B95" s="585">
        <f t="shared" si="16"/>
        <v>0</v>
      </c>
      <c r="C95" s="533">
        <f t="shared" si="17"/>
        <v>0</v>
      </c>
      <c r="D95" s="533">
        <f t="shared" si="18"/>
        <v>0</v>
      </c>
      <c r="E95" s="420"/>
      <c r="F95" s="420" t="str">
        <f t="shared" si="19"/>
        <v>Vacant</v>
      </c>
      <c r="G95" s="586">
        <f t="shared" si="20"/>
        <v>0</v>
      </c>
      <c r="H95" s="581"/>
      <c r="J95" s="582">
        <f>HLOOKUP($J$7,'MR-Stat Data Sheet Bud'!$U$8:$AF$1081,$AA95,FALSE)</f>
        <v>0</v>
      </c>
      <c r="K95" s="582">
        <f>HLOOKUP($J$7,'MR-Stat Data Sheet Bud'!$AS$8:$BD$1081,$AA95,FALSE)</f>
        <v>0</v>
      </c>
      <c r="L95" s="582">
        <f t="shared" si="21"/>
        <v>0</v>
      </c>
      <c r="N95" s="582">
        <f>HLOOKUP($J$7,'MR-Stat Data Sheet Bud'!$BE$8:$BP$1081,$AA95,FALSE)</f>
        <v>0</v>
      </c>
      <c r="O95" s="582">
        <f>HLOOKUP($J$7,'MR-Stat Data Sheet Bud'!$BQ$8:$CB$1081,$AA95,FALSE)</f>
        <v>0</v>
      </c>
      <c r="P95" s="582">
        <f t="shared" si="22"/>
        <v>0</v>
      </c>
      <c r="Q95" s="583"/>
      <c r="S95" s="482">
        <v>0</v>
      </c>
      <c r="T95" s="582">
        <v>0</v>
      </c>
      <c r="U95" s="583"/>
      <c r="V95" s="480"/>
      <c r="W95" s="480"/>
      <c r="X95" s="480"/>
      <c r="Y95" s="480"/>
      <c r="Z95" s="480"/>
      <c r="AA95" s="472">
        <f t="shared" si="23"/>
        <v>87</v>
      </c>
      <c r="AB95" s="480"/>
      <c r="AC95" s="480"/>
      <c r="AD95" s="480"/>
      <c r="AE95" s="480"/>
      <c r="AF95" s="480"/>
      <c r="AG95" s="480"/>
    </row>
    <row r="96" spans="1:33" s="471" customFormat="1" hidden="1">
      <c r="A96" s="420">
        <f t="shared" si="24"/>
        <v>86</v>
      </c>
      <c r="B96" s="585">
        <f t="shared" si="16"/>
        <v>0</v>
      </c>
      <c r="C96" s="533">
        <f t="shared" si="17"/>
        <v>0</v>
      </c>
      <c r="D96" s="533">
        <f t="shared" si="18"/>
        <v>0</v>
      </c>
      <c r="E96" s="420"/>
      <c r="F96" s="420" t="str">
        <f t="shared" si="19"/>
        <v>Vacant</v>
      </c>
      <c r="G96" s="586">
        <f t="shared" si="20"/>
        <v>0</v>
      </c>
      <c r="H96" s="581"/>
      <c r="J96" s="582">
        <f>HLOOKUP($J$7,'MR-Stat Data Sheet Bud'!$U$8:$AF$1081,$AA96,FALSE)</f>
        <v>0</v>
      </c>
      <c r="K96" s="582">
        <f>HLOOKUP($J$7,'MR-Stat Data Sheet Bud'!$AS$8:$BD$1081,$AA96,FALSE)</f>
        <v>0</v>
      </c>
      <c r="L96" s="582">
        <f t="shared" si="21"/>
        <v>0</v>
      </c>
      <c r="N96" s="582">
        <f>HLOOKUP($J$7,'MR-Stat Data Sheet Bud'!$BE$8:$BP$1081,$AA96,FALSE)</f>
        <v>0</v>
      </c>
      <c r="O96" s="582">
        <f>HLOOKUP($J$7,'MR-Stat Data Sheet Bud'!$BQ$8:$CB$1081,$AA96,FALSE)</f>
        <v>0</v>
      </c>
      <c r="P96" s="582">
        <f t="shared" si="22"/>
        <v>0</v>
      </c>
      <c r="Q96" s="583"/>
      <c r="S96" s="482">
        <v>0</v>
      </c>
      <c r="T96" s="582">
        <v>0</v>
      </c>
      <c r="U96" s="583"/>
      <c r="V96" s="480"/>
      <c r="W96" s="480"/>
      <c r="X96" s="480"/>
      <c r="Y96" s="480"/>
      <c r="Z96" s="480"/>
      <c r="AA96" s="472">
        <f t="shared" si="23"/>
        <v>88</v>
      </c>
      <c r="AB96" s="480"/>
      <c r="AC96" s="480"/>
      <c r="AD96" s="480"/>
      <c r="AE96" s="480"/>
      <c r="AF96" s="480"/>
      <c r="AG96" s="480"/>
    </row>
    <row r="97" spans="1:33" s="471" customFormat="1" hidden="1">
      <c r="A97" s="420">
        <f t="shared" si="24"/>
        <v>87</v>
      </c>
      <c r="B97" s="585">
        <f t="shared" si="16"/>
        <v>0</v>
      </c>
      <c r="C97" s="533">
        <f t="shared" si="17"/>
        <v>0</v>
      </c>
      <c r="D97" s="533">
        <f t="shared" si="18"/>
        <v>0</v>
      </c>
      <c r="E97" s="420"/>
      <c r="F97" s="420" t="str">
        <f t="shared" si="19"/>
        <v>Vacant</v>
      </c>
      <c r="G97" s="586">
        <f t="shared" si="20"/>
        <v>0</v>
      </c>
      <c r="H97" s="581"/>
      <c r="J97" s="582">
        <f>HLOOKUP($J$7,'MR-Stat Data Sheet Bud'!$U$8:$AF$1081,$AA97,FALSE)</f>
        <v>0</v>
      </c>
      <c r="K97" s="582">
        <f>HLOOKUP($J$7,'MR-Stat Data Sheet Bud'!$AS$8:$BD$1081,$AA97,FALSE)</f>
        <v>0</v>
      </c>
      <c r="L97" s="582">
        <f t="shared" si="21"/>
        <v>0</v>
      </c>
      <c r="N97" s="582">
        <f>HLOOKUP($J$7,'MR-Stat Data Sheet Bud'!$BE$8:$BP$1081,$AA97,FALSE)</f>
        <v>0</v>
      </c>
      <c r="O97" s="582">
        <f>HLOOKUP($J$7,'MR-Stat Data Sheet Bud'!$BQ$8:$CB$1081,$AA97,FALSE)</f>
        <v>0</v>
      </c>
      <c r="P97" s="582">
        <f t="shared" si="22"/>
        <v>0</v>
      </c>
      <c r="Q97" s="583"/>
      <c r="S97" s="482">
        <v>0</v>
      </c>
      <c r="T97" s="582">
        <v>0</v>
      </c>
      <c r="U97" s="583"/>
      <c r="V97" s="480"/>
      <c r="W97" s="480"/>
      <c r="X97" s="480"/>
      <c r="Y97" s="480"/>
      <c r="Z97" s="480"/>
      <c r="AA97" s="472">
        <f t="shared" si="23"/>
        <v>89</v>
      </c>
      <c r="AB97" s="480"/>
      <c r="AC97" s="480"/>
      <c r="AD97" s="480"/>
      <c r="AE97" s="480"/>
      <c r="AF97" s="480"/>
      <c r="AG97" s="480"/>
    </row>
    <row r="98" spans="1:33" s="471" customFormat="1" hidden="1">
      <c r="A98" s="420">
        <f t="shared" si="24"/>
        <v>88</v>
      </c>
      <c r="B98" s="585">
        <f t="shared" si="16"/>
        <v>0</v>
      </c>
      <c r="C98" s="533">
        <f t="shared" si="17"/>
        <v>0</v>
      </c>
      <c r="D98" s="533">
        <f t="shared" si="18"/>
        <v>0</v>
      </c>
      <c r="E98" s="420"/>
      <c r="F98" s="420" t="str">
        <f t="shared" si="19"/>
        <v>Vacant</v>
      </c>
      <c r="G98" s="586">
        <f t="shared" si="20"/>
        <v>0</v>
      </c>
      <c r="H98" s="581"/>
      <c r="J98" s="582">
        <f>HLOOKUP($J$7,'MR-Stat Data Sheet Bud'!$U$8:$AF$1081,$AA98,FALSE)</f>
        <v>0</v>
      </c>
      <c r="K98" s="582">
        <f>HLOOKUP($J$7,'MR-Stat Data Sheet Bud'!$AS$8:$BD$1081,$AA98,FALSE)</f>
        <v>0</v>
      </c>
      <c r="L98" s="582">
        <f t="shared" si="21"/>
        <v>0</v>
      </c>
      <c r="N98" s="582">
        <f>HLOOKUP($J$7,'MR-Stat Data Sheet Bud'!$BE$8:$BP$1081,$AA98,FALSE)</f>
        <v>0</v>
      </c>
      <c r="O98" s="582">
        <f>HLOOKUP($J$7,'MR-Stat Data Sheet Bud'!$BQ$8:$CB$1081,$AA98,FALSE)</f>
        <v>0</v>
      </c>
      <c r="P98" s="582">
        <f t="shared" si="22"/>
        <v>0</v>
      </c>
      <c r="Q98" s="583"/>
      <c r="S98" s="482">
        <v>0</v>
      </c>
      <c r="T98" s="582">
        <v>0</v>
      </c>
      <c r="U98" s="583"/>
      <c r="V98" s="480"/>
      <c r="W98" s="480"/>
      <c r="X98" s="480"/>
      <c r="Y98" s="480"/>
      <c r="Z98" s="480"/>
      <c r="AA98" s="472">
        <f t="shared" si="23"/>
        <v>90</v>
      </c>
      <c r="AB98" s="480"/>
      <c r="AC98" s="480"/>
      <c r="AD98" s="480"/>
      <c r="AE98" s="480"/>
      <c r="AF98" s="480"/>
      <c r="AG98" s="480"/>
    </row>
    <row r="99" spans="1:33" s="471" customFormat="1" hidden="1">
      <c r="A99" s="420">
        <f t="shared" si="24"/>
        <v>89</v>
      </c>
      <c r="B99" s="585">
        <f t="shared" si="16"/>
        <v>0</v>
      </c>
      <c r="C99" s="533">
        <f t="shared" si="17"/>
        <v>0</v>
      </c>
      <c r="D99" s="533">
        <f t="shared" si="18"/>
        <v>0</v>
      </c>
      <c r="E99" s="420"/>
      <c r="F99" s="420" t="str">
        <f t="shared" si="19"/>
        <v>Vacant</v>
      </c>
      <c r="G99" s="586">
        <f t="shared" si="20"/>
        <v>0</v>
      </c>
      <c r="H99" s="581"/>
      <c r="J99" s="582">
        <f>HLOOKUP($J$7,'MR-Stat Data Sheet Bud'!$U$8:$AF$1081,$AA99,FALSE)</f>
        <v>0</v>
      </c>
      <c r="K99" s="582">
        <f>HLOOKUP($J$7,'MR-Stat Data Sheet Bud'!$AS$8:$BD$1081,$AA99,FALSE)</f>
        <v>0</v>
      </c>
      <c r="L99" s="582">
        <f t="shared" si="21"/>
        <v>0</v>
      </c>
      <c r="N99" s="582">
        <f>HLOOKUP($J$7,'MR-Stat Data Sheet Bud'!$BE$8:$BP$1081,$AA99,FALSE)</f>
        <v>0</v>
      </c>
      <c r="O99" s="582">
        <f>HLOOKUP($J$7,'MR-Stat Data Sheet Bud'!$BQ$8:$CB$1081,$AA99,FALSE)</f>
        <v>0</v>
      </c>
      <c r="P99" s="582">
        <f t="shared" si="22"/>
        <v>0</v>
      </c>
      <c r="Q99" s="583"/>
      <c r="S99" s="482">
        <v>0</v>
      </c>
      <c r="T99" s="582">
        <v>0</v>
      </c>
      <c r="U99" s="583"/>
      <c r="V99" s="480"/>
      <c r="W99" s="480"/>
      <c r="X99" s="480"/>
      <c r="Y99" s="480"/>
      <c r="Z99" s="480"/>
      <c r="AA99" s="472">
        <f t="shared" si="23"/>
        <v>91</v>
      </c>
      <c r="AB99" s="480"/>
      <c r="AC99" s="480"/>
      <c r="AD99" s="480"/>
      <c r="AE99" s="480"/>
      <c r="AF99" s="480"/>
      <c r="AG99" s="480"/>
    </row>
    <row r="100" spans="1:33" s="471" customFormat="1" hidden="1">
      <c r="A100" s="420">
        <f t="shared" si="24"/>
        <v>90</v>
      </c>
      <c r="B100" s="585">
        <f t="shared" si="16"/>
        <v>0</v>
      </c>
      <c r="C100" s="533">
        <f t="shared" si="17"/>
        <v>0</v>
      </c>
      <c r="D100" s="533">
        <f t="shared" si="18"/>
        <v>0</v>
      </c>
      <c r="E100" s="420"/>
      <c r="F100" s="420" t="str">
        <f t="shared" si="19"/>
        <v>Vacant</v>
      </c>
      <c r="G100" s="586">
        <f t="shared" si="20"/>
        <v>0</v>
      </c>
      <c r="H100" s="581"/>
      <c r="J100" s="582">
        <f>HLOOKUP($J$7,'MR-Stat Data Sheet Bud'!$U$8:$AF$1081,$AA100,FALSE)</f>
        <v>0</v>
      </c>
      <c r="K100" s="582">
        <f>HLOOKUP($J$7,'MR-Stat Data Sheet Bud'!$AS$8:$BD$1081,$AA100,FALSE)</f>
        <v>0</v>
      </c>
      <c r="L100" s="582">
        <f t="shared" si="21"/>
        <v>0</v>
      </c>
      <c r="N100" s="582">
        <f>HLOOKUP($J$7,'MR-Stat Data Sheet Bud'!$BE$8:$BP$1081,$AA100,FALSE)</f>
        <v>0</v>
      </c>
      <c r="O100" s="582">
        <f>HLOOKUP($J$7,'MR-Stat Data Sheet Bud'!$BQ$8:$CB$1081,$AA100,FALSE)</f>
        <v>0</v>
      </c>
      <c r="P100" s="582">
        <f t="shared" si="22"/>
        <v>0</v>
      </c>
      <c r="Q100" s="583"/>
      <c r="S100" s="482">
        <v>0</v>
      </c>
      <c r="T100" s="582">
        <v>0</v>
      </c>
      <c r="U100" s="583"/>
      <c r="V100" s="480"/>
      <c r="W100" s="480"/>
      <c r="X100" s="480"/>
      <c r="Y100" s="480"/>
      <c r="Z100" s="480"/>
      <c r="AA100" s="472">
        <f t="shared" si="23"/>
        <v>92</v>
      </c>
      <c r="AB100" s="480"/>
      <c r="AC100" s="480"/>
      <c r="AD100" s="480"/>
      <c r="AE100" s="480"/>
      <c r="AF100" s="480"/>
      <c r="AG100" s="480"/>
    </row>
    <row r="101" spans="1:33" s="471" customFormat="1" hidden="1">
      <c r="A101" s="420">
        <f t="shared" si="24"/>
        <v>91</v>
      </c>
      <c r="B101" s="585">
        <f t="shared" si="16"/>
        <v>0</v>
      </c>
      <c r="C101" s="533">
        <f t="shared" si="17"/>
        <v>0</v>
      </c>
      <c r="D101" s="533">
        <f t="shared" si="18"/>
        <v>0</v>
      </c>
      <c r="E101" s="420"/>
      <c r="F101" s="420" t="str">
        <f t="shared" si="19"/>
        <v>Vacant</v>
      </c>
      <c r="G101" s="586">
        <f t="shared" si="20"/>
        <v>0</v>
      </c>
      <c r="H101" s="581"/>
      <c r="J101" s="582">
        <f>HLOOKUP($J$7,'MR-Stat Data Sheet Bud'!$U$8:$AF$1081,$AA101,FALSE)</f>
        <v>0</v>
      </c>
      <c r="K101" s="582">
        <f>HLOOKUP($J$7,'MR-Stat Data Sheet Bud'!$AS$8:$BD$1081,$AA101,FALSE)</f>
        <v>0</v>
      </c>
      <c r="L101" s="582">
        <f t="shared" si="21"/>
        <v>0</v>
      </c>
      <c r="N101" s="582">
        <f>HLOOKUP($J$7,'MR-Stat Data Sheet Bud'!$BE$8:$BP$1081,$AA101,FALSE)</f>
        <v>0</v>
      </c>
      <c r="O101" s="582">
        <f>HLOOKUP($J$7,'MR-Stat Data Sheet Bud'!$BQ$8:$CB$1081,$AA101,FALSE)</f>
        <v>0</v>
      </c>
      <c r="P101" s="582">
        <f t="shared" si="22"/>
        <v>0</v>
      </c>
      <c r="Q101" s="583"/>
      <c r="S101" s="482">
        <v>0</v>
      </c>
      <c r="T101" s="582">
        <v>0</v>
      </c>
      <c r="U101" s="583"/>
      <c r="V101" s="480"/>
      <c r="W101" s="480"/>
      <c r="X101" s="480"/>
      <c r="Y101" s="480"/>
      <c r="Z101" s="480"/>
      <c r="AA101" s="472">
        <f t="shared" si="23"/>
        <v>93</v>
      </c>
      <c r="AB101" s="480"/>
      <c r="AC101" s="480"/>
      <c r="AD101" s="480"/>
      <c r="AE101" s="480"/>
      <c r="AF101" s="480"/>
      <c r="AG101" s="480"/>
    </row>
    <row r="102" spans="1:33" s="471" customFormat="1" hidden="1">
      <c r="A102" s="420">
        <f t="shared" si="24"/>
        <v>92</v>
      </c>
      <c r="B102" s="585">
        <f t="shared" si="16"/>
        <v>0</v>
      </c>
      <c r="C102" s="533">
        <f t="shared" si="17"/>
        <v>0</v>
      </c>
      <c r="D102" s="533">
        <f t="shared" si="18"/>
        <v>0</v>
      </c>
      <c r="E102" s="420"/>
      <c r="F102" s="420" t="str">
        <f t="shared" si="19"/>
        <v>Vacant</v>
      </c>
      <c r="G102" s="586">
        <f t="shared" si="20"/>
        <v>0</v>
      </c>
      <c r="H102" s="581"/>
      <c r="J102" s="582">
        <f>HLOOKUP($J$7,'MR-Stat Data Sheet Bud'!$U$8:$AF$1081,$AA102,FALSE)</f>
        <v>0</v>
      </c>
      <c r="K102" s="582">
        <f>HLOOKUP($J$7,'MR-Stat Data Sheet Bud'!$AS$8:$BD$1081,$AA102,FALSE)</f>
        <v>0</v>
      </c>
      <c r="L102" s="582">
        <f t="shared" si="21"/>
        <v>0</v>
      </c>
      <c r="N102" s="582">
        <f>HLOOKUP($J$7,'MR-Stat Data Sheet Bud'!$BE$8:$BP$1081,$AA102,FALSE)</f>
        <v>0</v>
      </c>
      <c r="O102" s="582">
        <f>HLOOKUP($J$7,'MR-Stat Data Sheet Bud'!$BQ$8:$CB$1081,$AA102,FALSE)</f>
        <v>0</v>
      </c>
      <c r="P102" s="582">
        <f t="shared" si="22"/>
        <v>0</v>
      </c>
      <c r="Q102" s="583"/>
      <c r="S102" s="482">
        <v>0</v>
      </c>
      <c r="T102" s="582">
        <v>0</v>
      </c>
      <c r="U102" s="583"/>
      <c r="V102" s="480"/>
      <c r="W102" s="480"/>
      <c r="X102" s="480"/>
      <c r="Y102" s="480"/>
      <c r="Z102" s="480"/>
      <c r="AA102" s="472">
        <f t="shared" si="23"/>
        <v>94</v>
      </c>
      <c r="AB102" s="480"/>
      <c r="AC102" s="480"/>
      <c r="AD102" s="480"/>
      <c r="AE102" s="480"/>
      <c r="AF102" s="480"/>
      <c r="AG102" s="480"/>
    </row>
    <row r="103" spans="1:33" s="471" customFormat="1" hidden="1">
      <c r="A103" s="420">
        <f t="shared" si="24"/>
        <v>93</v>
      </c>
      <c r="B103" s="585">
        <f t="shared" si="16"/>
        <v>0</v>
      </c>
      <c r="C103" s="533">
        <f t="shared" si="17"/>
        <v>0</v>
      </c>
      <c r="D103" s="533">
        <f t="shared" si="18"/>
        <v>0</v>
      </c>
      <c r="E103" s="420"/>
      <c r="F103" s="420" t="str">
        <f t="shared" si="19"/>
        <v>Vacant</v>
      </c>
      <c r="G103" s="586">
        <f t="shared" si="20"/>
        <v>0</v>
      </c>
      <c r="H103" s="581"/>
      <c r="J103" s="582">
        <f>HLOOKUP($J$7,'MR-Stat Data Sheet Bud'!$U$8:$AF$1081,$AA103,FALSE)</f>
        <v>0</v>
      </c>
      <c r="K103" s="582">
        <f>HLOOKUP($J$7,'MR-Stat Data Sheet Bud'!$AS$8:$BD$1081,$AA103,FALSE)</f>
        <v>0</v>
      </c>
      <c r="L103" s="582">
        <f t="shared" si="21"/>
        <v>0</v>
      </c>
      <c r="N103" s="582">
        <f>HLOOKUP($J$7,'MR-Stat Data Sheet Bud'!$BE$8:$BP$1081,$AA103,FALSE)</f>
        <v>0</v>
      </c>
      <c r="O103" s="582">
        <f>HLOOKUP($J$7,'MR-Stat Data Sheet Bud'!$BQ$8:$CB$1081,$AA103,FALSE)</f>
        <v>0</v>
      </c>
      <c r="P103" s="582">
        <f t="shared" si="22"/>
        <v>0</v>
      </c>
      <c r="Q103" s="583"/>
      <c r="S103" s="482">
        <v>0</v>
      </c>
      <c r="T103" s="582">
        <v>0</v>
      </c>
      <c r="U103" s="583"/>
      <c r="V103" s="480"/>
      <c r="W103" s="480"/>
      <c r="X103" s="480"/>
      <c r="Y103" s="480"/>
      <c r="Z103" s="480"/>
      <c r="AA103" s="472">
        <f t="shared" si="23"/>
        <v>95</v>
      </c>
      <c r="AB103" s="480"/>
      <c r="AC103" s="480"/>
      <c r="AD103" s="480"/>
      <c r="AE103" s="480"/>
      <c r="AF103" s="480"/>
      <c r="AG103" s="480"/>
    </row>
    <row r="104" spans="1:33" s="471" customFormat="1" hidden="1">
      <c r="A104" s="420">
        <f t="shared" si="24"/>
        <v>94</v>
      </c>
      <c r="B104" s="585">
        <f t="shared" si="16"/>
        <v>0</v>
      </c>
      <c r="C104" s="533">
        <f t="shared" si="17"/>
        <v>0</v>
      </c>
      <c r="D104" s="533">
        <f t="shared" si="18"/>
        <v>0</v>
      </c>
      <c r="E104" s="420"/>
      <c r="F104" s="420" t="str">
        <f t="shared" si="19"/>
        <v>Vacant</v>
      </c>
      <c r="G104" s="586">
        <f t="shared" si="20"/>
        <v>0</v>
      </c>
      <c r="H104" s="581"/>
      <c r="J104" s="582">
        <f>HLOOKUP($J$7,'MR-Stat Data Sheet Bud'!$U$8:$AF$1081,$AA104,FALSE)</f>
        <v>0</v>
      </c>
      <c r="K104" s="582">
        <f>HLOOKUP($J$7,'MR-Stat Data Sheet Bud'!$AS$8:$BD$1081,$AA104,FALSE)</f>
        <v>0</v>
      </c>
      <c r="L104" s="582">
        <f t="shared" si="21"/>
        <v>0</v>
      </c>
      <c r="N104" s="582">
        <f>HLOOKUP($J$7,'MR-Stat Data Sheet Bud'!$BE$8:$BP$1081,$AA104,FALSE)</f>
        <v>0</v>
      </c>
      <c r="O104" s="582">
        <f>HLOOKUP($J$7,'MR-Stat Data Sheet Bud'!$BQ$8:$CB$1081,$AA104,FALSE)</f>
        <v>0</v>
      </c>
      <c r="P104" s="582">
        <f t="shared" si="22"/>
        <v>0</v>
      </c>
      <c r="Q104" s="583"/>
      <c r="S104" s="482">
        <v>0</v>
      </c>
      <c r="T104" s="582">
        <v>0</v>
      </c>
      <c r="U104" s="583"/>
      <c r="V104" s="480"/>
      <c r="W104" s="480"/>
      <c r="X104" s="480"/>
      <c r="Y104" s="480"/>
      <c r="Z104" s="480"/>
      <c r="AA104" s="472">
        <f t="shared" si="23"/>
        <v>96</v>
      </c>
      <c r="AB104" s="480"/>
      <c r="AC104" s="480"/>
      <c r="AD104" s="480"/>
      <c r="AE104" s="480"/>
      <c r="AF104" s="480"/>
      <c r="AG104" s="480"/>
    </row>
    <row r="105" spans="1:33" s="471" customFormat="1" hidden="1">
      <c r="A105" s="420">
        <f t="shared" si="24"/>
        <v>95</v>
      </c>
      <c r="B105" s="585">
        <f t="shared" si="16"/>
        <v>0</v>
      </c>
      <c r="C105" s="533">
        <f t="shared" si="17"/>
        <v>0</v>
      </c>
      <c r="D105" s="533">
        <f t="shared" si="18"/>
        <v>0</v>
      </c>
      <c r="E105" s="420"/>
      <c r="F105" s="420" t="str">
        <f t="shared" si="19"/>
        <v>Vacant</v>
      </c>
      <c r="G105" s="586">
        <f t="shared" si="20"/>
        <v>0</v>
      </c>
      <c r="H105" s="581"/>
      <c r="J105" s="582">
        <f>HLOOKUP($J$7,'MR-Stat Data Sheet Bud'!$U$8:$AF$1081,$AA105,FALSE)</f>
        <v>0</v>
      </c>
      <c r="K105" s="582">
        <f>HLOOKUP($J$7,'MR-Stat Data Sheet Bud'!$AS$8:$BD$1081,$AA105,FALSE)</f>
        <v>0</v>
      </c>
      <c r="L105" s="582">
        <f t="shared" si="21"/>
        <v>0</v>
      </c>
      <c r="N105" s="582">
        <f>HLOOKUP($J$7,'MR-Stat Data Sheet Bud'!$BE$8:$BP$1081,$AA105,FALSE)</f>
        <v>0</v>
      </c>
      <c r="O105" s="582">
        <f>HLOOKUP($J$7,'MR-Stat Data Sheet Bud'!$BQ$8:$CB$1081,$AA105,FALSE)</f>
        <v>0</v>
      </c>
      <c r="P105" s="582">
        <f t="shared" si="22"/>
        <v>0</v>
      </c>
      <c r="Q105" s="583"/>
      <c r="S105" s="482">
        <v>0</v>
      </c>
      <c r="T105" s="582">
        <v>0</v>
      </c>
      <c r="U105" s="583"/>
      <c r="V105" s="480"/>
      <c r="W105" s="480"/>
      <c r="X105" s="480"/>
      <c r="Y105" s="480"/>
      <c r="Z105" s="480"/>
      <c r="AA105" s="472">
        <f t="shared" si="23"/>
        <v>97</v>
      </c>
      <c r="AB105" s="480"/>
      <c r="AC105" s="480"/>
      <c r="AD105" s="480"/>
      <c r="AE105" s="480"/>
      <c r="AF105" s="480"/>
      <c r="AG105" s="480"/>
    </row>
    <row r="106" spans="1:33" s="471" customFormat="1" hidden="1">
      <c r="A106" s="420">
        <f t="shared" si="24"/>
        <v>96</v>
      </c>
      <c r="B106" s="585">
        <f t="shared" si="16"/>
        <v>0</v>
      </c>
      <c r="C106" s="533">
        <f t="shared" si="17"/>
        <v>0</v>
      </c>
      <c r="D106" s="533">
        <f t="shared" si="18"/>
        <v>0</v>
      </c>
      <c r="E106" s="420"/>
      <c r="F106" s="420" t="str">
        <f t="shared" si="19"/>
        <v>Vacant</v>
      </c>
      <c r="G106" s="586">
        <f t="shared" si="20"/>
        <v>0</v>
      </c>
      <c r="H106" s="581"/>
      <c r="J106" s="582">
        <f>HLOOKUP($J$7,'MR-Stat Data Sheet Bud'!$U$8:$AF$1081,$AA106,FALSE)</f>
        <v>0</v>
      </c>
      <c r="K106" s="582">
        <f>HLOOKUP($J$7,'MR-Stat Data Sheet Bud'!$AS$8:$BD$1081,$AA106,FALSE)</f>
        <v>0</v>
      </c>
      <c r="L106" s="582">
        <f t="shared" si="21"/>
        <v>0</v>
      </c>
      <c r="N106" s="582">
        <f>HLOOKUP($J$7,'MR-Stat Data Sheet Bud'!$BE$8:$BP$1081,$AA106,FALSE)</f>
        <v>0</v>
      </c>
      <c r="O106" s="582">
        <f>HLOOKUP($J$7,'MR-Stat Data Sheet Bud'!$BQ$8:$CB$1081,$AA106,FALSE)</f>
        <v>0</v>
      </c>
      <c r="P106" s="582">
        <f t="shared" si="22"/>
        <v>0</v>
      </c>
      <c r="Q106" s="583"/>
      <c r="S106" s="482">
        <v>0</v>
      </c>
      <c r="T106" s="582">
        <v>0</v>
      </c>
      <c r="U106" s="583"/>
      <c r="V106" s="480"/>
      <c r="W106" s="480"/>
      <c r="X106" s="480"/>
      <c r="Y106" s="480"/>
      <c r="Z106" s="480"/>
      <c r="AA106" s="472">
        <f t="shared" si="23"/>
        <v>98</v>
      </c>
      <c r="AB106" s="480"/>
      <c r="AC106" s="480"/>
      <c r="AD106" s="480"/>
      <c r="AE106" s="480"/>
      <c r="AF106" s="480"/>
      <c r="AG106" s="480"/>
    </row>
    <row r="107" spans="1:33" s="471" customFormat="1" hidden="1">
      <c r="A107" s="420">
        <f t="shared" si="24"/>
        <v>97</v>
      </c>
      <c r="B107" s="585">
        <f t="shared" ref="B107:B141" si="25">VLOOKUP($A107,Suite_Data,2,FALSE)</f>
        <v>0</v>
      </c>
      <c r="C107" s="533">
        <f t="shared" ref="C107:C141" si="26">VLOOKUP($A107,Suite_Data,3,FALSE)</f>
        <v>0</v>
      </c>
      <c r="D107" s="533">
        <f t="shared" ref="D107:D141" si="27">VLOOKUP($A107,Suite_Data,4,FALSE)</f>
        <v>0</v>
      </c>
      <c r="E107" s="420"/>
      <c r="F107" s="420" t="str">
        <f t="shared" ref="F107:F141" si="28">IF(HLOOKUP($J$7,Actual_Sqft,AA107,FALSE)&gt;0,"Occupied","Vacant")</f>
        <v>Vacant</v>
      </c>
      <c r="G107" s="586">
        <f t="shared" ref="G107:G141" si="29">VLOOKUP($A107,Suite_Data,6,FALSE)</f>
        <v>0</v>
      </c>
      <c r="H107" s="581"/>
      <c r="J107" s="582">
        <f>HLOOKUP($J$7,'MR-Stat Data Sheet Bud'!$U$8:$AF$1081,$AA107,FALSE)</f>
        <v>0</v>
      </c>
      <c r="K107" s="582">
        <f>HLOOKUP($J$7,'MR-Stat Data Sheet Bud'!$AS$8:$BD$1081,$AA107,FALSE)</f>
        <v>0</v>
      </c>
      <c r="L107" s="582">
        <f t="shared" ref="L107:L138" si="30">+J107-K107</f>
        <v>0</v>
      </c>
      <c r="N107" s="582">
        <f>HLOOKUP($J$7,'MR-Stat Data Sheet Bud'!$BE$8:$BP$1081,$AA107,FALSE)</f>
        <v>0</v>
      </c>
      <c r="O107" s="582">
        <f>HLOOKUP($J$7,'MR-Stat Data Sheet Bud'!$BQ$8:$CB$1081,$AA107,FALSE)</f>
        <v>0</v>
      </c>
      <c r="P107" s="582">
        <f t="shared" ref="P107:P138" si="31">+N107-O107</f>
        <v>0</v>
      </c>
      <c r="Q107" s="583"/>
      <c r="S107" s="482">
        <v>0</v>
      </c>
      <c r="T107" s="582">
        <v>0</v>
      </c>
      <c r="U107" s="583"/>
      <c r="V107" s="480"/>
      <c r="W107" s="480"/>
      <c r="X107" s="480"/>
      <c r="Y107" s="480"/>
      <c r="Z107" s="480"/>
      <c r="AA107" s="472">
        <f t="shared" si="23"/>
        <v>99</v>
      </c>
      <c r="AB107" s="480"/>
      <c r="AC107" s="480"/>
      <c r="AD107" s="480"/>
      <c r="AE107" s="480"/>
      <c r="AF107" s="480"/>
      <c r="AG107" s="480"/>
    </row>
    <row r="108" spans="1:33" s="471" customFormat="1" hidden="1">
      <c r="A108" s="420">
        <f t="shared" si="24"/>
        <v>98</v>
      </c>
      <c r="B108" s="585">
        <f t="shared" si="25"/>
        <v>0</v>
      </c>
      <c r="C108" s="533">
        <f t="shared" si="26"/>
        <v>0</v>
      </c>
      <c r="D108" s="533">
        <f t="shared" si="27"/>
        <v>0</v>
      </c>
      <c r="E108" s="420"/>
      <c r="F108" s="420" t="str">
        <f t="shared" si="28"/>
        <v>Vacant</v>
      </c>
      <c r="G108" s="586">
        <f t="shared" si="29"/>
        <v>0</v>
      </c>
      <c r="H108" s="581"/>
      <c r="J108" s="582">
        <f>HLOOKUP($J$7,'MR-Stat Data Sheet Bud'!$U$8:$AF$1081,$AA108,FALSE)</f>
        <v>0</v>
      </c>
      <c r="K108" s="582">
        <f>HLOOKUP($J$7,'MR-Stat Data Sheet Bud'!$AS$8:$BD$1081,$AA108,FALSE)</f>
        <v>0</v>
      </c>
      <c r="L108" s="582">
        <f t="shared" si="30"/>
        <v>0</v>
      </c>
      <c r="N108" s="582">
        <f>HLOOKUP($J$7,'MR-Stat Data Sheet Bud'!$BE$8:$BP$1081,$AA108,FALSE)</f>
        <v>0</v>
      </c>
      <c r="O108" s="582">
        <f>HLOOKUP($J$7,'MR-Stat Data Sheet Bud'!$BQ$8:$CB$1081,$AA108,FALSE)</f>
        <v>0</v>
      </c>
      <c r="P108" s="582">
        <f t="shared" si="31"/>
        <v>0</v>
      </c>
      <c r="Q108" s="583"/>
      <c r="S108" s="482">
        <v>0</v>
      </c>
      <c r="T108" s="582">
        <v>0</v>
      </c>
      <c r="U108" s="583"/>
      <c r="V108" s="480"/>
      <c r="W108" s="480"/>
      <c r="X108" s="480"/>
      <c r="Y108" s="480"/>
      <c r="Z108" s="480"/>
      <c r="AA108" s="472">
        <f t="shared" si="23"/>
        <v>100</v>
      </c>
      <c r="AB108" s="480"/>
      <c r="AC108" s="480"/>
      <c r="AD108" s="480"/>
      <c r="AE108" s="480"/>
      <c r="AF108" s="480"/>
      <c r="AG108" s="480"/>
    </row>
    <row r="109" spans="1:33" s="471" customFormat="1" hidden="1">
      <c r="A109" s="420">
        <f t="shared" si="24"/>
        <v>99</v>
      </c>
      <c r="B109" s="585">
        <f t="shared" si="25"/>
        <v>0</v>
      </c>
      <c r="C109" s="533">
        <f t="shared" si="26"/>
        <v>0</v>
      </c>
      <c r="D109" s="533">
        <f t="shared" si="27"/>
        <v>0</v>
      </c>
      <c r="E109" s="420"/>
      <c r="F109" s="420" t="str">
        <f t="shared" si="28"/>
        <v>Vacant</v>
      </c>
      <c r="G109" s="586">
        <f t="shared" si="29"/>
        <v>0</v>
      </c>
      <c r="H109" s="581"/>
      <c r="J109" s="582">
        <f>HLOOKUP($J$7,'MR-Stat Data Sheet Bud'!$U$8:$AF$1081,$AA109,FALSE)</f>
        <v>0</v>
      </c>
      <c r="K109" s="582">
        <f>HLOOKUP($J$7,'MR-Stat Data Sheet Bud'!$AS$8:$BD$1081,$AA109,FALSE)</f>
        <v>0</v>
      </c>
      <c r="L109" s="582">
        <f t="shared" si="30"/>
        <v>0</v>
      </c>
      <c r="N109" s="582">
        <f>HLOOKUP($J$7,'MR-Stat Data Sheet Bud'!$BE$8:$BP$1081,$AA109,FALSE)</f>
        <v>0</v>
      </c>
      <c r="O109" s="582">
        <f>HLOOKUP($J$7,'MR-Stat Data Sheet Bud'!$BQ$8:$CB$1081,$AA109,FALSE)</f>
        <v>0</v>
      </c>
      <c r="P109" s="582">
        <f t="shared" si="31"/>
        <v>0</v>
      </c>
      <c r="Q109" s="583"/>
      <c r="S109" s="482">
        <v>0</v>
      </c>
      <c r="T109" s="582">
        <v>0</v>
      </c>
      <c r="U109" s="583"/>
      <c r="V109" s="480"/>
      <c r="W109" s="480"/>
      <c r="X109" s="480"/>
      <c r="Y109" s="480"/>
      <c r="Z109" s="480"/>
      <c r="AA109" s="472">
        <f t="shared" si="23"/>
        <v>101</v>
      </c>
      <c r="AB109" s="480"/>
      <c r="AC109" s="480"/>
      <c r="AD109" s="480"/>
      <c r="AE109" s="480"/>
      <c r="AF109" s="480"/>
      <c r="AG109" s="480"/>
    </row>
    <row r="110" spans="1:33" s="471" customFormat="1" hidden="1">
      <c r="A110" s="420">
        <f t="shared" si="24"/>
        <v>100</v>
      </c>
      <c r="B110" s="585">
        <f t="shared" si="25"/>
        <v>0</v>
      </c>
      <c r="C110" s="533">
        <f t="shared" si="26"/>
        <v>0</v>
      </c>
      <c r="D110" s="533">
        <f t="shared" si="27"/>
        <v>0</v>
      </c>
      <c r="E110" s="420"/>
      <c r="F110" s="420" t="str">
        <f t="shared" si="28"/>
        <v>Vacant</v>
      </c>
      <c r="G110" s="586">
        <f t="shared" si="29"/>
        <v>0</v>
      </c>
      <c r="H110" s="581"/>
      <c r="J110" s="582">
        <f>HLOOKUP($J$7,'MR-Stat Data Sheet Bud'!$U$8:$AF$1081,$AA110,FALSE)</f>
        <v>0</v>
      </c>
      <c r="K110" s="582">
        <f>HLOOKUP($J$7,'MR-Stat Data Sheet Bud'!$AS$8:$BD$1081,$AA110,FALSE)</f>
        <v>0</v>
      </c>
      <c r="L110" s="582">
        <f t="shared" si="30"/>
        <v>0</v>
      </c>
      <c r="N110" s="582">
        <f>HLOOKUP($J$7,'MR-Stat Data Sheet Bud'!$BE$8:$BP$1081,$AA110,FALSE)</f>
        <v>0</v>
      </c>
      <c r="O110" s="582">
        <f>HLOOKUP($J$7,'MR-Stat Data Sheet Bud'!$BQ$8:$CB$1081,$AA110,FALSE)</f>
        <v>0</v>
      </c>
      <c r="P110" s="582">
        <f t="shared" si="31"/>
        <v>0</v>
      </c>
      <c r="Q110" s="583"/>
      <c r="S110" s="482">
        <v>0</v>
      </c>
      <c r="T110" s="582">
        <v>0</v>
      </c>
      <c r="U110" s="583"/>
      <c r="V110" s="480"/>
      <c r="W110" s="480"/>
      <c r="X110" s="480"/>
      <c r="Y110" s="480"/>
      <c r="Z110" s="480"/>
      <c r="AA110" s="472">
        <f t="shared" si="23"/>
        <v>102</v>
      </c>
      <c r="AB110" s="480"/>
      <c r="AC110" s="480"/>
      <c r="AD110" s="480"/>
      <c r="AE110" s="480"/>
      <c r="AF110" s="480"/>
      <c r="AG110" s="480"/>
    </row>
    <row r="111" spans="1:33" s="471" customFormat="1" hidden="1">
      <c r="A111" s="420">
        <f t="shared" si="24"/>
        <v>101</v>
      </c>
      <c r="B111" s="585">
        <f t="shared" si="25"/>
        <v>0</v>
      </c>
      <c r="C111" s="533">
        <f t="shared" si="26"/>
        <v>0</v>
      </c>
      <c r="D111" s="533">
        <f t="shared" si="27"/>
        <v>0</v>
      </c>
      <c r="E111" s="420"/>
      <c r="F111" s="420" t="str">
        <f t="shared" si="28"/>
        <v>Vacant</v>
      </c>
      <c r="G111" s="586">
        <f t="shared" si="29"/>
        <v>0</v>
      </c>
      <c r="H111" s="581"/>
      <c r="J111" s="582">
        <f>HLOOKUP($J$7,'MR-Stat Data Sheet Bud'!$U$8:$AF$1081,$AA111,FALSE)</f>
        <v>0</v>
      </c>
      <c r="K111" s="582">
        <f>HLOOKUP($J$7,'MR-Stat Data Sheet Bud'!$AS$8:$BD$1081,$AA111,FALSE)</f>
        <v>0</v>
      </c>
      <c r="L111" s="582">
        <f t="shared" si="30"/>
        <v>0</v>
      </c>
      <c r="N111" s="582">
        <f>HLOOKUP($J$7,'MR-Stat Data Sheet Bud'!$BE$8:$BP$1081,$AA111,FALSE)</f>
        <v>0</v>
      </c>
      <c r="O111" s="582">
        <f>HLOOKUP($J$7,'MR-Stat Data Sheet Bud'!$BQ$8:$CB$1081,$AA111,FALSE)</f>
        <v>0</v>
      </c>
      <c r="P111" s="582">
        <f t="shared" si="31"/>
        <v>0</v>
      </c>
      <c r="Q111" s="583"/>
      <c r="S111" s="482">
        <v>0</v>
      </c>
      <c r="T111" s="582">
        <v>0</v>
      </c>
      <c r="U111" s="583"/>
      <c r="V111" s="480"/>
      <c r="W111" s="480"/>
      <c r="X111" s="480"/>
      <c r="Y111" s="480"/>
      <c r="Z111" s="480"/>
      <c r="AA111" s="472">
        <f t="shared" si="23"/>
        <v>103</v>
      </c>
      <c r="AB111" s="480"/>
      <c r="AC111" s="480"/>
      <c r="AD111" s="480"/>
      <c r="AE111" s="480"/>
      <c r="AF111" s="480"/>
      <c r="AG111" s="480"/>
    </row>
    <row r="112" spans="1:33" s="471" customFormat="1" hidden="1">
      <c r="A112" s="420">
        <f t="shared" si="24"/>
        <v>102</v>
      </c>
      <c r="B112" s="585">
        <f t="shared" si="25"/>
        <v>0</v>
      </c>
      <c r="C112" s="533">
        <f t="shared" si="26"/>
        <v>0</v>
      </c>
      <c r="D112" s="533">
        <f t="shared" si="27"/>
        <v>0</v>
      </c>
      <c r="E112" s="420"/>
      <c r="F112" s="420" t="str">
        <f t="shared" si="28"/>
        <v>Vacant</v>
      </c>
      <c r="G112" s="586">
        <f t="shared" si="29"/>
        <v>0</v>
      </c>
      <c r="H112" s="581"/>
      <c r="J112" s="582">
        <f>HLOOKUP($J$7,'MR-Stat Data Sheet Bud'!$U$8:$AF$1081,$AA112,FALSE)</f>
        <v>0</v>
      </c>
      <c r="K112" s="582">
        <f>HLOOKUP($J$7,'MR-Stat Data Sheet Bud'!$AS$8:$BD$1081,$AA112,FALSE)</f>
        <v>0</v>
      </c>
      <c r="L112" s="582">
        <f t="shared" si="30"/>
        <v>0</v>
      </c>
      <c r="N112" s="582">
        <f>HLOOKUP($J$7,'MR-Stat Data Sheet Bud'!$BE$8:$BP$1081,$AA112,FALSE)</f>
        <v>0</v>
      </c>
      <c r="O112" s="582">
        <f>HLOOKUP($J$7,'MR-Stat Data Sheet Bud'!$BQ$8:$CB$1081,$AA112,FALSE)</f>
        <v>0</v>
      </c>
      <c r="P112" s="582">
        <f t="shared" si="31"/>
        <v>0</v>
      </c>
      <c r="Q112" s="583"/>
      <c r="S112" s="482">
        <v>0</v>
      </c>
      <c r="T112" s="582">
        <v>0</v>
      </c>
      <c r="U112" s="583"/>
      <c r="V112" s="480"/>
      <c r="W112" s="480"/>
      <c r="X112" s="480"/>
      <c r="Y112" s="480"/>
      <c r="Z112" s="480"/>
      <c r="AA112" s="472">
        <f t="shared" si="23"/>
        <v>104</v>
      </c>
      <c r="AB112" s="480"/>
      <c r="AC112" s="480"/>
      <c r="AD112" s="480"/>
      <c r="AE112" s="480"/>
      <c r="AF112" s="480"/>
      <c r="AG112" s="480"/>
    </row>
    <row r="113" spans="1:33" s="471" customFormat="1" hidden="1">
      <c r="A113" s="420">
        <f t="shared" si="24"/>
        <v>103</v>
      </c>
      <c r="B113" s="585">
        <f t="shared" si="25"/>
        <v>0</v>
      </c>
      <c r="C113" s="533">
        <f t="shared" si="26"/>
        <v>0</v>
      </c>
      <c r="D113" s="533">
        <f t="shared" si="27"/>
        <v>0</v>
      </c>
      <c r="E113" s="420"/>
      <c r="F113" s="420" t="str">
        <f t="shared" si="28"/>
        <v>Vacant</v>
      </c>
      <c r="G113" s="586">
        <f t="shared" si="29"/>
        <v>0</v>
      </c>
      <c r="H113" s="581"/>
      <c r="J113" s="582">
        <f>HLOOKUP($J$7,'MR-Stat Data Sheet Bud'!$U$8:$AF$1081,$AA113,FALSE)</f>
        <v>0</v>
      </c>
      <c r="K113" s="582">
        <f>HLOOKUP($J$7,'MR-Stat Data Sheet Bud'!$AS$8:$BD$1081,$AA113,FALSE)</f>
        <v>0</v>
      </c>
      <c r="L113" s="582">
        <f t="shared" si="30"/>
        <v>0</v>
      </c>
      <c r="N113" s="582">
        <f>HLOOKUP($J$7,'MR-Stat Data Sheet Bud'!$BE$8:$BP$1081,$AA113,FALSE)</f>
        <v>0</v>
      </c>
      <c r="O113" s="582">
        <f>HLOOKUP($J$7,'MR-Stat Data Sheet Bud'!$BQ$8:$CB$1081,$AA113,FALSE)</f>
        <v>0</v>
      </c>
      <c r="P113" s="582">
        <f t="shared" si="31"/>
        <v>0</v>
      </c>
      <c r="Q113" s="583"/>
      <c r="S113" s="482">
        <v>0</v>
      </c>
      <c r="T113" s="582">
        <v>0</v>
      </c>
      <c r="U113" s="583"/>
      <c r="V113" s="480"/>
      <c r="W113" s="480"/>
      <c r="X113" s="480"/>
      <c r="Y113" s="480"/>
      <c r="Z113" s="480"/>
      <c r="AA113" s="472">
        <f t="shared" si="23"/>
        <v>105</v>
      </c>
      <c r="AB113" s="480"/>
      <c r="AC113" s="480"/>
      <c r="AD113" s="480"/>
      <c r="AE113" s="480"/>
      <c r="AF113" s="480"/>
      <c r="AG113" s="480"/>
    </row>
    <row r="114" spans="1:33" s="471" customFormat="1" hidden="1">
      <c r="A114" s="420">
        <f t="shared" si="24"/>
        <v>104</v>
      </c>
      <c r="B114" s="585">
        <f t="shared" si="25"/>
        <v>0</v>
      </c>
      <c r="C114" s="533">
        <f t="shared" si="26"/>
        <v>0</v>
      </c>
      <c r="D114" s="533">
        <f t="shared" si="27"/>
        <v>0</v>
      </c>
      <c r="E114" s="420"/>
      <c r="F114" s="420" t="str">
        <f t="shared" si="28"/>
        <v>Vacant</v>
      </c>
      <c r="G114" s="586">
        <f t="shared" si="29"/>
        <v>0</v>
      </c>
      <c r="H114" s="581"/>
      <c r="J114" s="582">
        <f>HLOOKUP($J$7,'MR-Stat Data Sheet Bud'!$U$8:$AF$1081,$AA114,FALSE)</f>
        <v>0</v>
      </c>
      <c r="K114" s="582">
        <f>HLOOKUP($J$7,'MR-Stat Data Sheet Bud'!$AS$8:$BD$1081,$AA114,FALSE)</f>
        <v>0</v>
      </c>
      <c r="L114" s="582">
        <f t="shared" si="30"/>
        <v>0</v>
      </c>
      <c r="N114" s="582">
        <f>HLOOKUP($J$7,'MR-Stat Data Sheet Bud'!$BE$8:$BP$1081,$AA114,FALSE)</f>
        <v>0</v>
      </c>
      <c r="O114" s="582">
        <f>HLOOKUP($J$7,'MR-Stat Data Sheet Bud'!$BQ$8:$CB$1081,$AA114,FALSE)</f>
        <v>0</v>
      </c>
      <c r="P114" s="582">
        <f t="shared" si="31"/>
        <v>0</v>
      </c>
      <c r="Q114" s="583"/>
      <c r="S114" s="482">
        <v>0</v>
      </c>
      <c r="T114" s="582">
        <v>0</v>
      </c>
      <c r="U114" s="583"/>
      <c r="V114" s="480"/>
      <c r="W114" s="480"/>
      <c r="X114" s="480"/>
      <c r="Y114" s="480"/>
      <c r="Z114" s="480"/>
      <c r="AA114" s="472">
        <f t="shared" si="23"/>
        <v>106</v>
      </c>
      <c r="AB114" s="480"/>
      <c r="AC114" s="480"/>
      <c r="AD114" s="480"/>
      <c r="AE114" s="480"/>
      <c r="AF114" s="480"/>
      <c r="AG114" s="480"/>
    </row>
    <row r="115" spans="1:33" s="471" customFormat="1" hidden="1">
      <c r="A115" s="420">
        <f t="shared" si="24"/>
        <v>105</v>
      </c>
      <c r="B115" s="585">
        <f t="shared" si="25"/>
        <v>0</v>
      </c>
      <c r="C115" s="533">
        <f t="shared" si="26"/>
        <v>0</v>
      </c>
      <c r="D115" s="533">
        <f t="shared" si="27"/>
        <v>0</v>
      </c>
      <c r="E115" s="420"/>
      <c r="F115" s="420" t="str">
        <f t="shared" si="28"/>
        <v>Vacant</v>
      </c>
      <c r="G115" s="586">
        <f t="shared" si="29"/>
        <v>0</v>
      </c>
      <c r="H115" s="581"/>
      <c r="J115" s="582">
        <f>HLOOKUP($J$7,'MR-Stat Data Sheet Bud'!$U$8:$AF$1081,$AA115,FALSE)</f>
        <v>0</v>
      </c>
      <c r="K115" s="582">
        <f>HLOOKUP($J$7,'MR-Stat Data Sheet Bud'!$AS$8:$BD$1081,$AA115,FALSE)</f>
        <v>0</v>
      </c>
      <c r="L115" s="582">
        <f t="shared" si="30"/>
        <v>0</v>
      </c>
      <c r="N115" s="582">
        <f>HLOOKUP($J$7,'MR-Stat Data Sheet Bud'!$BE$8:$BP$1081,$AA115,FALSE)</f>
        <v>0</v>
      </c>
      <c r="O115" s="582">
        <f>HLOOKUP($J$7,'MR-Stat Data Sheet Bud'!$BQ$8:$CB$1081,$AA115,FALSE)</f>
        <v>0</v>
      </c>
      <c r="P115" s="582">
        <f t="shared" si="31"/>
        <v>0</v>
      </c>
      <c r="Q115" s="583"/>
      <c r="S115" s="482">
        <v>0</v>
      </c>
      <c r="T115" s="582">
        <v>0</v>
      </c>
      <c r="U115" s="583"/>
      <c r="V115" s="480"/>
      <c r="W115" s="480"/>
      <c r="X115" s="480"/>
      <c r="Y115" s="480"/>
      <c r="Z115" s="480"/>
      <c r="AA115" s="472">
        <f t="shared" si="23"/>
        <v>107</v>
      </c>
      <c r="AB115" s="480"/>
      <c r="AC115" s="480"/>
      <c r="AD115" s="480"/>
      <c r="AE115" s="480"/>
      <c r="AF115" s="480"/>
      <c r="AG115" s="480"/>
    </row>
    <row r="116" spans="1:33" s="471" customFormat="1" hidden="1">
      <c r="A116" s="420">
        <f t="shared" si="24"/>
        <v>106</v>
      </c>
      <c r="B116" s="585">
        <f t="shared" si="25"/>
        <v>0</v>
      </c>
      <c r="C116" s="533">
        <f t="shared" si="26"/>
        <v>0</v>
      </c>
      <c r="D116" s="533">
        <f t="shared" si="27"/>
        <v>0</v>
      </c>
      <c r="E116" s="420"/>
      <c r="F116" s="420" t="str">
        <f t="shared" si="28"/>
        <v>Vacant</v>
      </c>
      <c r="G116" s="586">
        <f t="shared" si="29"/>
        <v>0</v>
      </c>
      <c r="H116" s="581"/>
      <c r="J116" s="582">
        <f>HLOOKUP($J$7,'MR-Stat Data Sheet Bud'!$U$8:$AF$1081,$AA116,FALSE)</f>
        <v>0</v>
      </c>
      <c r="K116" s="582">
        <f>HLOOKUP($J$7,'MR-Stat Data Sheet Bud'!$AS$8:$BD$1081,$AA116,FALSE)</f>
        <v>0</v>
      </c>
      <c r="L116" s="582">
        <f t="shared" si="30"/>
        <v>0</v>
      </c>
      <c r="N116" s="582">
        <f>HLOOKUP($J$7,'MR-Stat Data Sheet Bud'!$BE$8:$BP$1081,$AA116,FALSE)</f>
        <v>0</v>
      </c>
      <c r="O116" s="582">
        <f>HLOOKUP($J$7,'MR-Stat Data Sheet Bud'!$BQ$8:$CB$1081,$AA116,FALSE)</f>
        <v>0</v>
      </c>
      <c r="P116" s="582">
        <f t="shared" si="31"/>
        <v>0</v>
      </c>
      <c r="Q116" s="583"/>
      <c r="S116" s="482">
        <v>0</v>
      </c>
      <c r="T116" s="582">
        <v>0</v>
      </c>
      <c r="U116" s="583"/>
      <c r="V116" s="480"/>
      <c r="W116" s="480"/>
      <c r="X116" s="480"/>
      <c r="Y116" s="480"/>
      <c r="Z116" s="480"/>
      <c r="AA116" s="472">
        <f t="shared" si="23"/>
        <v>108</v>
      </c>
      <c r="AB116" s="480"/>
      <c r="AC116" s="480"/>
      <c r="AD116" s="480"/>
      <c r="AE116" s="480"/>
      <c r="AF116" s="480"/>
      <c r="AG116" s="480"/>
    </row>
    <row r="117" spans="1:33" s="471" customFormat="1" hidden="1">
      <c r="A117" s="420">
        <f t="shared" si="24"/>
        <v>107</v>
      </c>
      <c r="B117" s="585">
        <f t="shared" si="25"/>
        <v>0</v>
      </c>
      <c r="C117" s="533">
        <f t="shared" si="26"/>
        <v>0</v>
      </c>
      <c r="D117" s="533">
        <f t="shared" si="27"/>
        <v>0</v>
      </c>
      <c r="E117" s="420"/>
      <c r="F117" s="420" t="str">
        <f t="shared" si="28"/>
        <v>Vacant</v>
      </c>
      <c r="G117" s="586">
        <f t="shared" si="29"/>
        <v>0</v>
      </c>
      <c r="H117" s="581"/>
      <c r="J117" s="582">
        <f>HLOOKUP($J$7,'MR-Stat Data Sheet Bud'!$U$8:$AF$1081,$AA117,FALSE)</f>
        <v>0</v>
      </c>
      <c r="K117" s="582">
        <f>HLOOKUP($J$7,'MR-Stat Data Sheet Bud'!$AS$8:$BD$1081,$AA117,FALSE)</f>
        <v>0</v>
      </c>
      <c r="L117" s="582">
        <f t="shared" si="30"/>
        <v>0</v>
      </c>
      <c r="N117" s="582">
        <f>HLOOKUP($J$7,'MR-Stat Data Sheet Bud'!$BE$8:$BP$1081,$AA117,FALSE)</f>
        <v>0</v>
      </c>
      <c r="O117" s="582">
        <f>HLOOKUP($J$7,'MR-Stat Data Sheet Bud'!$BQ$8:$CB$1081,$AA117,FALSE)</f>
        <v>0</v>
      </c>
      <c r="P117" s="582">
        <f t="shared" si="31"/>
        <v>0</v>
      </c>
      <c r="Q117" s="583"/>
      <c r="S117" s="482">
        <v>0</v>
      </c>
      <c r="T117" s="582">
        <v>0</v>
      </c>
      <c r="U117" s="583"/>
      <c r="V117" s="480"/>
      <c r="W117" s="480"/>
      <c r="X117" s="480"/>
      <c r="Y117" s="480"/>
      <c r="Z117" s="480"/>
      <c r="AA117" s="472">
        <f t="shared" si="23"/>
        <v>109</v>
      </c>
      <c r="AB117" s="480"/>
      <c r="AC117" s="480"/>
      <c r="AD117" s="480"/>
      <c r="AE117" s="480"/>
      <c r="AF117" s="480"/>
      <c r="AG117" s="480"/>
    </row>
    <row r="118" spans="1:33" s="471" customFormat="1" hidden="1">
      <c r="A118" s="420">
        <f t="shared" si="24"/>
        <v>108</v>
      </c>
      <c r="B118" s="585">
        <f t="shared" si="25"/>
        <v>0</v>
      </c>
      <c r="C118" s="533">
        <f t="shared" si="26"/>
        <v>0</v>
      </c>
      <c r="D118" s="533">
        <f t="shared" si="27"/>
        <v>0</v>
      </c>
      <c r="E118" s="420"/>
      <c r="F118" s="420" t="str">
        <f t="shared" si="28"/>
        <v>Vacant</v>
      </c>
      <c r="G118" s="586">
        <f t="shared" si="29"/>
        <v>0</v>
      </c>
      <c r="H118" s="581"/>
      <c r="J118" s="582">
        <f>HLOOKUP($J$7,'MR-Stat Data Sheet Bud'!$U$8:$AF$1081,$AA118,FALSE)</f>
        <v>0</v>
      </c>
      <c r="K118" s="582">
        <f>HLOOKUP($J$7,'MR-Stat Data Sheet Bud'!$AS$8:$BD$1081,$AA118,FALSE)</f>
        <v>0</v>
      </c>
      <c r="L118" s="582">
        <f t="shared" si="30"/>
        <v>0</v>
      </c>
      <c r="N118" s="582">
        <f>HLOOKUP($J$7,'MR-Stat Data Sheet Bud'!$BE$8:$BP$1081,$AA118,FALSE)</f>
        <v>0</v>
      </c>
      <c r="O118" s="582">
        <f>HLOOKUP($J$7,'MR-Stat Data Sheet Bud'!$BQ$8:$CB$1081,$AA118,FALSE)</f>
        <v>0</v>
      </c>
      <c r="P118" s="582">
        <f t="shared" si="31"/>
        <v>0</v>
      </c>
      <c r="Q118" s="583"/>
      <c r="S118" s="482">
        <v>0</v>
      </c>
      <c r="T118" s="582">
        <v>0</v>
      </c>
      <c r="U118" s="583"/>
      <c r="V118" s="480"/>
      <c r="W118" s="480"/>
      <c r="X118" s="480"/>
      <c r="Y118" s="480"/>
      <c r="Z118" s="480"/>
      <c r="AA118" s="472">
        <f t="shared" si="23"/>
        <v>110</v>
      </c>
      <c r="AB118" s="480"/>
      <c r="AC118" s="480"/>
      <c r="AD118" s="480"/>
      <c r="AE118" s="480"/>
      <c r="AF118" s="480"/>
      <c r="AG118" s="480"/>
    </row>
    <row r="119" spans="1:33" s="471" customFormat="1" hidden="1">
      <c r="A119" s="420">
        <f t="shared" si="24"/>
        <v>109</v>
      </c>
      <c r="B119" s="585">
        <f t="shared" si="25"/>
        <v>0</v>
      </c>
      <c r="C119" s="533">
        <f t="shared" si="26"/>
        <v>0</v>
      </c>
      <c r="D119" s="533">
        <f t="shared" si="27"/>
        <v>0</v>
      </c>
      <c r="E119" s="420"/>
      <c r="F119" s="420" t="str">
        <f t="shared" si="28"/>
        <v>Vacant</v>
      </c>
      <c r="G119" s="586">
        <f t="shared" si="29"/>
        <v>0</v>
      </c>
      <c r="H119" s="581"/>
      <c r="J119" s="582">
        <f>HLOOKUP($J$7,'MR-Stat Data Sheet Bud'!$U$8:$AF$1081,$AA119,FALSE)</f>
        <v>0</v>
      </c>
      <c r="K119" s="582">
        <f>HLOOKUP($J$7,'MR-Stat Data Sheet Bud'!$AS$8:$BD$1081,$AA119,FALSE)</f>
        <v>0</v>
      </c>
      <c r="L119" s="582">
        <f t="shared" si="30"/>
        <v>0</v>
      </c>
      <c r="N119" s="582">
        <f>HLOOKUP($J$7,'MR-Stat Data Sheet Bud'!$BE$8:$BP$1081,$AA119,FALSE)</f>
        <v>0</v>
      </c>
      <c r="O119" s="582">
        <f>HLOOKUP($J$7,'MR-Stat Data Sheet Bud'!$BQ$8:$CB$1081,$AA119,FALSE)</f>
        <v>0</v>
      </c>
      <c r="P119" s="582">
        <f t="shared" si="31"/>
        <v>0</v>
      </c>
      <c r="Q119" s="583"/>
      <c r="S119" s="482">
        <v>0</v>
      </c>
      <c r="T119" s="582">
        <v>0</v>
      </c>
      <c r="U119" s="583"/>
      <c r="V119" s="480"/>
      <c r="W119" s="480"/>
      <c r="X119" s="480"/>
      <c r="Y119" s="480"/>
      <c r="Z119" s="480"/>
      <c r="AA119" s="472">
        <f t="shared" si="23"/>
        <v>111</v>
      </c>
      <c r="AB119" s="480"/>
      <c r="AC119" s="480"/>
      <c r="AD119" s="480"/>
      <c r="AE119" s="480"/>
      <c r="AF119" s="480"/>
      <c r="AG119" s="480"/>
    </row>
    <row r="120" spans="1:33" s="471" customFormat="1" hidden="1">
      <c r="A120" s="420">
        <f t="shared" si="24"/>
        <v>110</v>
      </c>
      <c r="B120" s="585">
        <f t="shared" si="25"/>
        <v>0</v>
      </c>
      <c r="C120" s="533">
        <f t="shared" si="26"/>
        <v>0</v>
      </c>
      <c r="D120" s="533">
        <f t="shared" si="27"/>
        <v>0</v>
      </c>
      <c r="E120" s="420"/>
      <c r="F120" s="420" t="str">
        <f t="shared" si="28"/>
        <v>Vacant</v>
      </c>
      <c r="G120" s="586">
        <f t="shared" si="29"/>
        <v>0</v>
      </c>
      <c r="H120" s="581"/>
      <c r="J120" s="582">
        <f>HLOOKUP($J$7,'MR-Stat Data Sheet Bud'!$U$8:$AF$1081,$AA120,FALSE)</f>
        <v>0</v>
      </c>
      <c r="K120" s="582">
        <f>HLOOKUP($J$7,'MR-Stat Data Sheet Bud'!$AS$8:$BD$1081,$AA120,FALSE)</f>
        <v>0</v>
      </c>
      <c r="L120" s="582">
        <f t="shared" si="30"/>
        <v>0</v>
      </c>
      <c r="N120" s="582">
        <f>HLOOKUP($J$7,'MR-Stat Data Sheet Bud'!$BE$8:$BP$1081,$AA120,FALSE)</f>
        <v>0</v>
      </c>
      <c r="O120" s="582">
        <f>HLOOKUP($J$7,'MR-Stat Data Sheet Bud'!$BQ$8:$CB$1081,$AA120,FALSE)</f>
        <v>0</v>
      </c>
      <c r="P120" s="582">
        <f t="shared" si="31"/>
        <v>0</v>
      </c>
      <c r="Q120" s="583"/>
      <c r="S120" s="482">
        <v>0</v>
      </c>
      <c r="T120" s="582">
        <v>0</v>
      </c>
      <c r="U120" s="583"/>
      <c r="V120" s="480"/>
      <c r="W120" s="480"/>
      <c r="X120" s="480"/>
      <c r="Y120" s="480"/>
      <c r="Z120" s="480"/>
      <c r="AA120" s="472">
        <f t="shared" si="23"/>
        <v>112</v>
      </c>
      <c r="AB120" s="480"/>
      <c r="AC120" s="480"/>
      <c r="AD120" s="480"/>
      <c r="AE120" s="480"/>
      <c r="AF120" s="480"/>
      <c r="AG120" s="480"/>
    </row>
    <row r="121" spans="1:33" s="471" customFormat="1" hidden="1">
      <c r="A121" s="420">
        <f t="shared" si="24"/>
        <v>111</v>
      </c>
      <c r="B121" s="585">
        <f t="shared" si="25"/>
        <v>0</v>
      </c>
      <c r="C121" s="533">
        <f t="shared" si="26"/>
        <v>0</v>
      </c>
      <c r="D121" s="533">
        <f t="shared" si="27"/>
        <v>0</v>
      </c>
      <c r="E121" s="420"/>
      <c r="F121" s="420" t="str">
        <f t="shared" si="28"/>
        <v>Vacant</v>
      </c>
      <c r="G121" s="586">
        <f t="shared" si="29"/>
        <v>0</v>
      </c>
      <c r="H121" s="581"/>
      <c r="J121" s="582">
        <f>HLOOKUP($J$7,'MR-Stat Data Sheet Bud'!$U$8:$AF$1081,$AA121,FALSE)</f>
        <v>0</v>
      </c>
      <c r="K121" s="582">
        <f>HLOOKUP($J$7,'MR-Stat Data Sheet Bud'!$AS$8:$BD$1081,$AA121,FALSE)</f>
        <v>0</v>
      </c>
      <c r="L121" s="582">
        <f t="shared" si="30"/>
        <v>0</v>
      </c>
      <c r="N121" s="582">
        <f>HLOOKUP($J$7,'MR-Stat Data Sheet Bud'!$BE$8:$BP$1081,$AA121,FALSE)</f>
        <v>0</v>
      </c>
      <c r="O121" s="582">
        <f>HLOOKUP($J$7,'MR-Stat Data Sheet Bud'!$BQ$8:$CB$1081,$AA121,FALSE)</f>
        <v>0</v>
      </c>
      <c r="P121" s="582">
        <f t="shared" si="31"/>
        <v>0</v>
      </c>
      <c r="Q121" s="583"/>
      <c r="S121" s="482">
        <v>0</v>
      </c>
      <c r="T121" s="582">
        <v>0</v>
      </c>
      <c r="U121" s="583"/>
      <c r="V121" s="480"/>
      <c r="W121" s="480"/>
      <c r="X121" s="480"/>
      <c r="Y121" s="480"/>
      <c r="Z121" s="480"/>
      <c r="AA121" s="472">
        <f t="shared" si="23"/>
        <v>113</v>
      </c>
      <c r="AB121" s="480"/>
      <c r="AC121" s="480"/>
      <c r="AD121" s="480"/>
      <c r="AE121" s="480"/>
      <c r="AF121" s="480"/>
      <c r="AG121" s="480"/>
    </row>
    <row r="122" spans="1:33" s="471" customFormat="1" hidden="1">
      <c r="A122" s="420">
        <f t="shared" si="24"/>
        <v>112</v>
      </c>
      <c r="B122" s="585">
        <f t="shared" si="25"/>
        <v>0</v>
      </c>
      <c r="C122" s="533">
        <f t="shared" si="26"/>
        <v>0</v>
      </c>
      <c r="D122" s="533">
        <f t="shared" si="27"/>
        <v>0</v>
      </c>
      <c r="E122" s="420"/>
      <c r="F122" s="420" t="str">
        <f t="shared" si="28"/>
        <v>Vacant</v>
      </c>
      <c r="G122" s="586">
        <f t="shared" si="29"/>
        <v>0</v>
      </c>
      <c r="H122" s="581"/>
      <c r="J122" s="582">
        <f>HLOOKUP($J$7,'MR-Stat Data Sheet Bud'!$U$8:$AF$1081,$AA122,FALSE)</f>
        <v>0</v>
      </c>
      <c r="K122" s="582">
        <f>HLOOKUP($J$7,'MR-Stat Data Sheet Bud'!$AS$8:$BD$1081,$AA122,FALSE)</f>
        <v>0</v>
      </c>
      <c r="L122" s="582">
        <f t="shared" si="30"/>
        <v>0</v>
      </c>
      <c r="N122" s="582">
        <f>HLOOKUP($J$7,'MR-Stat Data Sheet Bud'!$BE$8:$BP$1081,$AA122,FALSE)</f>
        <v>0</v>
      </c>
      <c r="O122" s="582">
        <f>HLOOKUP($J$7,'MR-Stat Data Sheet Bud'!$BQ$8:$CB$1081,$AA122,FALSE)</f>
        <v>0</v>
      </c>
      <c r="P122" s="582">
        <f t="shared" si="31"/>
        <v>0</v>
      </c>
      <c r="Q122" s="583"/>
      <c r="S122" s="482">
        <v>0</v>
      </c>
      <c r="T122" s="582">
        <v>0</v>
      </c>
      <c r="U122" s="583"/>
      <c r="V122" s="480"/>
      <c r="W122" s="480"/>
      <c r="X122" s="480"/>
      <c r="Y122" s="480"/>
      <c r="Z122" s="480"/>
      <c r="AA122" s="472">
        <f t="shared" si="23"/>
        <v>114</v>
      </c>
      <c r="AB122" s="480"/>
      <c r="AC122" s="480"/>
      <c r="AD122" s="480"/>
      <c r="AE122" s="480"/>
      <c r="AF122" s="480"/>
      <c r="AG122" s="480"/>
    </row>
    <row r="123" spans="1:33" s="471" customFormat="1" hidden="1">
      <c r="A123" s="420">
        <f t="shared" si="24"/>
        <v>113</v>
      </c>
      <c r="B123" s="585">
        <f t="shared" si="25"/>
        <v>0</v>
      </c>
      <c r="C123" s="533">
        <f t="shared" si="26"/>
        <v>0</v>
      </c>
      <c r="D123" s="533">
        <f t="shared" si="27"/>
        <v>0</v>
      </c>
      <c r="E123" s="420"/>
      <c r="F123" s="420" t="str">
        <f t="shared" si="28"/>
        <v>Vacant</v>
      </c>
      <c r="G123" s="586">
        <f t="shared" si="29"/>
        <v>0</v>
      </c>
      <c r="H123" s="581"/>
      <c r="J123" s="582">
        <f>HLOOKUP($J$7,'MR-Stat Data Sheet Bud'!$U$8:$AF$1081,$AA123,FALSE)</f>
        <v>0</v>
      </c>
      <c r="K123" s="582">
        <f>HLOOKUP($J$7,'MR-Stat Data Sheet Bud'!$AS$8:$BD$1081,$AA123,FALSE)</f>
        <v>0</v>
      </c>
      <c r="L123" s="582">
        <f t="shared" si="30"/>
        <v>0</v>
      </c>
      <c r="N123" s="582">
        <f>HLOOKUP($J$7,'MR-Stat Data Sheet Bud'!$BE$8:$BP$1081,$AA123,FALSE)</f>
        <v>0</v>
      </c>
      <c r="O123" s="582">
        <f>HLOOKUP($J$7,'MR-Stat Data Sheet Bud'!$BQ$8:$CB$1081,$AA123,FALSE)</f>
        <v>0</v>
      </c>
      <c r="P123" s="582">
        <f t="shared" si="31"/>
        <v>0</v>
      </c>
      <c r="Q123" s="583"/>
      <c r="S123" s="482">
        <v>0</v>
      </c>
      <c r="T123" s="582">
        <v>0</v>
      </c>
      <c r="U123" s="583"/>
      <c r="V123" s="480"/>
      <c r="W123" s="480"/>
      <c r="X123" s="480"/>
      <c r="Y123" s="480"/>
      <c r="Z123" s="480"/>
      <c r="AA123" s="472">
        <f t="shared" si="23"/>
        <v>115</v>
      </c>
      <c r="AB123" s="480"/>
      <c r="AC123" s="480"/>
      <c r="AD123" s="480"/>
      <c r="AE123" s="480"/>
      <c r="AF123" s="480"/>
      <c r="AG123" s="480"/>
    </row>
    <row r="124" spans="1:33" s="471" customFormat="1" hidden="1">
      <c r="A124" s="420">
        <f t="shared" si="24"/>
        <v>114</v>
      </c>
      <c r="B124" s="585">
        <f t="shared" si="25"/>
        <v>0</v>
      </c>
      <c r="C124" s="533">
        <f t="shared" si="26"/>
        <v>0</v>
      </c>
      <c r="D124" s="533">
        <f t="shared" si="27"/>
        <v>0</v>
      </c>
      <c r="E124" s="420"/>
      <c r="F124" s="420" t="str">
        <f t="shared" si="28"/>
        <v>Vacant</v>
      </c>
      <c r="G124" s="586">
        <f t="shared" si="29"/>
        <v>0</v>
      </c>
      <c r="H124" s="581"/>
      <c r="J124" s="582">
        <f>HLOOKUP($J$7,'MR-Stat Data Sheet Bud'!$U$8:$AF$1081,$AA124,FALSE)</f>
        <v>0</v>
      </c>
      <c r="K124" s="582">
        <f>HLOOKUP($J$7,'MR-Stat Data Sheet Bud'!$AS$8:$BD$1081,$AA124,FALSE)</f>
        <v>0</v>
      </c>
      <c r="L124" s="582">
        <f t="shared" si="30"/>
        <v>0</v>
      </c>
      <c r="N124" s="582">
        <f>HLOOKUP($J$7,'MR-Stat Data Sheet Bud'!$BE$8:$BP$1081,$AA124,FALSE)</f>
        <v>0</v>
      </c>
      <c r="O124" s="582">
        <f>HLOOKUP($J$7,'MR-Stat Data Sheet Bud'!$BQ$8:$CB$1081,$AA124,FALSE)</f>
        <v>0</v>
      </c>
      <c r="P124" s="582">
        <f t="shared" si="31"/>
        <v>0</v>
      </c>
      <c r="Q124" s="583"/>
      <c r="S124" s="482">
        <v>0</v>
      </c>
      <c r="T124" s="582">
        <v>0</v>
      </c>
      <c r="U124" s="583"/>
      <c r="V124" s="480"/>
      <c r="W124" s="480"/>
      <c r="X124" s="480"/>
      <c r="Y124" s="480"/>
      <c r="Z124" s="480"/>
      <c r="AA124" s="472">
        <f t="shared" si="23"/>
        <v>116</v>
      </c>
      <c r="AB124" s="480"/>
      <c r="AC124" s="480"/>
      <c r="AD124" s="480"/>
      <c r="AE124" s="480"/>
      <c r="AF124" s="480"/>
      <c r="AG124" s="480"/>
    </row>
    <row r="125" spans="1:33" s="471" customFormat="1" hidden="1">
      <c r="A125" s="420">
        <f t="shared" si="24"/>
        <v>115</v>
      </c>
      <c r="B125" s="585">
        <f t="shared" si="25"/>
        <v>0</v>
      </c>
      <c r="C125" s="533">
        <f t="shared" si="26"/>
        <v>0</v>
      </c>
      <c r="D125" s="533">
        <f t="shared" si="27"/>
        <v>0</v>
      </c>
      <c r="E125" s="420"/>
      <c r="F125" s="420" t="str">
        <f t="shared" si="28"/>
        <v>Vacant</v>
      </c>
      <c r="G125" s="586">
        <f t="shared" si="29"/>
        <v>0</v>
      </c>
      <c r="H125" s="581"/>
      <c r="J125" s="582">
        <f>HLOOKUP($J$7,'MR-Stat Data Sheet Bud'!$U$8:$AF$1081,$AA125,FALSE)</f>
        <v>0</v>
      </c>
      <c r="K125" s="582">
        <f>HLOOKUP($J$7,'MR-Stat Data Sheet Bud'!$AS$8:$BD$1081,$AA125,FALSE)</f>
        <v>0</v>
      </c>
      <c r="L125" s="582">
        <f t="shared" si="30"/>
        <v>0</v>
      </c>
      <c r="N125" s="582">
        <f>HLOOKUP($J$7,'MR-Stat Data Sheet Bud'!$BE$8:$BP$1081,$AA125,FALSE)</f>
        <v>0</v>
      </c>
      <c r="O125" s="582">
        <f>HLOOKUP($J$7,'MR-Stat Data Sheet Bud'!$BQ$8:$CB$1081,$AA125,FALSE)</f>
        <v>0</v>
      </c>
      <c r="P125" s="582">
        <f t="shared" si="31"/>
        <v>0</v>
      </c>
      <c r="Q125" s="583"/>
      <c r="S125" s="482">
        <v>0</v>
      </c>
      <c r="T125" s="582">
        <v>0</v>
      </c>
      <c r="U125" s="583"/>
      <c r="V125" s="480"/>
      <c r="W125" s="480"/>
      <c r="X125" s="480"/>
      <c r="Y125" s="480"/>
      <c r="Z125" s="480"/>
      <c r="AA125" s="472">
        <f t="shared" si="23"/>
        <v>117</v>
      </c>
      <c r="AB125" s="480"/>
      <c r="AC125" s="480"/>
      <c r="AD125" s="480"/>
      <c r="AE125" s="480"/>
      <c r="AF125" s="480"/>
      <c r="AG125" s="480"/>
    </row>
    <row r="126" spans="1:33" s="471" customFormat="1" hidden="1">
      <c r="A126" s="420">
        <f t="shared" si="24"/>
        <v>116</v>
      </c>
      <c r="B126" s="585">
        <f t="shared" si="25"/>
        <v>0</v>
      </c>
      <c r="C126" s="533">
        <f t="shared" si="26"/>
        <v>0</v>
      </c>
      <c r="D126" s="533">
        <f t="shared" si="27"/>
        <v>0</v>
      </c>
      <c r="E126" s="420"/>
      <c r="F126" s="420" t="str">
        <f t="shared" si="28"/>
        <v>Vacant</v>
      </c>
      <c r="G126" s="586">
        <f t="shared" si="29"/>
        <v>0</v>
      </c>
      <c r="H126" s="581"/>
      <c r="J126" s="582">
        <f>HLOOKUP($J$7,'MR-Stat Data Sheet Bud'!$U$8:$AF$1081,$AA126,FALSE)</f>
        <v>0</v>
      </c>
      <c r="K126" s="582">
        <f>HLOOKUP($J$7,'MR-Stat Data Sheet Bud'!$AS$8:$BD$1081,$AA126,FALSE)</f>
        <v>0</v>
      </c>
      <c r="L126" s="582">
        <f t="shared" si="30"/>
        <v>0</v>
      </c>
      <c r="N126" s="582">
        <f>HLOOKUP($J$7,'MR-Stat Data Sheet Bud'!$BE$8:$BP$1081,$AA126,FALSE)</f>
        <v>0</v>
      </c>
      <c r="O126" s="582">
        <f>HLOOKUP($J$7,'MR-Stat Data Sheet Bud'!$BQ$8:$CB$1081,$AA126,FALSE)</f>
        <v>0</v>
      </c>
      <c r="P126" s="582">
        <f t="shared" si="31"/>
        <v>0</v>
      </c>
      <c r="Q126" s="583"/>
      <c r="S126" s="482">
        <v>0</v>
      </c>
      <c r="T126" s="582">
        <v>0</v>
      </c>
      <c r="U126" s="583"/>
      <c r="V126" s="480"/>
      <c r="W126" s="480"/>
      <c r="X126" s="480"/>
      <c r="Y126" s="480"/>
      <c r="Z126" s="480"/>
      <c r="AA126" s="472">
        <f t="shared" si="23"/>
        <v>118</v>
      </c>
      <c r="AB126" s="480"/>
      <c r="AC126" s="480"/>
      <c r="AD126" s="480"/>
      <c r="AE126" s="480"/>
      <c r="AF126" s="480"/>
      <c r="AG126" s="480"/>
    </row>
    <row r="127" spans="1:33" s="471" customFormat="1" hidden="1">
      <c r="A127" s="420">
        <f t="shared" si="24"/>
        <v>117</v>
      </c>
      <c r="B127" s="585">
        <f t="shared" si="25"/>
        <v>0</v>
      </c>
      <c r="C127" s="533">
        <f t="shared" si="26"/>
        <v>0</v>
      </c>
      <c r="D127" s="533">
        <f t="shared" si="27"/>
        <v>0</v>
      </c>
      <c r="E127" s="420"/>
      <c r="F127" s="420" t="str">
        <f t="shared" si="28"/>
        <v>Vacant</v>
      </c>
      <c r="G127" s="586">
        <f t="shared" si="29"/>
        <v>0</v>
      </c>
      <c r="H127" s="581"/>
      <c r="J127" s="582">
        <f>HLOOKUP($J$7,'MR-Stat Data Sheet Bud'!$U$8:$AF$1081,$AA127,FALSE)</f>
        <v>0</v>
      </c>
      <c r="K127" s="582">
        <f>HLOOKUP($J$7,'MR-Stat Data Sheet Bud'!$AS$8:$BD$1081,$AA127,FALSE)</f>
        <v>0</v>
      </c>
      <c r="L127" s="582">
        <f t="shared" si="30"/>
        <v>0</v>
      </c>
      <c r="N127" s="582">
        <f>HLOOKUP($J$7,'MR-Stat Data Sheet Bud'!$BE$8:$BP$1081,$AA127,FALSE)</f>
        <v>0</v>
      </c>
      <c r="O127" s="582">
        <f>HLOOKUP($J$7,'MR-Stat Data Sheet Bud'!$BQ$8:$CB$1081,$AA127,FALSE)</f>
        <v>0</v>
      </c>
      <c r="P127" s="582">
        <f t="shared" si="31"/>
        <v>0</v>
      </c>
      <c r="Q127" s="583"/>
      <c r="S127" s="482">
        <v>0</v>
      </c>
      <c r="T127" s="582">
        <v>0</v>
      </c>
      <c r="U127" s="583"/>
      <c r="V127" s="480"/>
      <c r="W127" s="480"/>
      <c r="X127" s="480"/>
      <c r="Y127" s="480"/>
      <c r="Z127" s="480"/>
      <c r="AA127" s="472">
        <f t="shared" si="23"/>
        <v>119</v>
      </c>
      <c r="AB127" s="480"/>
      <c r="AC127" s="480"/>
      <c r="AD127" s="480"/>
      <c r="AE127" s="480"/>
      <c r="AF127" s="480"/>
      <c r="AG127" s="480"/>
    </row>
    <row r="128" spans="1:33" s="471" customFormat="1" hidden="1">
      <c r="A128" s="420">
        <f t="shared" si="24"/>
        <v>118</v>
      </c>
      <c r="B128" s="585">
        <f t="shared" si="25"/>
        <v>0</v>
      </c>
      <c r="C128" s="533">
        <f t="shared" si="26"/>
        <v>0</v>
      </c>
      <c r="D128" s="533">
        <f t="shared" si="27"/>
        <v>0</v>
      </c>
      <c r="E128" s="420"/>
      <c r="F128" s="420" t="str">
        <f t="shared" si="28"/>
        <v>Vacant</v>
      </c>
      <c r="G128" s="586">
        <f t="shared" si="29"/>
        <v>0</v>
      </c>
      <c r="H128" s="581"/>
      <c r="J128" s="582">
        <f>HLOOKUP($J$7,'MR-Stat Data Sheet Bud'!$U$8:$AF$1081,$AA128,FALSE)</f>
        <v>0</v>
      </c>
      <c r="K128" s="582">
        <f>HLOOKUP($J$7,'MR-Stat Data Sheet Bud'!$AS$8:$BD$1081,$AA128,FALSE)</f>
        <v>0</v>
      </c>
      <c r="L128" s="582">
        <f t="shared" si="30"/>
        <v>0</v>
      </c>
      <c r="N128" s="582">
        <f>HLOOKUP($J$7,'MR-Stat Data Sheet Bud'!$BE$8:$BP$1081,$AA128,FALSE)</f>
        <v>0</v>
      </c>
      <c r="O128" s="582">
        <f>HLOOKUP($J$7,'MR-Stat Data Sheet Bud'!$BQ$8:$CB$1081,$AA128,FALSE)</f>
        <v>0</v>
      </c>
      <c r="P128" s="582">
        <f t="shared" si="31"/>
        <v>0</v>
      </c>
      <c r="Q128" s="583"/>
      <c r="S128" s="482">
        <v>0</v>
      </c>
      <c r="T128" s="582">
        <v>0</v>
      </c>
      <c r="U128" s="583"/>
      <c r="V128" s="480"/>
      <c r="W128" s="480"/>
      <c r="X128" s="480"/>
      <c r="Y128" s="480"/>
      <c r="Z128" s="480"/>
      <c r="AA128" s="472">
        <f t="shared" si="23"/>
        <v>120</v>
      </c>
      <c r="AB128" s="480"/>
      <c r="AC128" s="480"/>
      <c r="AD128" s="480"/>
      <c r="AE128" s="480"/>
      <c r="AF128" s="480"/>
      <c r="AG128" s="480"/>
    </row>
    <row r="129" spans="1:33" s="471" customFormat="1" hidden="1">
      <c r="A129" s="420">
        <f t="shared" si="24"/>
        <v>119</v>
      </c>
      <c r="B129" s="585">
        <f t="shared" si="25"/>
        <v>0</v>
      </c>
      <c r="C129" s="533">
        <f t="shared" si="26"/>
        <v>0</v>
      </c>
      <c r="D129" s="533">
        <f t="shared" si="27"/>
        <v>0</v>
      </c>
      <c r="E129" s="420"/>
      <c r="F129" s="420" t="str">
        <f t="shared" si="28"/>
        <v>Vacant</v>
      </c>
      <c r="G129" s="586">
        <f t="shared" si="29"/>
        <v>0</v>
      </c>
      <c r="H129" s="581"/>
      <c r="J129" s="582">
        <f>HLOOKUP($J$7,'MR-Stat Data Sheet Bud'!$U$8:$AF$1081,$AA129,FALSE)</f>
        <v>0</v>
      </c>
      <c r="K129" s="582">
        <f>HLOOKUP($J$7,'MR-Stat Data Sheet Bud'!$AS$8:$BD$1081,$AA129,FALSE)</f>
        <v>0</v>
      </c>
      <c r="L129" s="582">
        <f t="shared" si="30"/>
        <v>0</v>
      </c>
      <c r="N129" s="582">
        <f>HLOOKUP($J$7,'MR-Stat Data Sheet Bud'!$BE$8:$BP$1081,$AA129,FALSE)</f>
        <v>0</v>
      </c>
      <c r="O129" s="582">
        <f>HLOOKUP($J$7,'MR-Stat Data Sheet Bud'!$BQ$8:$CB$1081,$AA129,FALSE)</f>
        <v>0</v>
      </c>
      <c r="P129" s="582">
        <f t="shared" si="31"/>
        <v>0</v>
      </c>
      <c r="Q129" s="583"/>
      <c r="S129" s="482">
        <v>0</v>
      </c>
      <c r="T129" s="582">
        <v>0</v>
      </c>
      <c r="U129" s="583"/>
      <c r="V129" s="480"/>
      <c r="W129" s="480"/>
      <c r="X129" s="480"/>
      <c r="Y129" s="480"/>
      <c r="Z129" s="480"/>
      <c r="AA129" s="472">
        <f t="shared" si="23"/>
        <v>121</v>
      </c>
      <c r="AB129" s="480"/>
      <c r="AC129" s="480"/>
      <c r="AD129" s="480"/>
      <c r="AE129" s="480"/>
      <c r="AF129" s="480"/>
      <c r="AG129" s="480"/>
    </row>
    <row r="130" spans="1:33" s="471" customFormat="1" hidden="1">
      <c r="A130" s="420">
        <f t="shared" si="24"/>
        <v>120</v>
      </c>
      <c r="B130" s="585">
        <f t="shared" si="25"/>
        <v>0</v>
      </c>
      <c r="C130" s="533">
        <f t="shared" si="26"/>
        <v>0</v>
      </c>
      <c r="D130" s="533">
        <f t="shared" si="27"/>
        <v>0</v>
      </c>
      <c r="E130" s="420"/>
      <c r="F130" s="420" t="str">
        <f t="shared" si="28"/>
        <v>Vacant</v>
      </c>
      <c r="G130" s="586">
        <f t="shared" si="29"/>
        <v>0</v>
      </c>
      <c r="H130" s="581"/>
      <c r="J130" s="582">
        <f>HLOOKUP($J$7,'MR-Stat Data Sheet Bud'!$U$8:$AF$1081,$AA130,FALSE)</f>
        <v>0</v>
      </c>
      <c r="K130" s="582">
        <f>HLOOKUP($J$7,'MR-Stat Data Sheet Bud'!$AS$8:$BD$1081,$AA130,FALSE)</f>
        <v>0</v>
      </c>
      <c r="L130" s="582">
        <f t="shared" si="30"/>
        <v>0</v>
      </c>
      <c r="N130" s="582">
        <f>HLOOKUP($J$7,'MR-Stat Data Sheet Bud'!$BE$8:$BP$1081,$AA130,FALSE)</f>
        <v>0</v>
      </c>
      <c r="O130" s="582">
        <f>HLOOKUP($J$7,'MR-Stat Data Sheet Bud'!$BQ$8:$CB$1081,$AA130,FALSE)</f>
        <v>0</v>
      </c>
      <c r="P130" s="582">
        <f t="shared" si="31"/>
        <v>0</v>
      </c>
      <c r="Q130" s="583"/>
      <c r="S130" s="482">
        <v>0</v>
      </c>
      <c r="T130" s="582">
        <v>0</v>
      </c>
      <c r="U130" s="583"/>
      <c r="V130" s="480"/>
      <c r="W130" s="480"/>
      <c r="X130" s="480"/>
      <c r="Y130" s="480"/>
      <c r="Z130" s="480"/>
      <c r="AA130" s="472">
        <f t="shared" si="23"/>
        <v>122</v>
      </c>
      <c r="AB130" s="480"/>
      <c r="AC130" s="480"/>
      <c r="AD130" s="480"/>
      <c r="AE130" s="480"/>
      <c r="AF130" s="480"/>
      <c r="AG130" s="480"/>
    </row>
    <row r="131" spans="1:33" s="471" customFormat="1" hidden="1">
      <c r="A131" s="420">
        <f t="shared" si="24"/>
        <v>121</v>
      </c>
      <c r="B131" s="585">
        <f t="shared" si="25"/>
        <v>0</v>
      </c>
      <c r="C131" s="533">
        <f t="shared" si="26"/>
        <v>0</v>
      </c>
      <c r="D131" s="533">
        <f t="shared" si="27"/>
        <v>0</v>
      </c>
      <c r="E131" s="420"/>
      <c r="F131" s="420" t="str">
        <f t="shared" si="28"/>
        <v>Vacant</v>
      </c>
      <c r="G131" s="586">
        <f t="shared" si="29"/>
        <v>0</v>
      </c>
      <c r="H131" s="581"/>
      <c r="J131" s="582">
        <f>HLOOKUP($J$7,'MR-Stat Data Sheet Bud'!$U$8:$AF$1081,$AA131,FALSE)</f>
        <v>0</v>
      </c>
      <c r="K131" s="582">
        <f>HLOOKUP($J$7,'MR-Stat Data Sheet Bud'!$AS$8:$BD$1081,$AA131,FALSE)</f>
        <v>0</v>
      </c>
      <c r="L131" s="582">
        <f t="shared" si="30"/>
        <v>0</v>
      </c>
      <c r="N131" s="582">
        <f>HLOOKUP($J$7,'MR-Stat Data Sheet Bud'!$BE$8:$BP$1081,$AA131,FALSE)</f>
        <v>0</v>
      </c>
      <c r="O131" s="582">
        <f>HLOOKUP($J$7,'MR-Stat Data Sheet Bud'!$BQ$8:$CB$1081,$AA131,FALSE)</f>
        <v>0</v>
      </c>
      <c r="P131" s="582">
        <f t="shared" si="31"/>
        <v>0</v>
      </c>
      <c r="Q131" s="583"/>
      <c r="S131" s="482">
        <v>0</v>
      </c>
      <c r="T131" s="582">
        <v>0</v>
      </c>
      <c r="U131" s="583"/>
      <c r="V131" s="480"/>
      <c r="W131" s="480"/>
      <c r="X131" s="480"/>
      <c r="Y131" s="480"/>
      <c r="Z131" s="480"/>
      <c r="AA131" s="472">
        <f t="shared" si="23"/>
        <v>123</v>
      </c>
      <c r="AB131" s="480"/>
      <c r="AC131" s="480"/>
      <c r="AD131" s="480"/>
      <c r="AE131" s="480"/>
      <c r="AF131" s="480"/>
      <c r="AG131" s="480"/>
    </row>
    <row r="132" spans="1:33" s="471" customFormat="1" hidden="1">
      <c r="A132" s="420">
        <f t="shared" si="24"/>
        <v>122</v>
      </c>
      <c r="B132" s="585">
        <f t="shared" si="25"/>
        <v>0</v>
      </c>
      <c r="C132" s="533">
        <f t="shared" si="26"/>
        <v>0</v>
      </c>
      <c r="D132" s="533">
        <f t="shared" si="27"/>
        <v>0</v>
      </c>
      <c r="E132" s="420"/>
      <c r="F132" s="420" t="str">
        <f t="shared" si="28"/>
        <v>Vacant</v>
      </c>
      <c r="G132" s="586">
        <f t="shared" si="29"/>
        <v>0</v>
      </c>
      <c r="H132" s="581"/>
      <c r="J132" s="582">
        <f>HLOOKUP($J$7,'MR-Stat Data Sheet Bud'!$U$8:$AF$1081,$AA132,FALSE)</f>
        <v>0</v>
      </c>
      <c r="K132" s="582">
        <f>HLOOKUP($J$7,'MR-Stat Data Sheet Bud'!$AS$8:$BD$1081,$AA132,FALSE)</f>
        <v>0</v>
      </c>
      <c r="L132" s="582">
        <f t="shared" si="30"/>
        <v>0</v>
      </c>
      <c r="N132" s="582">
        <f>HLOOKUP($J$7,'MR-Stat Data Sheet Bud'!$BE$8:$BP$1081,$AA132,FALSE)</f>
        <v>0</v>
      </c>
      <c r="O132" s="582">
        <f>HLOOKUP($J$7,'MR-Stat Data Sheet Bud'!$BQ$8:$CB$1081,$AA132,FALSE)</f>
        <v>0</v>
      </c>
      <c r="P132" s="582">
        <f t="shared" si="31"/>
        <v>0</v>
      </c>
      <c r="Q132" s="583"/>
      <c r="S132" s="482">
        <v>0</v>
      </c>
      <c r="T132" s="582">
        <v>0</v>
      </c>
      <c r="U132" s="583"/>
      <c r="V132" s="480"/>
      <c r="W132" s="480"/>
      <c r="X132" s="480"/>
      <c r="Y132" s="480"/>
      <c r="Z132" s="480"/>
      <c r="AA132" s="472">
        <f t="shared" si="23"/>
        <v>124</v>
      </c>
      <c r="AB132" s="480"/>
      <c r="AC132" s="480"/>
      <c r="AD132" s="480"/>
      <c r="AE132" s="480"/>
      <c r="AF132" s="480"/>
      <c r="AG132" s="480"/>
    </row>
    <row r="133" spans="1:33" s="471" customFormat="1" hidden="1">
      <c r="A133" s="420">
        <f t="shared" si="24"/>
        <v>123</v>
      </c>
      <c r="B133" s="585">
        <f t="shared" si="25"/>
        <v>0</v>
      </c>
      <c r="C133" s="533">
        <f t="shared" si="26"/>
        <v>0</v>
      </c>
      <c r="D133" s="533">
        <f t="shared" si="27"/>
        <v>0</v>
      </c>
      <c r="E133" s="420"/>
      <c r="F133" s="420" t="str">
        <f t="shared" si="28"/>
        <v>Vacant</v>
      </c>
      <c r="G133" s="586">
        <f t="shared" si="29"/>
        <v>0</v>
      </c>
      <c r="H133" s="581"/>
      <c r="J133" s="582">
        <f>HLOOKUP($J$7,'MR-Stat Data Sheet Bud'!$U$8:$AF$1081,$AA133,FALSE)</f>
        <v>0</v>
      </c>
      <c r="K133" s="582">
        <f>HLOOKUP($J$7,'MR-Stat Data Sheet Bud'!$AS$8:$BD$1081,$AA133,FALSE)</f>
        <v>0</v>
      </c>
      <c r="L133" s="582">
        <f t="shared" si="30"/>
        <v>0</v>
      </c>
      <c r="N133" s="582">
        <f>HLOOKUP($J$7,'MR-Stat Data Sheet Bud'!$BE$8:$BP$1081,$AA133,FALSE)</f>
        <v>0</v>
      </c>
      <c r="O133" s="582">
        <f>HLOOKUP($J$7,'MR-Stat Data Sheet Bud'!$BQ$8:$CB$1081,$AA133,FALSE)</f>
        <v>0</v>
      </c>
      <c r="P133" s="582">
        <f t="shared" si="31"/>
        <v>0</v>
      </c>
      <c r="Q133" s="583"/>
      <c r="S133" s="482">
        <v>0</v>
      </c>
      <c r="T133" s="582">
        <v>0</v>
      </c>
      <c r="U133" s="583"/>
      <c r="V133" s="480"/>
      <c r="W133" s="480"/>
      <c r="X133" s="480"/>
      <c r="Y133" s="480"/>
      <c r="Z133" s="480"/>
      <c r="AA133" s="472">
        <f t="shared" si="23"/>
        <v>125</v>
      </c>
      <c r="AB133" s="480"/>
      <c r="AC133" s="480"/>
      <c r="AD133" s="480"/>
      <c r="AE133" s="480"/>
      <c r="AF133" s="480"/>
      <c r="AG133" s="480"/>
    </row>
    <row r="134" spans="1:33" s="471" customFormat="1" hidden="1">
      <c r="A134" s="420">
        <f t="shared" si="24"/>
        <v>124</v>
      </c>
      <c r="B134" s="585">
        <f t="shared" si="25"/>
        <v>0</v>
      </c>
      <c r="C134" s="533">
        <f t="shared" si="26"/>
        <v>0</v>
      </c>
      <c r="D134" s="533">
        <f t="shared" si="27"/>
        <v>0</v>
      </c>
      <c r="E134" s="420"/>
      <c r="F134" s="420" t="str">
        <f t="shared" si="28"/>
        <v>Vacant</v>
      </c>
      <c r="G134" s="586">
        <f t="shared" si="29"/>
        <v>0</v>
      </c>
      <c r="H134" s="581"/>
      <c r="J134" s="582">
        <f>HLOOKUP($J$7,'MR-Stat Data Sheet Bud'!$U$8:$AF$1081,$AA134,FALSE)</f>
        <v>0</v>
      </c>
      <c r="K134" s="582">
        <f>HLOOKUP($J$7,'MR-Stat Data Sheet Bud'!$AS$8:$BD$1081,$AA134,FALSE)</f>
        <v>0</v>
      </c>
      <c r="L134" s="582">
        <f t="shared" si="30"/>
        <v>0</v>
      </c>
      <c r="N134" s="582">
        <f>HLOOKUP($J$7,'MR-Stat Data Sheet Bud'!$BE$8:$BP$1081,$AA134,FALSE)</f>
        <v>0</v>
      </c>
      <c r="O134" s="582">
        <f>HLOOKUP($J$7,'MR-Stat Data Sheet Bud'!$BQ$8:$CB$1081,$AA134,FALSE)</f>
        <v>0</v>
      </c>
      <c r="P134" s="582">
        <f t="shared" si="31"/>
        <v>0</v>
      </c>
      <c r="Q134" s="583"/>
      <c r="S134" s="482">
        <v>0</v>
      </c>
      <c r="T134" s="582">
        <v>0</v>
      </c>
      <c r="U134" s="583"/>
      <c r="V134" s="480"/>
      <c r="W134" s="480"/>
      <c r="X134" s="480"/>
      <c r="Y134" s="480"/>
      <c r="Z134" s="480"/>
      <c r="AA134" s="472">
        <f t="shared" si="23"/>
        <v>126</v>
      </c>
      <c r="AB134" s="480"/>
      <c r="AC134" s="480"/>
      <c r="AD134" s="480"/>
      <c r="AE134" s="480"/>
      <c r="AF134" s="480"/>
      <c r="AG134" s="480"/>
    </row>
    <row r="135" spans="1:33" s="471" customFormat="1" hidden="1">
      <c r="A135" s="420">
        <f t="shared" si="24"/>
        <v>125</v>
      </c>
      <c r="B135" s="585">
        <f t="shared" si="25"/>
        <v>0</v>
      </c>
      <c r="C135" s="533">
        <f t="shared" si="26"/>
        <v>0</v>
      </c>
      <c r="D135" s="533">
        <f t="shared" si="27"/>
        <v>0</v>
      </c>
      <c r="E135" s="420"/>
      <c r="F135" s="420" t="str">
        <f t="shared" si="28"/>
        <v>Vacant</v>
      </c>
      <c r="G135" s="586">
        <f t="shared" si="29"/>
        <v>0</v>
      </c>
      <c r="H135" s="581"/>
      <c r="J135" s="582">
        <f>HLOOKUP($J$7,'MR-Stat Data Sheet Bud'!$U$8:$AF$1081,$AA135,FALSE)</f>
        <v>0</v>
      </c>
      <c r="K135" s="582">
        <f>HLOOKUP($J$7,'MR-Stat Data Sheet Bud'!$AS$8:$BD$1081,$AA135,FALSE)</f>
        <v>0</v>
      </c>
      <c r="L135" s="582">
        <f t="shared" si="30"/>
        <v>0</v>
      </c>
      <c r="N135" s="582">
        <f>HLOOKUP($J$7,'MR-Stat Data Sheet Bud'!$BE$8:$BP$1081,$AA135,FALSE)</f>
        <v>0</v>
      </c>
      <c r="O135" s="582">
        <f>HLOOKUP($J$7,'MR-Stat Data Sheet Bud'!$BQ$8:$CB$1081,$AA135,FALSE)</f>
        <v>0</v>
      </c>
      <c r="P135" s="582">
        <f t="shared" si="31"/>
        <v>0</v>
      </c>
      <c r="Q135" s="583"/>
      <c r="S135" s="482">
        <v>0</v>
      </c>
      <c r="T135" s="582">
        <v>0</v>
      </c>
      <c r="U135" s="583"/>
      <c r="V135" s="480"/>
      <c r="W135" s="480"/>
      <c r="X135" s="480"/>
      <c r="Y135" s="480"/>
      <c r="Z135" s="480"/>
      <c r="AA135" s="472">
        <f t="shared" si="23"/>
        <v>127</v>
      </c>
      <c r="AB135" s="480"/>
      <c r="AC135" s="480"/>
      <c r="AD135" s="480"/>
      <c r="AE135" s="480"/>
      <c r="AF135" s="480"/>
      <c r="AG135" s="480"/>
    </row>
    <row r="136" spans="1:33" s="471" customFormat="1" hidden="1">
      <c r="A136" s="420">
        <f t="shared" si="24"/>
        <v>126</v>
      </c>
      <c r="B136" s="585">
        <f t="shared" si="25"/>
        <v>0</v>
      </c>
      <c r="C136" s="533">
        <f t="shared" si="26"/>
        <v>0</v>
      </c>
      <c r="D136" s="533">
        <f t="shared" si="27"/>
        <v>0</v>
      </c>
      <c r="E136" s="420"/>
      <c r="F136" s="420" t="str">
        <f t="shared" si="28"/>
        <v>Vacant</v>
      </c>
      <c r="G136" s="586">
        <f t="shared" si="29"/>
        <v>0</v>
      </c>
      <c r="H136" s="581"/>
      <c r="J136" s="582">
        <f>HLOOKUP($J$7,'MR-Stat Data Sheet Bud'!$U$8:$AF$1081,$AA136,FALSE)</f>
        <v>0</v>
      </c>
      <c r="K136" s="582">
        <f>HLOOKUP($J$7,'MR-Stat Data Sheet Bud'!$AS$8:$BD$1081,$AA136,FALSE)</f>
        <v>0</v>
      </c>
      <c r="L136" s="582">
        <f t="shared" si="30"/>
        <v>0</v>
      </c>
      <c r="N136" s="582">
        <f>HLOOKUP($J$7,'MR-Stat Data Sheet Bud'!$BE$8:$BP$1081,$AA136,FALSE)</f>
        <v>0</v>
      </c>
      <c r="O136" s="582">
        <f>HLOOKUP($J$7,'MR-Stat Data Sheet Bud'!$BQ$8:$CB$1081,$AA136,FALSE)</f>
        <v>0</v>
      </c>
      <c r="P136" s="582">
        <f t="shared" si="31"/>
        <v>0</v>
      </c>
      <c r="Q136" s="583"/>
      <c r="S136" s="482">
        <v>0</v>
      </c>
      <c r="T136" s="582">
        <v>0</v>
      </c>
      <c r="U136" s="583"/>
      <c r="V136" s="480"/>
      <c r="W136" s="480"/>
      <c r="X136" s="480"/>
      <c r="Y136" s="480"/>
      <c r="Z136" s="480"/>
      <c r="AA136" s="472">
        <f t="shared" si="23"/>
        <v>128</v>
      </c>
      <c r="AB136" s="480"/>
      <c r="AC136" s="480"/>
      <c r="AD136" s="480"/>
      <c r="AE136" s="480"/>
      <c r="AF136" s="480"/>
      <c r="AG136" s="480"/>
    </row>
    <row r="137" spans="1:33" s="471" customFormat="1" hidden="1">
      <c r="A137" s="420">
        <f t="shared" si="24"/>
        <v>127</v>
      </c>
      <c r="B137" s="585">
        <f t="shared" si="25"/>
        <v>0</v>
      </c>
      <c r="C137" s="533">
        <f t="shared" si="26"/>
        <v>0</v>
      </c>
      <c r="D137" s="533">
        <f t="shared" si="27"/>
        <v>0</v>
      </c>
      <c r="E137" s="420"/>
      <c r="F137" s="420" t="str">
        <f t="shared" si="28"/>
        <v>Vacant</v>
      </c>
      <c r="G137" s="586">
        <f t="shared" si="29"/>
        <v>0</v>
      </c>
      <c r="H137" s="581"/>
      <c r="J137" s="582">
        <f>HLOOKUP($J$7,'MR-Stat Data Sheet Bud'!$U$8:$AF$1081,$AA137,FALSE)</f>
        <v>0</v>
      </c>
      <c r="K137" s="582">
        <f>HLOOKUP($J$7,'MR-Stat Data Sheet Bud'!$AS$8:$BD$1081,$AA137,FALSE)</f>
        <v>0</v>
      </c>
      <c r="L137" s="582">
        <f t="shared" si="30"/>
        <v>0</v>
      </c>
      <c r="N137" s="582">
        <f>HLOOKUP($J$7,'MR-Stat Data Sheet Bud'!$BE$8:$BP$1081,$AA137,FALSE)</f>
        <v>0</v>
      </c>
      <c r="O137" s="582">
        <f>HLOOKUP($J$7,'MR-Stat Data Sheet Bud'!$BQ$8:$CB$1081,$AA137,FALSE)</f>
        <v>0</v>
      </c>
      <c r="P137" s="582">
        <f t="shared" si="31"/>
        <v>0</v>
      </c>
      <c r="Q137" s="583"/>
      <c r="S137" s="482">
        <v>0</v>
      </c>
      <c r="T137" s="582">
        <v>0</v>
      </c>
      <c r="U137" s="583"/>
      <c r="V137" s="480"/>
      <c r="W137" s="480"/>
      <c r="X137" s="480"/>
      <c r="Y137" s="480"/>
      <c r="Z137" s="480"/>
      <c r="AA137" s="472">
        <f t="shared" si="23"/>
        <v>129</v>
      </c>
      <c r="AB137" s="480"/>
      <c r="AC137" s="480"/>
      <c r="AD137" s="480"/>
      <c r="AE137" s="480"/>
      <c r="AF137" s="480"/>
      <c r="AG137" s="480"/>
    </row>
    <row r="138" spans="1:33" s="471" customFormat="1" hidden="1">
      <c r="A138" s="420">
        <f t="shared" si="24"/>
        <v>128</v>
      </c>
      <c r="B138" s="585">
        <f t="shared" si="25"/>
        <v>0</v>
      </c>
      <c r="C138" s="533">
        <f t="shared" si="26"/>
        <v>0</v>
      </c>
      <c r="D138" s="533">
        <f t="shared" si="27"/>
        <v>0</v>
      </c>
      <c r="E138" s="420"/>
      <c r="F138" s="420" t="str">
        <f t="shared" si="28"/>
        <v>Vacant</v>
      </c>
      <c r="G138" s="586">
        <f t="shared" si="29"/>
        <v>0</v>
      </c>
      <c r="H138" s="581"/>
      <c r="J138" s="582">
        <f>HLOOKUP($J$7,'MR-Stat Data Sheet Bud'!$U$8:$AF$1081,$AA138,FALSE)</f>
        <v>0</v>
      </c>
      <c r="K138" s="582">
        <f>HLOOKUP($J$7,'MR-Stat Data Sheet Bud'!$AS$8:$BD$1081,$AA138,FALSE)</f>
        <v>0</v>
      </c>
      <c r="L138" s="582">
        <f t="shared" si="30"/>
        <v>0</v>
      </c>
      <c r="N138" s="582">
        <f>HLOOKUP($J$7,'MR-Stat Data Sheet Bud'!$BE$8:$BP$1081,$AA138,FALSE)</f>
        <v>0</v>
      </c>
      <c r="O138" s="582">
        <f>HLOOKUP($J$7,'MR-Stat Data Sheet Bud'!$BQ$8:$CB$1081,$AA138,FALSE)</f>
        <v>0</v>
      </c>
      <c r="P138" s="582">
        <f t="shared" si="31"/>
        <v>0</v>
      </c>
      <c r="Q138" s="583"/>
      <c r="S138" s="482">
        <v>0</v>
      </c>
      <c r="T138" s="582">
        <v>0</v>
      </c>
      <c r="U138" s="583"/>
      <c r="V138" s="480"/>
      <c r="W138" s="480"/>
      <c r="X138" s="480"/>
      <c r="Y138" s="480"/>
      <c r="Z138" s="480"/>
      <c r="AA138" s="472">
        <f t="shared" si="23"/>
        <v>130</v>
      </c>
      <c r="AB138" s="480"/>
      <c r="AC138" s="480"/>
      <c r="AD138" s="480"/>
      <c r="AE138" s="480"/>
      <c r="AF138" s="480"/>
      <c r="AG138" s="480"/>
    </row>
    <row r="139" spans="1:33" s="471" customFormat="1" hidden="1">
      <c r="A139" s="420">
        <f t="shared" si="24"/>
        <v>129</v>
      </c>
      <c r="B139" s="585">
        <f t="shared" si="25"/>
        <v>0</v>
      </c>
      <c r="C139" s="533">
        <f t="shared" si="26"/>
        <v>0</v>
      </c>
      <c r="D139" s="533">
        <f t="shared" si="27"/>
        <v>0</v>
      </c>
      <c r="E139" s="420"/>
      <c r="F139" s="420" t="str">
        <f t="shared" si="28"/>
        <v>Vacant</v>
      </c>
      <c r="G139" s="586">
        <f t="shared" si="29"/>
        <v>0</v>
      </c>
      <c r="H139" s="581"/>
      <c r="J139" s="582">
        <f>HLOOKUP($J$7,'MR-Stat Data Sheet Bud'!$U$8:$AF$1081,$AA139,FALSE)</f>
        <v>0</v>
      </c>
      <c r="K139" s="582">
        <f>HLOOKUP($J$7,'MR-Stat Data Sheet Bud'!$AS$8:$BD$1081,$AA139,FALSE)</f>
        <v>0</v>
      </c>
      <c r="L139" s="582">
        <f>+J139-K139</f>
        <v>0</v>
      </c>
      <c r="N139" s="582">
        <f>HLOOKUP($J$7,'MR-Stat Data Sheet Bud'!$BE$8:$BP$1081,$AA139,FALSE)</f>
        <v>0</v>
      </c>
      <c r="O139" s="582">
        <f>HLOOKUP($J$7,'MR-Stat Data Sheet Bud'!$BQ$8:$CB$1081,$AA139,FALSE)</f>
        <v>0</v>
      </c>
      <c r="P139" s="582">
        <f>+N139-O139</f>
        <v>0</v>
      </c>
      <c r="Q139" s="583"/>
      <c r="S139" s="482">
        <v>0</v>
      </c>
      <c r="T139" s="582">
        <v>0</v>
      </c>
      <c r="U139" s="583"/>
      <c r="V139" s="480"/>
      <c r="W139" s="480"/>
      <c r="X139" s="480"/>
      <c r="Y139" s="480"/>
      <c r="Z139" s="480"/>
      <c r="AA139" s="472">
        <f t="shared" si="23"/>
        <v>131</v>
      </c>
      <c r="AB139" s="480"/>
      <c r="AC139" s="480"/>
      <c r="AD139" s="480"/>
      <c r="AE139" s="480"/>
      <c r="AF139" s="480"/>
      <c r="AG139" s="480"/>
    </row>
    <row r="140" spans="1:33" s="471" customFormat="1" hidden="1">
      <c r="A140" s="420">
        <f t="shared" si="24"/>
        <v>130</v>
      </c>
      <c r="B140" s="585">
        <f t="shared" si="25"/>
        <v>0</v>
      </c>
      <c r="C140" s="533">
        <f t="shared" si="26"/>
        <v>0</v>
      </c>
      <c r="D140" s="533">
        <f t="shared" si="27"/>
        <v>0</v>
      </c>
      <c r="E140" s="420"/>
      <c r="F140" s="420" t="str">
        <f t="shared" si="28"/>
        <v>Vacant</v>
      </c>
      <c r="G140" s="586">
        <f t="shared" si="29"/>
        <v>0</v>
      </c>
      <c r="H140" s="581"/>
      <c r="J140" s="582">
        <f>HLOOKUP($J$7,'MR-Stat Data Sheet Bud'!$U$8:$AF$1081,$AA140,FALSE)</f>
        <v>0</v>
      </c>
      <c r="K140" s="582">
        <f>HLOOKUP($J$7,'MR-Stat Data Sheet Bud'!$AS$8:$BD$1081,$AA140,FALSE)</f>
        <v>0</v>
      </c>
      <c r="L140" s="582">
        <f>+J140-K140</f>
        <v>0</v>
      </c>
      <c r="N140" s="582">
        <f>HLOOKUP($J$7,'MR-Stat Data Sheet Bud'!$BE$8:$BP$1081,$AA140,FALSE)</f>
        <v>0</v>
      </c>
      <c r="O140" s="582">
        <f>HLOOKUP($J$7,'MR-Stat Data Sheet Bud'!$BQ$8:$CB$1081,$AA140,FALSE)</f>
        <v>0</v>
      </c>
      <c r="P140" s="582">
        <f>+N140-O140</f>
        <v>0</v>
      </c>
      <c r="Q140" s="583"/>
      <c r="S140" s="482">
        <v>0</v>
      </c>
      <c r="T140" s="582">
        <v>0</v>
      </c>
      <c r="U140" s="583"/>
      <c r="V140" s="480"/>
      <c r="W140" s="480"/>
      <c r="X140" s="480"/>
      <c r="Y140" s="480"/>
      <c r="Z140" s="480"/>
      <c r="AA140" s="472">
        <f t="shared" ref="AA140:AA203" si="32">1+AA139</f>
        <v>132</v>
      </c>
      <c r="AB140" s="480"/>
      <c r="AC140" s="480"/>
      <c r="AD140" s="480"/>
      <c r="AE140" s="480"/>
      <c r="AF140" s="480"/>
      <c r="AG140" s="480"/>
    </row>
    <row r="141" spans="1:33" s="471" customFormat="1" hidden="1">
      <c r="A141" s="420">
        <f t="shared" si="24"/>
        <v>131</v>
      </c>
      <c r="B141" s="585">
        <f t="shared" si="25"/>
        <v>0</v>
      </c>
      <c r="C141" s="533">
        <f t="shared" si="26"/>
        <v>0</v>
      </c>
      <c r="D141" s="533">
        <f t="shared" si="27"/>
        <v>0</v>
      </c>
      <c r="E141" s="420" t="s">
        <v>17</v>
      </c>
      <c r="F141" s="420" t="str">
        <f t="shared" si="28"/>
        <v>Vacant</v>
      </c>
      <c r="G141" s="586">
        <f t="shared" si="29"/>
        <v>0</v>
      </c>
      <c r="H141" s="581"/>
      <c r="J141" s="582">
        <f>HLOOKUP($J$7,'MR-Stat Data Sheet Bud'!$U$8:$AF$1081,$AA141,FALSE)</f>
        <v>0</v>
      </c>
      <c r="K141" s="582">
        <f>HLOOKUP($J$7,'MR-Stat Data Sheet Bud'!$AS$8:$BD$1081,$AA141,FALSE)</f>
        <v>0</v>
      </c>
      <c r="L141" s="582">
        <f>+J141-K141</f>
        <v>0</v>
      </c>
      <c r="N141" s="582">
        <f>HLOOKUP($J$7,'MR-Stat Data Sheet Bud'!$BE$8:$BP$1081,$AA141,FALSE)</f>
        <v>0</v>
      </c>
      <c r="O141" s="582">
        <f>HLOOKUP($J$7,'MR-Stat Data Sheet Bud'!$BQ$8:$CB$1081,$AA141,FALSE)</f>
        <v>0</v>
      </c>
      <c r="P141" s="582">
        <f>+N141-O141</f>
        <v>0</v>
      </c>
      <c r="Q141" s="583"/>
      <c r="S141" s="482" t="e">
        <f>VLOOKUP($G141,'MR-Stat Data Sheet Bud'!$F$8:$CB$1081,75,FALSE)</f>
        <v>#N/A</v>
      </c>
      <c r="T141" s="582">
        <v>0</v>
      </c>
      <c r="U141" s="583"/>
      <c r="V141" s="480"/>
      <c r="W141" s="480"/>
      <c r="X141" s="480"/>
      <c r="Y141" s="480"/>
      <c r="Z141" s="480"/>
      <c r="AA141" s="472">
        <f t="shared" si="32"/>
        <v>133</v>
      </c>
      <c r="AB141" s="480"/>
      <c r="AC141" s="480"/>
      <c r="AD141" s="480"/>
      <c r="AE141" s="480"/>
      <c r="AF141" s="480"/>
      <c r="AG141" s="480"/>
    </row>
    <row r="142" spans="1:33" s="471" customFormat="1">
      <c r="A142" s="420">
        <f t="shared" si="24"/>
        <v>132</v>
      </c>
      <c r="B142" s="585"/>
      <c r="C142" s="533"/>
      <c r="D142" s="533"/>
      <c r="E142" s="586"/>
      <c r="F142" s="586"/>
      <c r="G142" s="586"/>
      <c r="H142" s="591"/>
      <c r="J142" s="582"/>
      <c r="K142" s="582"/>
      <c r="L142" s="582"/>
      <c r="N142" s="582"/>
      <c r="O142" s="582"/>
      <c r="P142" s="582"/>
      <c r="Q142" s="583"/>
      <c r="T142" s="582"/>
      <c r="U142" s="583"/>
      <c r="V142" s="495"/>
      <c r="W142" s="495"/>
      <c r="X142" s="480"/>
      <c r="Y142" s="480"/>
      <c r="Z142" s="495"/>
      <c r="AA142" s="472">
        <f t="shared" si="32"/>
        <v>134</v>
      </c>
      <c r="AB142" s="480"/>
      <c r="AC142" s="480"/>
      <c r="AD142" s="495"/>
      <c r="AE142" s="495"/>
      <c r="AF142" s="480"/>
      <c r="AG142" s="480"/>
    </row>
    <row r="143" spans="1:33" s="471" customFormat="1" ht="13">
      <c r="A143" s="420">
        <f t="shared" ref="A143:A206" si="33">+A142+1</f>
        <v>133</v>
      </c>
      <c r="B143" s="580"/>
      <c r="C143" s="592"/>
      <c r="D143" s="592"/>
      <c r="E143" s="586"/>
      <c r="F143" s="586"/>
      <c r="G143" s="593" t="s">
        <v>103</v>
      </c>
      <c r="H143" s="594">
        <f>SUM(H11:H142)</f>
        <v>13256</v>
      </c>
      <c r="J143" s="595">
        <f>SUM(J11:J142)</f>
        <v>47882.470100000006</v>
      </c>
      <c r="K143" s="595">
        <f>SUM(K11:K142)</f>
        <v>61163</v>
      </c>
      <c r="L143" s="595">
        <f>SUM(L11:L142)</f>
        <v>-13280.529899999998</v>
      </c>
      <c r="M143" s="596"/>
      <c r="N143" s="595">
        <f>SUM(N11:N142)</f>
        <v>662884.40120000008</v>
      </c>
      <c r="O143" s="595">
        <f>SUM(O11:O142)</f>
        <v>721172</v>
      </c>
      <c r="P143" s="595">
        <f>SUM(P11:P142)</f>
        <v>-58287.598800000036</v>
      </c>
      <c r="Q143" s="583"/>
      <c r="S143" s="595">
        <f>SUM(S11:S20)</f>
        <v>721172</v>
      </c>
      <c r="T143" s="595">
        <f>SUM(T11:T142)</f>
        <v>-53194.439999999995</v>
      </c>
      <c r="U143" s="583"/>
      <c r="V143" s="502"/>
      <c r="W143" s="502"/>
      <c r="X143" s="502"/>
      <c r="Y143" s="502"/>
      <c r="Z143" s="502"/>
      <c r="AA143" s="472">
        <f t="shared" si="32"/>
        <v>135</v>
      </c>
      <c r="AB143" s="502"/>
      <c r="AC143" s="502"/>
      <c r="AD143" s="502"/>
      <c r="AE143" s="502"/>
      <c r="AF143" s="502"/>
      <c r="AG143" s="502"/>
    </row>
    <row r="144" spans="1:33" s="471" customFormat="1">
      <c r="A144" s="420">
        <f t="shared" si="33"/>
        <v>134</v>
      </c>
      <c r="B144" s="585"/>
      <c r="C144" s="533"/>
      <c r="D144" s="533"/>
      <c r="E144" s="586"/>
      <c r="F144" s="586"/>
      <c r="G144" s="586"/>
      <c r="H144" s="591"/>
      <c r="J144" s="582"/>
      <c r="K144" s="582"/>
      <c r="L144" s="582"/>
      <c r="N144" s="582"/>
      <c r="O144" s="582"/>
      <c r="P144" s="582"/>
      <c r="Q144" s="583"/>
      <c r="T144" s="582"/>
      <c r="U144" s="583"/>
      <c r="V144" s="495"/>
      <c r="W144" s="495"/>
      <c r="X144" s="480"/>
      <c r="Y144" s="480"/>
      <c r="Z144" s="495"/>
      <c r="AA144" s="472">
        <f t="shared" si="32"/>
        <v>136</v>
      </c>
      <c r="AB144" s="480"/>
      <c r="AC144" s="480"/>
      <c r="AD144" s="495"/>
      <c r="AE144" s="495"/>
      <c r="AF144" s="480"/>
      <c r="AG144" s="480"/>
    </row>
    <row r="145" spans="1:33" s="471" customFormat="1" ht="13">
      <c r="A145" s="420">
        <f t="shared" si="33"/>
        <v>135</v>
      </c>
      <c r="B145" s="597" t="s">
        <v>104</v>
      </c>
      <c r="C145" s="533"/>
      <c r="D145" s="533"/>
      <c r="E145" s="586"/>
      <c r="F145" s="586"/>
      <c r="G145" s="586"/>
      <c r="H145" s="591"/>
      <c r="J145" s="582"/>
      <c r="K145" s="582"/>
      <c r="L145" s="582"/>
      <c r="N145" s="582"/>
      <c r="O145" s="582"/>
      <c r="P145" s="582"/>
      <c r="Q145" s="583"/>
      <c r="T145" s="582"/>
      <c r="U145" s="583"/>
      <c r="V145" s="495"/>
      <c r="W145" s="495"/>
      <c r="X145" s="480"/>
      <c r="Y145" s="480"/>
      <c r="Z145" s="495"/>
      <c r="AA145" s="472">
        <f t="shared" si="32"/>
        <v>137</v>
      </c>
      <c r="AB145" s="480"/>
      <c r="AC145" s="480"/>
      <c r="AD145" s="495"/>
      <c r="AE145" s="495"/>
      <c r="AF145" s="480"/>
      <c r="AG145" s="480"/>
    </row>
    <row r="146" spans="1:33" s="471" customFormat="1">
      <c r="A146" s="420">
        <f t="shared" si="33"/>
        <v>136</v>
      </c>
      <c r="B146" s="585" t="str">
        <f t="shared" ref="B146:B177" si="34">VLOOKUP($A146,Suite_Data,2,FALSE)</f>
        <v>Bayside Restaurant</v>
      </c>
      <c r="C146" s="533">
        <f t="shared" ref="C146:C177" si="35">VLOOKUP($A146,Suite_Data,3,FALSE)</f>
        <v>36161</v>
      </c>
      <c r="D146" s="533">
        <f t="shared" ref="D146:D177" si="36">VLOOKUP($A146,Suite_Data,4,FALSE)</f>
        <v>41882</v>
      </c>
      <c r="E146" s="420" t="s">
        <v>250</v>
      </c>
      <c r="F146" s="420" t="str">
        <f t="shared" ref="F146:F177" si="37">IF(HLOOKUP($J$7,Actual_Sqft,AA146,FALSE)&gt;0,"Occupied","Vacant")</f>
        <v>Occupied</v>
      </c>
      <c r="G146" s="586" t="str">
        <f t="shared" ref="G146:G177" si="38">VLOOKUP($A146,Suite_Data,6,FALSE)</f>
        <v>900</v>
      </c>
      <c r="H146" s="581">
        <v>8000</v>
      </c>
      <c r="J146" s="582">
        <f>HLOOKUP($J$7,'MR-Stat Data Sheet Bud'!$U$8:$AF$1081,$AA146,FALSE)</f>
        <v>10000</v>
      </c>
      <c r="K146" s="582">
        <f>HLOOKUP($J$7,'MR-Stat Data Sheet Bud'!$AS$8:$BD$1081,$AA146,FALSE)</f>
        <v>10000</v>
      </c>
      <c r="L146" s="582">
        <f t="shared" ref="L146:L177" si="39">+J146-K146</f>
        <v>0</v>
      </c>
      <c r="N146" s="582">
        <f>HLOOKUP($J$7,'MR-Stat Data Sheet Bud'!$BE$8:$BP$1081,$AA146,FALSE)</f>
        <v>109999.98000000001</v>
      </c>
      <c r="O146" s="582">
        <f>HLOOKUP($J$7,'MR-Stat Data Sheet Bud'!$BQ$8:$CB$1081,$AA146,FALSE)</f>
        <v>110004</v>
      </c>
      <c r="P146" s="582">
        <f t="shared" ref="P146:P177" si="40">+N146-O146</f>
        <v>-4.0199999999895226</v>
      </c>
      <c r="Q146" s="583"/>
      <c r="S146" s="482">
        <f>VLOOKUP($G146,'MR-Stat Data Sheet Bud'!$F$8:$CB$1081,75,FALSE)</f>
        <v>110004</v>
      </c>
      <c r="T146" s="582">
        <v>0</v>
      </c>
      <c r="U146" s="583"/>
      <c r="V146" s="480"/>
      <c r="W146" s="495"/>
      <c r="X146" s="480"/>
      <c r="Y146" s="480"/>
      <c r="Z146" s="495"/>
      <c r="AA146" s="472">
        <f t="shared" si="32"/>
        <v>138</v>
      </c>
      <c r="AB146" s="480"/>
      <c r="AC146" s="480"/>
      <c r="AD146" s="480"/>
      <c r="AE146" s="495"/>
      <c r="AF146" s="480"/>
      <c r="AG146" s="480"/>
    </row>
    <row r="147" spans="1:33" s="471" customFormat="1">
      <c r="A147" s="420">
        <f t="shared" si="33"/>
        <v>137</v>
      </c>
      <c r="B147" s="585" t="str">
        <f t="shared" si="34"/>
        <v>Pavilions #235</v>
      </c>
      <c r="C147" s="533">
        <f t="shared" si="35"/>
        <v>31564</v>
      </c>
      <c r="D147" s="533">
        <f t="shared" si="36"/>
        <v>42521</v>
      </c>
      <c r="E147" s="420" t="s">
        <v>250</v>
      </c>
      <c r="F147" s="420" t="str">
        <f t="shared" si="37"/>
        <v>Occupied</v>
      </c>
      <c r="G147" s="586" t="str">
        <f t="shared" si="38"/>
        <v>1000</v>
      </c>
      <c r="H147" s="581">
        <v>28734</v>
      </c>
      <c r="J147" s="582">
        <f>HLOOKUP($J$7,'MR-Stat Data Sheet Bud'!$U$8:$AF$1081,$AA147,FALSE)</f>
        <v>57468</v>
      </c>
      <c r="K147" s="582">
        <f>HLOOKUP($J$7,'MR-Stat Data Sheet Bud'!$AS$8:$BD$1081,$AA147,FALSE)</f>
        <v>57468</v>
      </c>
      <c r="L147" s="582">
        <f t="shared" si="39"/>
        <v>0</v>
      </c>
      <c r="N147" s="582">
        <f>HLOOKUP($J$7,'MR-Stat Data Sheet Bud'!$BE$8:$BP$1081,$AA147,FALSE)</f>
        <v>689616</v>
      </c>
      <c r="O147" s="582">
        <f>HLOOKUP($J$7,'MR-Stat Data Sheet Bud'!$BQ$8:$CB$1081,$AA147,FALSE)</f>
        <v>689616</v>
      </c>
      <c r="P147" s="582">
        <f t="shared" si="40"/>
        <v>0</v>
      </c>
      <c r="Q147" s="583"/>
      <c r="S147" s="482">
        <f>VLOOKUP($G147,'MR-Stat Data Sheet Bud'!$F$8:$CB$1081,75,FALSE)</f>
        <v>689616</v>
      </c>
      <c r="T147" s="582">
        <v>0</v>
      </c>
      <c r="U147" s="583"/>
      <c r="V147" s="480"/>
      <c r="W147" s="495"/>
      <c r="X147" s="480"/>
      <c r="Y147" s="480"/>
      <c r="Z147" s="495"/>
      <c r="AA147" s="472">
        <f t="shared" si="32"/>
        <v>139</v>
      </c>
      <c r="AB147" s="480"/>
      <c r="AC147" s="480"/>
      <c r="AD147" s="480"/>
      <c r="AE147" s="495"/>
      <c r="AF147" s="480"/>
      <c r="AG147" s="480"/>
    </row>
    <row r="148" spans="1:33" s="471" customFormat="1">
      <c r="A148" s="420">
        <f t="shared" si="33"/>
        <v>138</v>
      </c>
      <c r="B148" s="585" t="str">
        <f t="shared" si="34"/>
        <v>Rite-Aid #5747</v>
      </c>
      <c r="C148" s="533">
        <f t="shared" si="35"/>
        <v>35324</v>
      </c>
      <c r="D148" s="533">
        <f t="shared" si="36"/>
        <v>40575</v>
      </c>
      <c r="E148" s="420" t="s">
        <v>250</v>
      </c>
      <c r="F148" s="420" t="str">
        <f t="shared" si="37"/>
        <v>Occupied</v>
      </c>
      <c r="G148" s="586" t="str">
        <f t="shared" si="38"/>
        <v>1016</v>
      </c>
      <c r="H148" s="581">
        <v>8986</v>
      </c>
      <c r="J148" s="582">
        <f>HLOOKUP($J$7,'MR-Stat Data Sheet Bud'!$U$8:$AF$1081,$AA148,FALSE)</f>
        <v>14699.95</v>
      </c>
      <c r="K148" s="582">
        <f>HLOOKUP($J$7,'MR-Stat Data Sheet Bud'!$AS$8:$BD$1081,$AA148,FALSE)</f>
        <v>14700</v>
      </c>
      <c r="L148" s="582">
        <f t="shared" si="39"/>
        <v>-4.9999999999272404E-2</v>
      </c>
      <c r="N148" s="582">
        <f>HLOOKUP($J$7,'MR-Stat Data Sheet Bud'!$BE$8:$BP$1081,$AA148,FALSE)</f>
        <v>174625.68000000002</v>
      </c>
      <c r="O148" s="582">
        <f>HLOOKUP($J$7,'MR-Stat Data Sheet Bud'!$BQ$8:$CB$1081,$AA148,FALSE)</f>
        <v>174627</v>
      </c>
      <c r="P148" s="582">
        <f t="shared" si="40"/>
        <v>-1.3199999999778811</v>
      </c>
      <c r="Q148" s="583"/>
      <c r="S148" s="482">
        <f>VLOOKUP($G148,'MR-Stat Data Sheet Bud'!$F$8:$CB$1081,75,FALSE)</f>
        <v>174627</v>
      </c>
      <c r="T148" s="582">
        <v>0</v>
      </c>
      <c r="U148" s="583"/>
      <c r="V148" s="480"/>
      <c r="W148" s="598"/>
      <c r="X148" s="598"/>
      <c r="Y148" s="598"/>
      <c r="Z148" s="598"/>
      <c r="AA148" s="472">
        <f t="shared" si="32"/>
        <v>140</v>
      </c>
      <c r="AB148" s="598"/>
      <c r="AC148" s="598"/>
      <c r="AD148" s="480"/>
      <c r="AE148" s="598"/>
      <c r="AF148" s="480"/>
      <c r="AG148" s="480"/>
    </row>
    <row r="149" spans="1:33" s="471" customFormat="1">
      <c r="A149" s="420">
        <f t="shared" si="33"/>
        <v>139</v>
      </c>
      <c r="B149" s="585" t="str">
        <f t="shared" si="34"/>
        <v>Union Bank #062</v>
      </c>
      <c r="C149" s="533">
        <f t="shared" si="35"/>
        <v>33055</v>
      </c>
      <c r="D149" s="533">
        <f t="shared" si="36"/>
        <v>40359</v>
      </c>
      <c r="E149" s="420" t="s">
        <v>250</v>
      </c>
      <c r="F149" s="420" t="str">
        <f t="shared" si="37"/>
        <v>Occupied</v>
      </c>
      <c r="G149" s="586" t="str">
        <f t="shared" si="38"/>
        <v>1090</v>
      </c>
      <c r="H149" s="581">
        <v>5377</v>
      </c>
      <c r="J149" s="582">
        <f>HLOOKUP($J$7,'MR-Stat Data Sheet Bud'!$U$8:$AF$1081,$AA149,FALSE)</f>
        <v>25200.21</v>
      </c>
      <c r="K149" s="582">
        <f>HLOOKUP($J$7,'MR-Stat Data Sheet Bud'!$AS$8:$BD$1081,$AA149,FALSE)</f>
        <v>25200</v>
      </c>
      <c r="L149" s="582">
        <f t="shared" si="39"/>
        <v>0.20999999999912689</v>
      </c>
      <c r="N149" s="582">
        <f>HLOOKUP($J$7,'MR-Stat Data Sheet Bud'!$BE$8:$BP$1081,$AA149,FALSE)</f>
        <v>302402.51999999996</v>
      </c>
      <c r="O149" s="582">
        <f>HLOOKUP($J$7,'MR-Stat Data Sheet Bud'!$BQ$8:$CB$1081,$AA149,FALSE)</f>
        <v>302400</v>
      </c>
      <c r="P149" s="582">
        <f t="shared" si="40"/>
        <v>2.5199999999604188</v>
      </c>
      <c r="Q149" s="583"/>
      <c r="S149" s="482">
        <f>VLOOKUP($G149,'MR-Stat Data Sheet Bud'!$F$8:$CB$1081,75,FALSE)</f>
        <v>302400</v>
      </c>
      <c r="T149" s="582">
        <v>0</v>
      </c>
      <c r="U149" s="583"/>
      <c r="V149" s="480"/>
      <c r="W149" s="495"/>
      <c r="X149" s="480"/>
      <c r="Y149" s="480"/>
      <c r="Z149" s="495"/>
      <c r="AA149" s="472">
        <f t="shared" si="32"/>
        <v>141</v>
      </c>
      <c r="AB149" s="480"/>
      <c r="AC149" s="480"/>
      <c r="AD149" s="480"/>
      <c r="AE149" s="495"/>
      <c r="AF149" s="480"/>
      <c r="AG149" s="480"/>
    </row>
    <row r="150" spans="1:33" s="471" customFormat="1" hidden="1">
      <c r="A150" s="420">
        <f t="shared" si="33"/>
        <v>140</v>
      </c>
      <c r="B150" s="585">
        <f t="shared" si="34"/>
        <v>0</v>
      </c>
      <c r="C150" s="533">
        <f t="shared" si="35"/>
        <v>0</v>
      </c>
      <c r="D150" s="533">
        <f t="shared" si="36"/>
        <v>0</v>
      </c>
      <c r="E150" s="420"/>
      <c r="F150" s="420" t="str">
        <f t="shared" si="37"/>
        <v>Vacant</v>
      </c>
      <c r="G150" s="586">
        <f t="shared" si="38"/>
        <v>0</v>
      </c>
      <c r="H150" s="581"/>
      <c r="J150" s="582">
        <f>HLOOKUP($J$7,'MR-Stat Data Sheet Bud'!$U$8:$AF$1081,$AA150,FALSE)</f>
        <v>0</v>
      </c>
      <c r="K150" s="582">
        <f>HLOOKUP($J$7,'MR-Stat Data Sheet Bud'!$AS$8:$BD$1081,$AA150,FALSE)</f>
        <v>0</v>
      </c>
      <c r="L150" s="582">
        <f t="shared" si="39"/>
        <v>0</v>
      </c>
      <c r="N150" s="582">
        <f>HLOOKUP($J$7,'MR-Stat Data Sheet Bud'!$BE$8:$BP$1081,$AA150,FALSE)</f>
        <v>0</v>
      </c>
      <c r="O150" s="582">
        <f>HLOOKUP($J$7,'MR-Stat Data Sheet Bud'!$AS$8:$BD$1081,$AA150,FALSE)</f>
        <v>0</v>
      </c>
      <c r="P150" s="582">
        <f t="shared" si="40"/>
        <v>0</v>
      </c>
      <c r="Q150" s="583"/>
      <c r="S150" s="599"/>
      <c r="T150" s="582">
        <v>0</v>
      </c>
      <c r="U150" s="583"/>
      <c r="V150" s="480"/>
      <c r="W150" s="495"/>
      <c r="X150" s="480"/>
      <c r="Y150" s="480"/>
      <c r="Z150" s="495"/>
      <c r="AA150" s="472">
        <f t="shared" si="32"/>
        <v>142</v>
      </c>
      <c r="AB150" s="480"/>
      <c r="AC150" s="480"/>
      <c r="AD150" s="480"/>
      <c r="AE150" s="495"/>
      <c r="AF150" s="480"/>
      <c r="AG150" s="480"/>
    </row>
    <row r="151" spans="1:33" s="471" customFormat="1" hidden="1">
      <c r="A151" s="420">
        <f t="shared" si="33"/>
        <v>141</v>
      </c>
      <c r="B151" s="585">
        <f t="shared" si="34"/>
        <v>0</v>
      </c>
      <c r="C151" s="533">
        <f t="shared" si="35"/>
        <v>0</v>
      </c>
      <c r="D151" s="533">
        <f t="shared" si="36"/>
        <v>0</v>
      </c>
      <c r="E151" s="420"/>
      <c r="F151" s="420" t="str">
        <f t="shared" si="37"/>
        <v>Vacant</v>
      </c>
      <c r="G151" s="586">
        <f t="shared" si="38"/>
        <v>0</v>
      </c>
      <c r="H151" s="581"/>
      <c r="J151" s="582">
        <f>HLOOKUP($J$7,'MR-Stat Data Sheet Bud'!$U$8:$AF$1081,$AA151,FALSE)</f>
        <v>0</v>
      </c>
      <c r="K151" s="582">
        <f>HLOOKUP($J$7,'MR-Stat Data Sheet Bud'!$AS$8:$BD$1081,$AA151,FALSE)</f>
        <v>0</v>
      </c>
      <c r="L151" s="582">
        <f t="shared" si="39"/>
        <v>0</v>
      </c>
      <c r="N151" s="582">
        <f>HLOOKUP($J$7,'MR-Stat Data Sheet Bud'!$BE$8:$BP$1081,$AA151,FALSE)</f>
        <v>0</v>
      </c>
      <c r="O151" s="582">
        <f>HLOOKUP($J$7,'MR-Stat Data Sheet Bud'!$AS$8:$BD$1081,$AA151,FALSE)</f>
        <v>0</v>
      </c>
      <c r="P151" s="582">
        <f t="shared" si="40"/>
        <v>0</v>
      </c>
      <c r="Q151" s="583"/>
      <c r="S151" s="599"/>
      <c r="T151" s="582">
        <v>0</v>
      </c>
      <c r="U151" s="583"/>
      <c r="V151" s="480"/>
      <c r="W151" s="495"/>
      <c r="X151" s="480"/>
      <c r="Y151" s="480"/>
      <c r="Z151" s="495"/>
      <c r="AA151" s="472">
        <f t="shared" si="32"/>
        <v>143</v>
      </c>
      <c r="AB151" s="480"/>
      <c r="AC151" s="480"/>
      <c r="AD151" s="480"/>
      <c r="AE151" s="495"/>
      <c r="AF151" s="480"/>
      <c r="AG151" s="480"/>
    </row>
    <row r="152" spans="1:33" s="471" customFormat="1" hidden="1">
      <c r="A152" s="420">
        <f t="shared" si="33"/>
        <v>142</v>
      </c>
      <c r="B152" s="585">
        <f t="shared" si="34"/>
        <v>0</v>
      </c>
      <c r="C152" s="533">
        <f t="shared" si="35"/>
        <v>0</v>
      </c>
      <c r="D152" s="533">
        <f t="shared" si="36"/>
        <v>0</v>
      </c>
      <c r="E152" s="420"/>
      <c r="F152" s="420" t="str">
        <f t="shared" si="37"/>
        <v>Vacant</v>
      </c>
      <c r="G152" s="586">
        <f t="shared" si="38"/>
        <v>0</v>
      </c>
      <c r="H152" s="581"/>
      <c r="J152" s="582">
        <f>HLOOKUP($J$7,'MR-Stat Data Sheet Bud'!$U$8:$AF$1081,$AA152,FALSE)</f>
        <v>0</v>
      </c>
      <c r="K152" s="582">
        <f>HLOOKUP($J$7,'MR-Stat Data Sheet Bud'!$AS$8:$BD$1081,$AA152,FALSE)</f>
        <v>0</v>
      </c>
      <c r="L152" s="582">
        <f t="shared" si="39"/>
        <v>0</v>
      </c>
      <c r="N152" s="582">
        <f>HLOOKUP($J$7,'MR-Stat Data Sheet Bud'!$BE$8:$BP$1081,$AA152,FALSE)</f>
        <v>0</v>
      </c>
      <c r="O152" s="582">
        <f>HLOOKUP($J$7,'MR-Stat Data Sheet Bud'!$AS$8:$BD$1081,$AA152,FALSE)</f>
        <v>0</v>
      </c>
      <c r="P152" s="582">
        <f t="shared" si="40"/>
        <v>0</v>
      </c>
      <c r="Q152" s="583"/>
      <c r="S152" s="599"/>
      <c r="T152" s="582">
        <v>0</v>
      </c>
      <c r="U152" s="583"/>
      <c r="V152" s="480"/>
      <c r="W152" s="495"/>
      <c r="X152" s="480"/>
      <c r="Y152" s="480"/>
      <c r="Z152" s="495"/>
      <c r="AA152" s="472">
        <f t="shared" si="32"/>
        <v>144</v>
      </c>
      <c r="AB152" s="480"/>
      <c r="AC152" s="480"/>
      <c r="AD152" s="480"/>
      <c r="AE152" s="495"/>
      <c r="AF152" s="480"/>
      <c r="AG152" s="480"/>
    </row>
    <row r="153" spans="1:33" s="471" customFormat="1" hidden="1">
      <c r="A153" s="420">
        <f t="shared" si="33"/>
        <v>143</v>
      </c>
      <c r="B153" s="585">
        <f t="shared" si="34"/>
        <v>0</v>
      </c>
      <c r="C153" s="533">
        <f t="shared" si="35"/>
        <v>0</v>
      </c>
      <c r="D153" s="533">
        <f t="shared" si="36"/>
        <v>0</v>
      </c>
      <c r="E153" s="420"/>
      <c r="F153" s="420" t="str">
        <f t="shared" si="37"/>
        <v>Vacant</v>
      </c>
      <c r="G153" s="586">
        <f t="shared" si="38"/>
        <v>0</v>
      </c>
      <c r="H153" s="581"/>
      <c r="J153" s="582">
        <f>HLOOKUP($J$7,'MR-Stat Data Sheet Bud'!$U$8:$AF$1081,$AA153,FALSE)</f>
        <v>0</v>
      </c>
      <c r="K153" s="582">
        <f>HLOOKUP($J$7,'MR-Stat Data Sheet Bud'!$AS$8:$BD$1081,$AA153,FALSE)</f>
        <v>0</v>
      </c>
      <c r="L153" s="582">
        <f t="shared" si="39"/>
        <v>0</v>
      </c>
      <c r="N153" s="582">
        <f>HLOOKUP($J$7,'MR-Stat Data Sheet Bud'!$BE$8:$BP$1081,$AA153,FALSE)</f>
        <v>0</v>
      </c>
      <c r="O153" s="582">
        <f>HLOOKUP($J$7,'MR-Stat Data Sheet Bud'!$AS$8:$BD$1081,$AA153,FALSE)</f>
        <v>0</v>
      </c>
      <c r="P153" s="582">
        <f t="shared" si="40"/>
        <v>0</v>
      </c>
      <c r="Q153" s="583"/>
      <c r="S153" s="599"/>
      <c r="T153" s="582">
        <v>0</v>
      </c>
      <c r="U153" s="583"/>
      <c r="V153" s="480"/>
      <c r="W153" s="495"/>
      <c r="X153" s="480"/>
      <c r="Y153" s="480"/>
      <c r="Z153" s="495"/>
      <c r="AA153" s="472">
        <f t="shared" si="32"/>
        <v>145</v>
      </c>
      <c r="AB153" s="480"/>
      <c r="AC153" s="480"/>
      <c r="AD153" s="480"/>
      <c r="AE153" s="495"/>
      <c r="AF153" s="480"/>
      <c r="AG153" s="480"/>
    </row>
    <row r="154" spans="1:33" s="471" customFormat="1" hidden="1">
      <c r="A154" s="420">
        <f t="shared" si="33"/>
        <v>144</v>
      </c>
      <c r="B154" s="585">
        <f t="shared" si="34"/>
        <v>0</v>
      </c>
      <c r="C154" s="533">
        <f t="shared" si="35"/>
        <v>0</v>
      </c>
      <c r="D154" s="533">
        <f t="shared" si="36"/>
        <v>0</v>
      </c>
      <c r="E154" s="420"/>
      <c r="F154" s="420" t="str">
        <f t="shared" si="37"/>
        <v>Vacant</v>
      </c>
      <c r="G154" s="586">
        <f t="shared" si="38"/>
        <v>0</v>
      </c>
      <c r="H154" s="581"/>
      <c r="J154" s="582">
        <f>HLOOKUP($J$7,'MR-Stat Data Sheet Bud'!$U$8:$AF$1081,$AA154,FALSE)</f>
        <v>0</v>
      </c>
      <c r="K154" s="582">
        <f>HLOOKUP($J$7,'MR-Stat Data Sheet Bud'!$AS$8:$BD$1081,$AA154,FALSE)</f>
        <v>0</v>
      </c>
      <c r="L154" s="582">
        <f t="shared" si="39"/>
        <v>0</v>
      </c>
      <c r="N154" s="582">
        <f>HLOOKUP($J$7,'MR-Stat Data Sheet Bud'!$BE$8:$BP$1081,$AA154,FALSE)</f>
        <v>0</v>
      </c>
      <c r="O154" s="582">
        <f>HLOOKUP($J$7,'MR-Stat Data Sheet Bud'!$AS$8:$BD$1081,$AA154,FALSE)</f>
        <v>0</v>
      </c>
      <c r="P154" s="582">
        <f t="shared" si="40"/>
        <v>0</v>
      </c>
      <c r="Q154" s="583"/>
      <c r="S154" s="599"/>
      <c r="T154" s="582">
        <v>0</v>
      </c>
      <c r="U154" s="583"/>
      <c r="V154" s="480"/>
      <c r="W154" s="495"/>
      <c r="X154" s="480"/>
      <c r="Y154" s="480"/>
      <c r="Z154" s="495"/>
      <c r="AA154" s="472">
        <f t="shared" si="32"/>
        <v>146</v>
      </c>
      <c r="AB154" s="480"/>
      <c r="AC154" s="480"/>
      <c r="AD154" s="480"/>
      <c r="AE154" s="495"/>
      <c r="AF154" s="480"/>
      <c r="AG154" s="480"/>
    </row>
    <row r="155" spans="1:33" s="471" customFormat="1" hidden="1">
      <c r="A155" s="420">
        <f t="shared" si="33"/>
        <v>145</v>
      </c>
      <c r="B155" s="585">
        <f t="shared" si="34"/>
        <v>0</v>
      </c>
      <c r="C155" s="533">
        <f t="shared" si="35"/>
        <v>0</v>
      </c>
      <c r="D155" s="533">
        <f t="shared" si="36"/>
        <v>0</v>
      </c>
      <c r="E155" s="420"/>
      <c r="F155" s="420" t="str">
        <f t="shared" si="37"/>
        <v>Vacant</v>
      </c>
      <c r="G155" s="586">
        <f t="shared" si="38"/>
        <v>0</v>
      </c>
      <c r="H155" s="581"/>
      <c r="J155" s="582">
        <f>HLOOKUP($J$7,'MR-Stat Data Sheet Bud'!$U$8:$AF$1081,$AA155,FALSE)</f>
        <v>0</v>
      </c>
      <c r="K155" s="582">
        <f>HLOOKUP($J$7,'MR-Stat Data Sheet Bud'!$AS$8:$BD$1081,$AA155,FALSE)</f>
        <v>0</v>
      </c>
      <c r="L155" s="582">
        <f t="shared" si="39"/>
        <v>0</v>
      </c>
      <c r="N155" s="582">
        <f>HLOOKUP($J$7,'MR-Stat Data Sheet Bud'!$BE$8:$BP$1081,$AA155,FALSE)</f>
        <v>0</v>
      </c>
      <c r="O155" s="582">
        <f>HLOOKUP($J$7,'MR-Stat Data Sheet Bud'!$AS$8:$BD$1081,$AA155,FALSE)</f>
        <v>0</v>
      </c>
      <c r="P155" s="582">
        <f t="shared" si="40"/>
        <v>0</v>
      </c>
      <c r="Q155" s="583"/>
      <c r="S155" s="599"/>
      <c r="T155" s="582">
        <v>0</v>
      </c>
      <c r="U155" s="583"/>
      <c r="V155" s="480"/>
      <c r="W155" s="495"/>
      <c r="X155" s="480"/>
      <c r="Y155" s="480"/>
      <c r="Z155" s="495"/>
      <c r="AA155" s="472">
        <f t="shared" si="32"/>
        <v>147</v>
      </c>
      <c r="AB155" s="480"/>
      <c r="AC155" s="480"/>
      <c r="AD155" s="480"/>
      <c r="AE155" s="495"/>
      <c r="AF155" s="480"/>
      <c r="AG155" s="480"/>
    </row>
    <row r="156" spans="1:33" s="471" customFormat="1" hidden="1">
      <c r="A156" s="420">
        <f t="shared" si="33"/>
        <v>146</v>
      </c>
      <c r="B156" s="585">
        <f t="shared" si="34"/>
        <v>0</v>
      </c>
      <c r="C156" s="533">
        <f t="shared" si="35"/>
        <v>0</v>
      </c>
      <c r="D156" s="533">
        <f t="shared" si="36"/>
        <v>0</v>
      </c>
      <c r="E156" s="420"/>
      <c r="F156" s="420" t="str">
        <f t="shared" si="37"/>
        <v>Vacant</v>
      </c>
      <c r="G156" s="586">
        <f t="shared" si="38"/>
        <v>0</v>
      </c>
      <c r="H156" s="581"/>
      <c r="J156" s="582">
        <f>HLOOKUP($J$7,'MR-Stat Data Sheet Bud'!$U$8:$AF$1081,$AA156,FALSE)</f>
        <v>0</v>
      </c>
      <c r="K156" s="582">
        <f>HLOOKUP($J$7,'MR-Stat Data Sheet Bud'!$AS$8:$BD$1081,$AA156,FALSE)</f>
        <v>0</v>
      </c>
      <c r="L156" s="582">
        <f t="shared" si="39"/>
        <v>0</v>
      </c>
      <c r="N156" s="582">
        <f>HLOOKUP($J$7,'MR-Stat Data Sheet Bud'!$BE$8:$BP$1081,$AA156,FALSE)</f>
        <v>0</v>
      </c>
      <c r="O156" s="582">
        <f>HLOOKUP($J$7,'MR-Stat Data Sheet Bud'!$AS$8:$BD$1081,$AA156,FALSE)</f>
        <v>0</v>
      </c>
      <c r="P156" s="582">
        <f t="shared" si="40"/>
        <v>0</v>
      </c>
      <c r="Q156" s="583"/>
      <c r="S156" s="599"/>
      <c r="T156" s="582">
        <v>0</v>
      </c>
      <c r="U156" s="583"/>
      <c r="V156" s="480"/>
      <c r="W156" s="495"/>
      <c r="X156" s="480"/>
      <c r="Y156" s="480"/>
      <c r="Z156" s="495"/>
      <c r="AA156" s="472">
        <f t="shared" si="32"/>
        <v>148</v>
      </c>
      <c r="AB156" s="480"/>
      <c r="AC156" s="480"/>
      <c r="AD156" s="480"/>
      <c r="AE156" s="495"/>
      <c r="AF156" s="480"/>
      <c r="AG156" s="480"/>
    </row>
    <row r="157" spans="1:33" s="471" customFormat="1" hidden="1">
      <c r="A157" s="420">
        <f t="shared" si="33"/>
        <v>147</v>
      </c>
      <c r="B157" s="585">
        <f t="shared" si="34"/>
        <v>0</v>
      </c>
      <c r="C157" s="533">
        <f t="shared" si="35"/>
        <v>0</v>
      </c>
      <c r="D157" s="533">
        <f t="shared" si="36"/>
        <v>0</v>
      </c>
      <c r="E157" s="420"/>
      <c r="F157" s="420" t="str">
        <f t="shared" si="37"/>
        <v>Vacant</v>
      </c>
      <c r="G157" s="586">
        <f t="shared" si="38"/>
        <v>0</v>
      </c>
      <c r="H157" s="581"/>
      <c r="J157" s="582">
        <f>HLOOKUP($J$7,'MR-Stat Data Sheet Bud'!$U$8:$AF$1081,$AA157,FALSE)</f>
        <v>0</v>
      </c>
      <c r="K157" s="582">
        <f>HLOOKUP($J$7,'MR-Stat Data Sheet Bud'!$AS$8:$BD$1081,$AA157,FALSE)</f>
        <v>0</v>
      </c>
      <c r="L157" s="582">
        <f t="shared" si="39"/>
        <v>0</v>
      </c>
      <c r="N157" s="582">
        <f>HLOOKUP($J$7,'MR-Stat Data Sheet Bud'!$BE$8:$BP$1081,$AA157,FALSE)</f>
        <v>0</v>
      </c>
      <c r="O157" s="582">
        <f>HLOOKUP($J$7,'MR-Stat Data Sheet Bud'!$AS$8:$BD$1081,$AA157,FALSE)</f>
        <v>0</v>
      </c>
      <c r="P157" s="582">
        <f t="shared" si="40"/>
        <v>0</v>
      </c>
      <c r="Q157" s="583"/>
      <c r="S157" s="599"/>
      <c r="T157" s="582">
        <v>0</v>
      </c>
      <c r="U157" s="583"/>
      <c r="V157" s="480"/>
      <c r="W157" s="495"/>
      <c r="X157" s="480"/>
      <c r="Y157" s="480"/>
      <c r="Z157" s="495"/>
      <c r="AA157" s="472">
        <f t="shared" si="32"/>
        <v>149</v>
      </c>
      <c r="AB157" s="480"/>
      <c r="AC157" s="480"/>
      <c r="AD157" s="480"/>
      <c r="AE157" s="495"/>
      <c r="AF157" s="480"/>
      <c r="AG157" s="480"/>
    </row>
    <row r="158" spans="1:33" s="471" customFormat="1" hidden="1">
      <c r="A158" s="420">
        <f t="shared" si="33"/>
        <v>148</v>
      </c>
      <c r="B158" s="585">
        <f t="shared" si="34"/>
        <v>0</v>
      </c>
      <c r="C158" s="533">
        <f t="shared" si="35"/>
        <v>0</v>
      </c>
      <c r="D158" s="533">
        <f t="shared" si="36"/>
        <v>0</v>
      </c>
      <c r="E158" s="420"/>
      <c r="F158" s="420" t="str">
        <f t="shared" si="37"/>
        <v>Vacant</v>
      </c>
      <c r="G158" s="586">
        <f t="shared" si="38"/>
        <v>0</v>
      </c>
      <c r="H158" s="581"/>
      <c r="J158" s="582">
        <f>HLOOKUP($J$7,'MR-Stat Data Sheet Bud'!$U$8:$AF$1081,$AA158,FALSE)</f>
        <v>0</v>
      </c>
      <c r="K158" s="582">
        <f>HLOOKUP($J$7,'MR-Stat Data Sheet Bud'!$AS$8:$BD$1081,$AA158,FALSE)</f>
        <v>0</v>
      </c>
      <c r="L158" s="582">
        <f t="shared" si="39"/>
        <v>0</v>
      </c>
      <c r="N158" s="582">
        <f>HLOOKUP($J$7,'MR-Stat Data Sheet Bud'!$BE$8:$BP$1081,$AA158,FALSE)</f>
        <v>0</v>
      </c>
      <c r="O158" s="582">
        <f>HLOOKUP($J$7,'MR-Stat Data Sheet Bud'!$AS$8:$BD$1081,$AA158,FALSE)</f>
        <v>0</v>
      </c>
      <c r="P158" s="582">
        <f t="shared" si="40"/>
        <v>0</v>
      </c>
      <c r="Q158" s="583"/>
      <c r="S158" s="599"/>
      <c r="T158" s="582">
        <v>0</v>
      </c>
      <c r="U158" s="583"/>
      <c r="V158" s="480"/>
      <c r="W158" s="495"/>
      <c r="X158" s="480"/>
      <c r="Y158" s="480"/>
      <c r="Z158" s="495"/>
      <c r="AA158" s="472">
        <f t="shared" si="32"/>
        <v>150</v>
      </c>
      <c r="AB158" s="480"/>
      <c r="AC158" s="480"/>
      <c r="AD158" s="480"/>
      <c r="AE158" s="495"/>
      <c r="AF158" s="480"/>
      <c r="AG158" s="480"/>
    </row>
    <row r="159" spans="1:33" s="471" customFormat="1" hidden="1">
      <c r="A159" s="420">
        <f t="shared" si="33"/>
        <v>149</v>
      </c>
      <c r="B159" s="585">
        <f t="shared" si="34"/>
        <v>0</v>
      </c>
      <c r="C159" s="533">
        <f t="shared" si="35"/>
        <v>0</v>
      </c>
      <c r="D159" s="533">
        <f t="shared" si="36"/>
        <v>0</v>
      </c>
      <c r="E159" s="420"/>
      <c r="F159" s="420" t="str">
        <f t="shared" si="37"/>
        <v>Vacant</v>
      </c>
      <c r="G159" s="586">
        <f t="shared" si="38"/>
        <v>0</v>
      </c>
      <c r="H159" s="581"/>
      <c r="J159" s="582">
        <f>HLOOKUP($J$7,'MR-Stat Data Sheet Bud'!$U$8:$AF$1081,$AA159,FALSE)</f>
        <v>0</v>
      </c>
      <c r="K159" s="582">
        <f>HLOOKUP($J$7,'MR-Stat Data Sheet Bud'!$AS$8:$BD$1081,$AA159,FALSE)</f>
        <v>0</v>
      </c>
      <c r="L159" s="582">
        <f t="shared" si="39"/>
        <v>0</v>
      </c>
      <c r="N159" s="582">
        <f>HLOOKUP($J$7,'MR-Stat Data Sheet Bud'!$BE$8:$BP$1081,$AA159,FALSE)</f>
        <v>0</v>
      </c>
      <c r="O159" s="582">
        <f>HLOOKUP($J$7,'MR-Stat Data Sheet Bud'!$AS$8:$BD$1081,$AA159,FALSE)</f>
        <v>0</v>
      </c>
      <c r="P159" s="582">
        <f t="shared" si="40"/>
        <v>0</v>
      </c>
      <c r="Q159" s="583"/>
      <c r="S159" s="599"/>
      <c r="T159" s="582">
        <v>0</v>
      </c>
      <c r="U159" s="583"/>
      <c r="V159" s="480"/>
      <c r="W159" s="495"/>
      <c r="X159" s="480"/>
      <c r="Y159" s="480"/>
      <c r="Z159" s="495"/>
      <c r="AA159" s="472">
        <f t="shared" si="32"/>
        <v>151</v>
      </c>
      <c r="AB159" s="480"/>
      <c r="AC159" s="480"/>
      <c r="AD159" s="480"/>
      <c r="AE159" s="495"/>
      <c r="AF159" s="480"/>
      <c r="AG159" s="480"/>
    </row>
    <row r="160" spans="1:33" s="471" customFormat="1" hidden="1">
      <c r="A160" s="420">
        <f t="shared" si="33"/>
        <v>150</v>
      </c>
      <c r="B160" s="585">
        <f t="shared" si="34"/>
        <v>0</v>
      </c>
      <c r="C160" s="533">
        <f t="shared" si="35"/>
        <v>0</v>
      </c>
      <c r="D160" s="533">
        <f t="shared" si="36"/>
        <v>0</v>
      </c>
      <c r="E160" s="420"/>
      <c r="F160" s="420" t="str">
        <f t="shared" si="37"/>
        <v>Vacant</v>
      </c>
      <c r="G160" s="586">
        <f t="shared" si="38"/>
        <v>0</v>
      </c>
      <c r="H160" s="581"/>
      <c r="J160" s="582">
        <f>HLOOKUP($J$7,'MR-Stat Data Sheet Bud'!$U$8:$AF$1081,$AA160,FALSE)</f>
        <v>0</v>
      </c>
      <c r="K160" s="582">
        <f>HLOOKUP($J$7,'MR-Stat Data Sheet Bud'!$AS$8:$BD$1081,$AA160,FALSE)</f>
        <v>0</v>
      </c>
      <c r="L160" s="582">
        <f t="shared" si="39"/>
        <v>0</v>
      </c>
      <c r="N160" s="582">
        <f>HLOOKUP($J$7,'MR-Stat Data Sheet Bud'!$BE$8:$BP$1081,$AA160,FALSE)</f>
        <v>0</v>
      </c>
      <c r="O160" s="582">
        <f>HLOOKUP($J$7,'MR-Stat Data Sheet Bud'!$AS$8:$BD$1081,$AA160,FALSE)</f>
        <v>0</v>
      </c>
      <c r="P160" s="582">
        <f t="shared" si="40"/>
        <v>0</v>
      </c>
      <c r="Q160" s="583"/>
      <c r="S160" s="599"/>
      <c r="T160" s="582">
        <v>0</v>
      </c>
      <c r="U160" s="583"/>
      <c r="V160" s="480"/>
      <c r="W160" s="495"/>
      <c r="X160" s="480"/>
      <c r="Y160" s="480"/>
      <c r="Z160" s="495"/>
      <c r="AA160" s="472">
        <f t="shared" si="32"/>
        <v>152</v>
      </c>
      <c r="AB160" s="480"/>
      <c r="AC160" s="480"/>
      <c r="AD160" s="480"/>
      <c r="AE160" s="495"/>
      <c r="AF160" s="480"/>
      <c r="AG160" s="480"/>
    </row>
    <row r="161" spans="1:33" s="471" customFormat="1" hidden="1">
      <c r="A161" s="420">
        <f t="shared" si="33"/>
        <v>151</v>
      </c>
      <c r="B161" s="585">
        <f t="shared" si="34"/>
        <v>0</v>
      </c>
      <c r="C161" s="533">
        <f t="shared" si="35"/>
        <v>0</v>
      </c>
      <c r="D161" s="533">
        <f t="shared" si="36"/>
        <v>0</v>
      </c>
      <c r="E161" s="420"/>
      <c r="F161" s="420" t="str">
        <f t="shared" si="37"/>
        <v>Vacant</v>
      </c>
      <c r="G161" s="586">
        <f t="shared" si="38"/>
        <v>0</v>
      </c>
      <c r="H161" s="581"/>
      <c r="J161" s="582">
        <f>HLOOKUP($J$7,'MR-Stat Data Sheet Bud'!$U$8:$AF$1081,$AA161,FALSE)</f>
        <v>0</v>
      </c>
      <c r="K161" s="582">
        <f>HLOOKUP($J$7,'MR-Stat Data Sheet Bud'!$AS$8:$BD$1081,$AA161,FALSE)</f>
        <v>0</v>
      </c>
      <c r="L161" s="582">
        <f t="shared" si="39"/>
        <v>0</v>
      </c>
      <c r="N161" s="582">
        <f>HLOOKUP($J$7,'MR-Stat Data Sheet Bud'!$BE$8:$BP$1081,$AA161,FALSE)</f>
        <v>0</v>
      </c>
      <c r="O161" s="582">
        <f>HLOOKUP($J$7,'MR-Stat Data Sheet Bud'!$AS$8:$BD$1081,$AA161,FALSE)</f>
        <v>0</v>
      </c>
      <c r="P161" s="582">
        <f t="shared" si="40"/>
        <v>0</v>
      </c>
      <c r="Q161" s="583"/>
      <c r="S161" s="599"/>
      <c r="T161" s="582">
        <v>0</v>
      </c>
      <c r="U161" s="583"/>
      <c r="V161" s="480"/>
      <c r="W161" s="495"/>
      <c r="X161" s="480"/>
      <c r="Y161" s="480"/>
      <c r="Z161" s="495"/>
      <c r="AA161" s="472">
        <f t="shared" si="32"/>
        <v>153</v>
      </c>
      <c r="AB161" s="480"/>
      <c r="AC161" s="480"/>
      <c r="AD161" s="480"/>
      <c r="AE161" s="495"/>
      <c r="AF161" s="480"/>
      <c r="AG161" s="480"/>
    </row>
    <row r="162" spans="1:33" s="471" customFormat="1" hidden="1">
      <c r="A162" s="420">
        <f t="shared" si="33"/>
        <v>152</v>
      </c>
      <c r="B162" s="585">
        <f t="shared" si="34"/>
        <v>0</v>
      </c>
      <c r="C162" s="533">
        <f t="shared" si="35"/>
        <v>0</v>
      </c>
      <c r="D162" s="533">
        <f t="shared" si="36"/>
        <v>0</v>
      </c>
      <c r="E162" s="420"/>
      <c r="F162" s="420" t="str">
        <f t="shared" si="37"/>
        <v>Vacant</v>
      </c>
      <c r="G162" s="586">
        <f t="shared" si="38"/>
        <v>0</v>
      </c>
      <c r="H162" s="581"/>
      <c r="J162" s="582">
        <f>HLOOKUP($J$7,'MR-Stat Data Sheet Bud'!$U$8:$AF$1081,$AA162,FALSE)</f>
        <v>0</v>
      </c>
      <c r="K162" s="582">
        <f>HLOOKUP($J$7,'MR-Stat Data Sheet Bud'!$AS$8:$BD$1081,$AA162,FALSE)</f>
        <v>0</v>
      </c>
      <c r="L162" s="582">
        <f t="shared" si="39"/>
        <v>0</v>
      </c>
      <c r="N162" s="582">
        <f>HLOOKUP($J$7,'MR-Stat Data Sheet Bud'!$BE$8:$BP$1081,$AA162,FALSE)</f>
        <v>0</v>
      </c>
      <c r="O162" s="582">
        <f>HLOOKUP($J$7,'MR-Stat Data Sheet Bud'!$AS$8:$BD$1081,$AA162,FALSE)</f>
        <v>0</v>
      </c>
      <c r="P162" s="582">
        <f t="shared" si="40"/>
        <v>0</v>
      </c>
      <c r="Q162" s="583"/>
      <c r="S162" s="599"/>
      <c r="T162" s="582">
        <v>0</v>
      </c>
      <c r="U162" s="583"/>
      <c r="V162" s="480"/>
      <c r="W162" s="495"/>
      <c r="X162" s="480"/>
      <c r="Y162" s="480"/>
      <c r="Z162" s="495"/>
      <c r="AA162" s="472">
        <f t="shared" si="32"/>
        <v>154</v>
      </c>
      <c r="AB162" s="480"/>
      <c r="AC162" s="480"/>
      <c r="AD162" s="480"/>
      <c r="AE162" s="495"/>
      <c r="AF162" s="480"/>
      <c r="AG162" s="480"/>
    </row>
    <row r="163" spans="1:33" s="471" customFormat="1" hidden="1">
      <c r="A163" s="420">
        <f t="shared" si="33"/>
        <v>153</v>
      </c>
      <c r="B163" s="585">
        <f t="shared" si="34"/>
        <v>0</v>
      </c>
      <c r="C163" s="533">
        <f t="shared" si="35"/>
        <v>0</v>
      </c>
      <c r="D163" s="533">
        <f t="shared" si="36"/>
        <v>0</v>
      </c>
      <c r="E163" s="420"/>
      <c r="F163" s="420" t="str">
        <f t="shared" si="37"/>
        <v>Vacant</v>
      </c>
      <c r="G163" s="586">
        <f t="shared" si="38"/>
        <v>0</v>
      </c>
      <c r="H163" s="581"/>
      <c r="J163" s="582">
        <f>HLOOKUP($J$7,'MR-Stat Data Sheet Bud'!$U$8:$AF$1081,$AA163,FALSE)</f>
        <v>0</v>
      </c>
      <c r="K163" s="582">
        <f>HLOOKUP($J$7,'MR-Stat Data Sheet Bud'!$AS$8:$BD$1081,$AA163,FALSE)</f>
        <v>0</v>
      </c>
      <c r="L163" s="582">
        <f t="shared" si="39"/>
        <v>0</v>
      </c>
      <c r="N163" s="582">
        <f>HLOOKUP($J$7,'MR-Stat Data Sheet Bud'!$BE$8:$BP$1081,$AA163,FALSE)</f>
        <v>0</v>
      </c>
      <c r="O163" s="582">
        <f>HLOOKUP($J$7,'MR-Stat Data Sheet Bud'!$AS$8:$BD$1081,$AA163,FALSE)</f>
        <v>0</v>
      </c>
      <c r="P163" s="582">
        <f t="shared" si="40"/>
        <v>0</v>
      </c>
      <c r="Q163" s="583"/>
      <c r="S163" s="599"/>
      <c r="T163" s="582">
        <v>0</v>
      </c>
      <c r="U163" s="583"/>
      <c r="V163" s="480"/>
      <c r="W163" s="495"/>
      <c r="X163" s="480"/>
      <c r="Y163" s="480"/>
      <c r="Z163" s="495"/>
      <c r="AA163" s="472">
        <f t="shared" si="32"/>
        <v>155</v>
      </c>
      <c r="AB163" s="480"/>
      <c r="AC163" s="480"/>
      <c r="AD163" s="480"/>
      <c r="AE163" s="495"/>
      <c r="AF163" s="480"/>
      <c r="AG163" s="480"/>
    </row>
    <row r="164" spans="1:33" s="471" customFormat="1" hidden="1">
      <c r="A164" s="420">
        <f t="shared" si="33"/>
        <v>154</v>
      </c>
      <c r="B164" s="585">
        <f t="shared" si="34"/>
        <v>0</v>
      </c>
      <c r="C164" s="533">
        <f t="shared" si="35"/>
        <v>0</v>
      </c>
      <c r="D164" s="533">
        <f t="shared" si="36"/>
        <v>0</v>
      </c>
      <c r="E164" s="420"/>
      <c r="F164" s="420" t="str">
        <f t="shared" si="37"/>
        <v>Vacant</v>
      </c>
      <c r="G164" s="586">
        <f t="shared" si="38"/>
        <v>0</v>
      </c>
      <c r="H164" s="581"/>
      <c r="J164" s="582">
        <f>HLOOKUP($J$7,'MR-Stat Data Sheet Bud'!$U$8:$AF$1081,$AA164,FALSE)</f>
        <v>0</v>
      </c>
      <c r="K164" s="582">
        <f>HLOOKUP($J$7,'MR-Stat Data Sheet Bud'!$AS$8:$BD$1081,$AA164,FALSE)</f>
        <v>0</v>
      </c>
      <c r="L164" s="582">
        <f t="shared" si="39"/>
        <v>0</v>
      </c>
      <c r="N164" s="582">
        <f>HLOOKUP($J$7,'MR-Stat Data Sheet Bud'!$BE$8:$BP$1081,$AA164,FALSE)</f>
        <v>0</v>
      </c>
      <c r="O164" s="582">
        <f>HLOOKUP($J$7,'MR-Stat Data Sheet Bud'!$AS$8:$BD$1081,$AA164,FALSE)</f>
        <v>0</v>
      </c>
      <c r="P164" s="582">
        <f t="shared" si="40"/>
        <v>0</v>
      </c>
      <c r="Q164" s="583"/>
      <c r="S164" s="599"/>
      <c r="T164" s="582">
        <v>0</v>
      </c>
      <c r="U164" s="583"/>
      <c r="V164" s="480"/>
      <c r="W164" s="495"/>
      <c r="X164" s="480"/>
      <c r="Y164" s="480"/>
      <c r="Z164" s="495"/>
      <c r="AA164" s="472">
        <f t="shared" si="32"/>
        <v>156</v>
      </c>
      <c r="AB164" s="480"/>
      <c r="AC164" s="480"/>
      <c r="AD164" s="480"/>
      <c r="AE164" s="495"/>
      <c r="AF164" s="480"/>
      <c r="AG164" s="480"/>
    </row>
    <row r="165" spans="1:33" s="471" customFormat="1" hidden="1">
      <c r="A165" s="420">
        <f t="shared" si="33"/>
        <v>155</v>
      </c>
      <c r="B165" s="585">
        <f t="shared" si="34"/>
        <v>0</v>
      </c>
      <c r="C165" s="533">
        <f t="shared" si="35"/>
        <v>0</v>
      </c>
      <c r="D165" s="533">
        <f t="shared" si="36"/>
        <v>0</v>
      </c>
      <c r="E165" s="420"/>
      <c r="F165" s="420" t="str">
        <f t="shared" si="37"/>
        <v>Vacant</v>
      </c>
      <c r="G165" s="586">
        <f t="shared" si="38"/>
        <v>0</v>
      </c>
      <c r="H165" s="581"/>
      <c r="J165" s="582">
        <f>HLOOKUP($J$7,'MR-Stat Data Sheet Bud'!$U$8:$AF$1081,$AA165,FALSE)</f>
        <v>0</v>
      </c>
      <c r="K165" s="582">
        <f>HLOOKUP($J$7,'MR-Stat Data Sheet Bud'!$AS$8:$BD$1081,$AA165,FALSE)</f>
        <v>0</v>
      </c>
      <c r="L165" s="582">
        <f t="shared" si="39"/>
        <v>0</v>
      </c>
      <c r="N165" s="582">
        <f>HLOOKUP($J$7,'MR-Stat Data Sheet Bud'!$BE$8:$BP$1081,$AA165,FALSE)</f>
        <v>0</v>
      </c>
      <c r="O165" s="582">
        <f>HLOOKUP($J$7,'MR-Stat Data Sheet Bud'!$AS$8:$BD$1081,$AA165,FALSE)</f>
        <v>0</v>
      </c>
      <c r="P165" s="582">
        <f t="shared" si="40"/>
        <v>0</v>
      </c>
      <c r="Q165" s="583"/>
      <c r="S165" s="599"/>
      <c r="T165" s="582">
        <v>0</v>
      </c>
      <c r="U165" s="583"/>
      <c r="V165" s="480"/>
      <c r="W165" s="495"/>
      <c r="X165" s="480"/>
      <c r="Y165" s="480"/>
      <c r="Z165" s="495"/>
      <c r="AA165" s="472">
        <f t="shared" si="32"/>
        <v>157</v>
      </c>
      <c r="AB165" s="480"/>
      <c r="AC165" s="480"/>
      <c r="AD165" s="480"/>
      <c r="AE165" s="495"/>
      <c r="AF165" s="480"/>
      <c r="AG165" s="480"/>
    </row>
    <row r="166" spans="1:33" s="471" customFormat="1" hidden="1">
      <c r="A166" s="420">
        <f t="shared" si="33"/>
        <v>156</v>
      </c>
      <c r="B166" s="585">
        <f t="shared" si="34"/>
        <v>0</v>
      </c>
      <c r="C166" s="533">
        <f t="shared" si="35"/>
        <v>0</v>
      </c>
      <c r="D166" s="533">
        <f t="shared" si="36"/>
        <v>0</v>
      </c>
      <c r="E166" s="420"/>
      <c r="F166" s="420" t="str">
        <f t="shared" si="37"/>
        <v>Vacant</v>
      </c>
      <c r="G166" s="586">
        <f t="shared" si="38"/>
        <v>0</v>
      </c>
      <c r="H166" s="581"/>
      <c r="J166" s="582">
        <f>HLOOKUP($J$7,'MR-Stat Data Sheet Bud'!$U$8:$AF$1081,$AA166,FALSE)</f>
        <v>0</v>
      </c>
      <c r="K166" s="582">
        <f>HLOOKUP($J$7,'MR-Stat Data Sheet Bud'!$AS$8:$BD$1081,$AA166,FALSE)</f>
        <v>0</v>
      </c>
      <c r="L166" s="582">
        <f t="shared" si="39"/>
        <v>0</v>
      </c>
      <c r="N166" s="582">
        <f>HLOOKUP($J$7,'MR-Stat Data Sheet Bud'!$BE$8:$BP$1081,$AA166,FALSE)</f>
        <v>0</v>
      </c>
      <c r="O166" s="582">
        <f>HLOOKUP($J$7,'MR-Stat Data Sheet Bud'!$AS$8:$BD$1081,$AA166,FALSE)</f>
        <v>0</v>
      </c>
      <c r="P166" s="582">
        <f t="shared" si="40"/>
        <v>0</v>
      </c>
      <c r="Q166" s="583"/>
      <c r="S166" s="599"/>
      <c r="T166" s="582">
        <v>0</v>
      </c>
      <c r="U166" s="583"/>
      <c r="V166" s="480"/>
      <c r="W166" s="495"/>
      <c r="X166" s="480"/>
      <c r="Y166" s="480"/>
      <c r="Z166" s="495"/>
      <c r="AA166" s="472">
        <f t="shared" si="32"/>
        <v>158</v>
      </c>
      <c r="AB166" s="480"/>
      <c r="AC166" s="480"/>
      <c r="AD166" s="480"/>
      <c r="AE166" s="495"/>
      <c r="AF166" s="480"/>
      <c r="AG166" s="480"/>
    </row>
    <row r="167" spans="1:33" s="471" customFormat="1" hidden="1">
      <c r="A167" s="420">
        <f t="shared" si="33"/>
        <v>157</v>
      </c>
      <c r="B167" s="585">
        <f t="shared" si="34"/>
        <v>0</v>
      </c>
      <c r="C167" s="533">
        <f t="shared" si="35"/>
        <v>0</v>
      </c>
      <c r="D167" s="533">
        <f t="shared" si="36"/>
        <v>0</v>
      </c>
      <c r="E167" s="420"/>
      <c r="F167" s="420" t="str">
        <f t="shared" si="37"/>
        <v>Vacant</v>
      </c>
      <c r="G167" s="586">
        <f t="shared" si="38"/>
        <v>0</v>
      </c>
      <c r="H167" s="581"/>
      <c r="J167" s="582">
        <f>HLOOKUP($J$7,'MR-Stat Data Sheet Bud'!$U$8:$AF$1081,$AA167,FALSE)</f>
        <v>0</v>
      </c>
      <c r="K167" s="582">
        <f>HLOOKUP($J$7,'MR-Stat Data Sheet Bud'!$AS$8:$BD$1081,$AA167,FALSE)</f>
        <v>0</v>
      </c>
      <c r="L167" s="582">
        <f t="shared" si="39"/>
        <v>0</v>
      </c>
      <c r="N167" s="582">
        <f>HLOOKUP($J$7,'MR-Stat Data Sheet Bud'!$BE$8:$BP$1081,$AA167,FALSE)</f>
        <v>0</v>
      </c>
      <c r="O167" s="582">
        <f>HLOOKUP($J$7,'MR-Stat Data Sheet Bud'!$AS$8:$BD$1081,$AA167,FALSE)</f>
        <v>0</v>
      </c>
      <c r="P167" s="582">
        <f t="shared" si="40"/>
        <v>0</v>
      </c>
      <c r="Q167" s="583"/>
      <c r="S167" s="599"/>
      <c r="T167" s="582">
        <v>0</v>
      </c>
      <c r="U167" s="583"/>
      <c r="V167" s="480"/>
      <c r="W167" s="495"/>
      <c r="X167" s="480"/>
      <c r="Y167" s="480"/>
      <c r="Z167" s="495"/>
      <c r="AA167" s="472">
        <f t="shared" si="32"/>
        <v>159</v>
      </c>
      <c r="AB167" s="480"/>
      <c r="AC167" s="480"/>
      <c r="AD167" s="480"/>
      <c r="AE167" s="495"/>
      <c r="AF167" s="480"/>
      <c r="AG167" s="480"/>
    </row>
    <row r="168" spans="1:33" s="471" customFormat="1" hidden="1">
      <c r="A168" s="420">
        <f t="shared" si="33"/>
        <v>158</v>
      </c>
      <c r="B168" s="585">
        <f t="shared" si="34"/>
        <v>0</v>
      </c>
      <c r="C168" s="533">
        <f t="shared" si="35"/>
        <v>0</v>
      </c>
      <c r="D168" s="533">
        <f t="shared" si="36"/>
        <v>0</v>
      </c>
      <c r="E168" s="420"/>
      <c r="F168" s="420" t="str">
        <f t="shared" si="37"/>
        <v>Vacant</v>
      </c>
      <c r="G168" s="586">
        <f t="shared" si="38"/>
        <v>0</v>
      </c>
      <c r="H168" s="581"/>
      <c r="J168" s="582">
        <f>HLOOKUP($J$7,'MR-Stat Data Sheet Bud'!$U$8:$AF$1081,$AA168,FALSE)</f>
        <v>0</v>
      </c>
      <c r="K168" s="582">
        <f>HLOOKUP($J$7,'MR-Stat Data Sheet Bud'!$AS$8:$BD$1081,$AA168,FALSE)</f>
        <v>0</v>
      </c>
      <c r="L168" s="582">
        <f t="shared" si="39"/>
        <v>0</v>
      </c>
      <c r="N168" s="582">
        <f>HLOOKUP($J$7,'MR-Stat Data Sheet Bud'!$BE$8:$BP$1081,$AA168,FALSE)</f>
        <v>0</v>
      </c>
      <c r="O168" s="582">
        <f>HLOOKUP($J$7,'MR-Stat Data Sheet Bud'!$AS$8:$BD$1081,$AA168,FALSE)</f>
        <v>0</v>
      </c>
      <c r="P168" s="582">
        <f t="shared" si="40"/>
        <v>0</v>
      </c>
      <c r="Q168" s="583"/>
      <c r="S168" s="599"/>
      <c r="T168" s="582">
        <v>0</v>
      </c>
      <c r="U168" s="583"/>
      <c r="V168" s="480"/>
      <c r="W168" s="495"/>
      <c r="X168" s="480"/>
      <c r="Y168" s="480"/>
      <c r="Z168" s="495"/>
      <c r="AA168" s="472">
        <f t="shared" si="32"/>
        <v>160</v>
      </c>
      <c r="AB168" s="480"/>
      <c r="AC168" s="480"/>
      <c r="AD168" s="480"/>
      <c r="AE168" s="495"/>
      <c r="AF168" s="480"/>
      <c r="AG168" s="480"/>
    </row>
    <row r="169" spans="1:33" s="471" customFormat="1" hidden="1">
      <c r="A169" s="420">
        <f t="shared" si="33"/>
        <v>159</v>
      </c>
      <c r="B169" s="585">
        <f t="shared" si="34"/>
        <v>0</v>
      </c>
      <c r="C169" s="533">
        <f t="shared" si="35"/>
        <v>0</v>
      </c>
      <c r="D169" s="533">
        <f t="shared" si="36"/>
        <v>0</v>
      </c>
      <c r="E169" s="420"/>
      <c r="F169" s="420" t="str">
        <f t="shared" si="37"/>
        <v>Vacant</v>
      </c>
      <c r="G169" s="586">
        <f t="shared" si="38"/>
        <v>0</v>
      </c>
      <c r="H169" s="581"/>
      <c r="J169" s="582">
        <f>HLOOKUP($J$7,'MR-Stat Data Sheet Bud'!$U$8:$AF$1081,$AA169,FALSE)</f>
        <v>0</v>
      </c>
      <c r="K169" s="582">
        <f>HLOOKUP($J$7,'MR-Stat Data Sheet Bud'!$AS$8:$BD$1081,$AA169,FALSE)</f>
        <v>0</v>
      </c>
      <c r="L169" s="582">
        <f t="shared" si="39"/>
        <v>0</v>
      </c>
      <c r="N169" s="582">
        <f>HLOOKUP($J$7,'MR-Stat Data Sheet Bud'!$BE$8:$BP$1081,$AA169,FALSE)</f>
        <v>0</v>
      </c>
      <c r="O169" s="582">
        <f>HLOOKUP($J$7,'MR-Stat Data Sheet Bud'!$AS$8:$BD$1081,$AA169,FALSE)</f>
        <v>0</v>
      </c>
      <c r="P169" s="582">
        <f t="shared" si="40"/>
        <v>0</v>
      </c>
      <c r="Q169" s="583"/>
      <c r="S169" s="599"/>
      <c r="T169" s="582">
        <v>0</v>
      </c>
      <c r="U169" s="583"/>
      <c r="V169" s="480"/>
      <c r="W169" s="495"/>
      <c r="X169" s="480"/>
      <c r="Y169" s="480"/>
      <c r="Z169" s="495"/>
      <c r="AA169" s="472">
        <f t="shared" si="32"/>
        <v>161</v>
      </c>
      <c r="AB169" s="480"/>
      <c r="AC169" s="480"/>
      <c r="AD169" s="480"/>
      <c r="AE169" s="495"/>
      <c r="AF169" s="480"/>
      <c r="AG169" s="480"/>
    </row>
    <row r="170" spans="1:33" s="471" customFormat="1" hidden="1">
      <c r="A170" s="420">
        <f t="shared" si="33"/>
        <v>160</v>
      </c>
      <c r="B170" s="585">
        <f t="shared" si="34"/>
        <v>0</v>
      </c>
      <c r="C170" s="533">
        <f t="shared" si="35"/>
        <v>0</v>
      </c>
      <c r="D170" s="533">
        <f t="shared" si="36"/>
        <v>0</v>
      </c>
      <c r="E170" s="420"/>
      <c r="F170" s="420" t="str">
        <f t="shared" si="37"/>
        <v>Vacant</v>
      </c>
      <c r="G170" s="586">
        <f t="shared" si="38"/>
        <v>0</v>
      </c>
      <c r="H170" s="581"/>
      <c r="J170" s="582">
        <f>HLOOKUP($J$7,'MR-Stat Data Sheet Bud'!$U$8:$AF$1081,$AA170,FALSE)</f>
        <v>0</v>
      </c>
      <c r="K170" s="582">
        <f>HLOOKUP($J$7,'MR-Stat Data Sheet Bud'!$AS$8:$BD$1081,$AA170,FALSE)</f>
        <v>0</v>
      </c>
      <c r="L170" s="582">
        <f t="shared" si="39"/>
        <v>0</v>
      </c>
      <c r="N170" s="582">
        <f>HLOOKUP($J$7,'MR-Stat Data Sheet Bud'!$BE$8:$BP$1081,$AA170,FALSE)</f>
        <v>0</v>
      </c>
      <c r="O170" s="582">
        <f>HLOOKUP($J$7,'MR-Stat Data Sheet Bud'!$AS$8:$BD$1081,$AA170,FALSE)</f>
        <v>0</v>
      </c>
      <c r="P170" s="582">
        <f t="shared" si="40"/>
        <v>0</v>
      </c>
      <c r="Q170" s="583"/>
      <c r="S170" s="599"/>
      <c r="T170" s="582">
        <v>0</v>
      </c>
      <c r="U170" s="583"/>
      <c r="V170" s="480"/>
      <c r="W170" s="495"/>
      <c r="X170" s="480"/>
      <c r="Y170" s="480"/>
      <c r="Z170" s="495"/>
      <c r="AA170" s="472">
        <f t="shared" si="32"/>
        <v>162</v>
      </c>
      <c r="AB170" s="480"/>
      <c r="AC170" s="480"/>
      <c r="AD170" s="480"/>
      <c r="AE170" s="495"/>
      <c r="AF170" s="480"/>
      <c r="AG170" s="480"/>
    </row>
    <row r="171" spans="1:33" s="471" customFormat="1" hidden="1">
      <c r="A171" s="420">
        <f t="shared" si="33"/>
        <v>161</v>
      </c>
      <c r="B171" s="585">
        <f t="shared" si="34"/>
        <v>0</v>
      </c>
      <c r="C171" s="533">
        <f t="shared" si="35"/>
        <v>0</v>
      </c>
      <c r="D171" s="533">
        <f t="shared" si="36"/>
        <v>0</v>
      </c>
      <c r="E171" s="420"/>
      <c r="F171" s="420" t="str">
        <f t="shared" si="37"/>
        <v>Vacant</v>
      </c>
      <c r="G171" s="586">
        <f t="shared" si="38"/>
        <v>0</v>
      </c>
      <c r="H171" s="581"/>
      <c r="J171" s="582">
        <f>HLOOKUP($J$7,'MR-Stat Data Sheet Bud'!$U$8:$AF$1081,$AA171,FALSE)</f>
        <v>0</v>
      </c>
      <c r="K171" s="582">
        <f>HLOOKUP($J$7,'MR-Stat Data Sheet Bud'!$AS$8:$BD$1081,$AA171,FALSE)</f>
        <v>0</v>
      </c>
      <c r="L171" s="582">
        <f t="shared" si="39"/>
        <v>0</v>
      </c>
      <c r="N171" s="582">
        <f>HLOOKUP($J$7,'MR-Stat Data Sheet Bud'!$BE$8:$BP$1081,$AA171,FALSE)</f>
        <v>0</v>
      </c>
      <c r="O171" s="582">
        <f>HLOOKUP($J$7,'MR-Stat Data Sheet Bud'!$AS$8:$BD$1081,$AA171,FALSE)</f>
        <v>0</v>
      </c>
      <c r="P171" s="582">
        <f t="shared" si="40"/>
        <v>0</v>
      </c>
      <c r="Q171" s="583"/>
      <c r="S171" s="599"/>
      <c r="T171" s="582">
        <v>0</v>
      </c>
      <c r="U171" s="583"/>
      <c r="V171" s="480"/>
      <c r="W171" s="495"/>
      <c r="X171" s="480"/>
      <c r="Y171" s="480"/>
      <c r="Z171" s="495"/>
      <c r="AA171" s="472">
        <f t="shared" si="32"/>
        <v>163</v>
      </c>
      <c r="AB171" s="480"/>
      <c r="AC171" s="480"/>
      <c r="AD171" s="480"/>
      <c r="AE171" s="495"/>
      <c r="AF171" s="480"/>
      <c r="AG171" s="480"/>
    </row>
    <row r="172" spans="1:33" s="471" customFormat="1" hidden="1">
      <c r="A172" s="420">
        <f t="shared" si="33"/>
        <v>162</v>
      </c>
      <c r="B172" s="585">
        <f t="shared" si="34"/>
        <v>0</v>
      </c>
      <c r="C172" s="533">
        <f t="shared" si="35"/>
        <v>0</v>
      </c>
      <c r="D172" s="533">
        <f t="shared" si="36"/>
        <v>0</v>
      </c>
      <c r="E172" s="420"/>
      <c r="F172" s="420" t="str">
        <f t="shared" si="37"/>
        <v>Vacant</v>
      </c>
      <c r="G172" s="586">
        <f t="shared" si="38"/>
        <v>0</v>
      </c>
      <c r="H172" s="581"/>
      <c r="J172" s="582">
        <f>HLOOKUP($J$7,'MR-Stat Data Sheet Bud'!$U$8:$AF$1081,$AA172,FALSE)</f>
        <v>0</v>
      </c>
      <c r="K172" s="582">
        <f>HLOOKUP($J$7,'MR-Stat Data Sheet Bud'!$AS$8:$BD$1081,$AA172,FALSE)</f>
        <v>0</v>
      </c>
      <c r="L172" s="582">
        <f t="shared" si="39"/>
        <v>0</v>
      </c>
      <c r="N172" s="582">
        <f>HLOOKUP($J$7,'MR-Stat Data Sheet Bud'!$BE$8:$BP$1081,$AA172,FALSE)</f>
        <v>0</v>
      </c>
      <c r="O172" s="582">
        <f>HLOOKUP($J$7,'MR-Stat Data Sheet Bud'!$AS$8:$BD$1081,$AA172,FALSE)</f>
        <v>0</v>
      </c>
      <c r="P172" s="582">
        <f t="shared" si="40"/>
        <v>0</v>
      </c>
      <c r="Q172" s="583"/>
      <c r="S172" s="599"/>
      <c r="T172" s="582">
        <v>0</v>
      </c>
      <c r="U172" s="583"/>
      <c r="V172" s="480"/>
      <c r="W172" s="495"/>
      <c r="X172" s="480"/>
      <c r="Y172" s="480"/>
      <c r="Z172" s="495"/>
      <c r="AA172" s="472">
        <f t="shared" si="32"/>
        <v>164</v>
      </c>
      <c r="AB172" s="480"/>
      <c r="AC172" s="480"/>
      <c r="AD172" s="480"/>
      <c r="AE172" s="495"/>
      <c r="AF172" s="480"/>
      <c r="AG172" s="480"/>
    </row>
    <row r="173" spans="1:33" s="471" customFormat="1" hidden="1">
      <c r="A173" s="420">
        <f t="shared" si="33"/>
        <v>163</v>
      </c>
      <c r="B173" s="585">
        <f t="shared" si="34"/>
        <v>0</v>
      </c>
      <c r="C173" s="533">
        <f t="shared" si="35"/>
        <v>0</v>
      </c>
      <c r="D173" s="533">
        <f t="shared" si="36"/>
        <v>0</v>
      </c>
      <c r="E173" s="420"/>
      <c r="F173" s="420" t="str">
        <f t="shared" si="37"/>
        <v>Vacant</v>
      </c>
      <c r="G173" s="586">
        <f t="shared" si="38"/>
        <v>0</v>
      </c>
      <c r="H173" s="581"/>
      <c r="J173" s="582">
        <f>HLOOKUP($J$7,'MR-Stat Data Sheet Bud'!$U$8:$AF$1081,$AA173,FALSE)</f>
        <v>0</v>
      </c>
      <c r="K173" s="582">
        <f>HLOOKUP($J$7,'MR-Stat Data Sheet Bud'!$AS$8:$BD$1081,$AA173,FALSE)</f>
        <v>0</v>
      </c>
      <c r="L173" s="582">
        <f t="shared" si="39"/>
        <v>0</v>
      </c>
      <c r="N173" s="582">
        <f>HLOOKUP($J$7,'MR-Stat Data Sheet Bud'!$BE$8:$BP$1081,$AA173,FALSE)</f>
        <v>0</v>
      </c>
      <c r="O173" s="582">
        <f>HLOOKUP($J$7,'MR-Stat Data Sheet Bud'!$AS$8:$BD$1081,$AA173,FALSE)</f>
        <v>0</v>
      </c>
      <c r="P173" s="582">
        <f t="shared" si="40"/>
        <v>0</v>
      </c>
      <c r="Q173" s="583"/>
      <c r="S173" s="599"/>
      <c r="T173" s="582">
        <v>0</v>
      </c>
      <c r="U173" s="583"/>
      <c r="V173" s="480"/>
      <c r="W173" s="495"/>
      <c r="X173" s="480"/>
      <c r="Y173" s="480"/>
      <c r="Z173" s="495"/>
      <c r="AA173" s="472">
        <f t="shared" si="32"/>
        <v>165</v>
      </c>
      <c r="AB173" s="480"/>
      <c r="AC173" s="480"/>
      <c r="AD173" s="480"/>
      <c r="AE173" s="495"/>
      <c r="AF173" s="480"/>
      <c r="AG173" s="480"/>
    </row>
    <row r="174" spans="1:33" s="471" customFormat="1" hidden="1">
      <c r="A174" s="420">
        <f t="shared" si="33"/>
        <v>164</v>
      </c>
      <c r="B174" s="585">
        <f t="shared" si="34"/>
        <v>0</v>
      </c>
      <c r="C174" s="533">
        <f t="shared" si="35"/>
        <v>0</v>
      </c>
      <c r="D174" s="533">
        <f t="shared" si="36"/>
        <v>0</v>
      </c>
      <c r="E174" s="420"/>
      <c r="F174" s="420" t="str">
        <f t="shared" si="37"/>
        <v>Vacant</v>
      </c>
      <c r="G174" s="586">
        <f t="shared" si="38"/>
        <v>0</v>
      </c>
      <c r="H174" s="581"/>
      <c r="J174" s="582">
        <f>HLOOKUP($J$7,'MR-Stat Data Sheet Bud'!$U$8:$AF$1081,$AA174,FALSE)</f>
        <v>0</v>
      </c>
      <c r="K174" s="582">
        <f>HLOOKUP($J$7,'MR-Stat Data Sheet Bud'!$AS$8:$BD$1081,$AA174,FALSE)</f>
        <v>0</v>
      </c>
      <c r="L174" s="582">
        <f t="shared" si="39"/>
        <v>0</v>
      </c>
      <c r="N174" s="582">
        <f>HLOOKUP($J$7,'MR-Stat Data Sheet Bud'!$BE$8:$BP$1081,$AA174,FALSE)</f>
        <v>0</v>
      </c>
      <c r="O174" s="582">
        <f>HLOOKUP($J$7,'MR-Stat Data Sheet Bud'!$AS$8:$BD$1081,$AA174,FALSE)</f>
        <v>0</v>
      </c>
      <c r="P174" s="582">
        <f t="shared" si="40"/>
        <v>0</v>
      </c>
      <c r="Q174" s="583"/>
      <c r="S174" s="599"/>
      <c r="T174" s="582">
        <v>0</v>
      </c>
      <c r="U174" s="583"/>
      <c r="V174" s="480"/>
      <c r="W174" s="495"/>
      <c r="X174" s="480"/>
      <c r="Y174" s="480"/>
      <c r="Z174" s="495"/>
      <c r="AA174" s="472">
        <f t="shared" si="32"/>
        <v>166</v>
      </c>
      <c r="AB174" s="480"/>
      <c r="AC174" s="480"/>
      <c r="AD174" s="480"/>
      <c r="AE174" s="495"/>
      <c r="AF174" s="480"/>
      <c r="AG174" s="480"/>
    </row>
    <row r="175" spans="1:33" s="471" customFormat="1" hidden="1">
      <c r="A175" s="420">
        <f t="shared" si="33"/>
        <v>165</v>
      </c>
      <c r="B175" s="585">
        <f t="shared" si="34"/>
        <v>0</v>
      </c>
      <c r="C175" s="533">
        <f t="shared" si="35"/>
        <v>0</v>
      </c>
      <c r="D175" s="533">
        <f t="shared" si="36"/>
        <v>0</v>
      </c>
      <c r="E175" s="420"/>
      <c r="F175" s="420" t="str">
        <f t="shared" si="37"/>
        <v>Vacant</v>
      </c>
      <c r="G175" s="586">
        <f t="shared" si="38"/>
        <v>0</v>
      </c>
      <c r="H175" s="581"/>
      <c r="J175" s="582">
        <f>HLOOKUP($J$7,'MR-Stat Data Sheet Bud'!$U$8:$AF$1081,$AA175,FALSE)</f>
        <v>0</v>
      </c>
      <c r="K175" s="582">
        <f>HLOOKUP($J$7,'MR-Stat Data Sheet Bud'!$AS$8:$BD$1081,$AA175,FALSE)</f>
        <v>0</v>
      </c>
      <c r="L175" s="582">
        <f t="shared" si="39"/>
        <v>0</v>
      </c>
      <c r="N175" s="582">
        <f>HLOOKUP($J$7,'MR-Stat Data Sheet Bud'!$BE$8:$BP$1081,$AA175,FALSE)</f>
        <v>0</v>
      </c>
      <c r="O175" s="582">
        <f>HLOOKUP($J$7,'MR-Stat Data Sheet Bud'!$AS$8:$BD$1081,$AA175,FALSE)</f>
        <v>0</v>
      </c>
      <c r="P175" s="582">
        <f t="shared" si="40"/>
        <v>0</v>
      </c>
      <c r="Q175" s="583"/>
      <c r="S175" s="599"/>
      <c r="T175" s="582">
        <v>0</v>
      </c>
      <c r="U175" s="583"/>
      <c r="V175" s="480"/>
      <c r="W175" s="495"/>
      <c r="X175" s="480"/>
      <c r="Y175" s="480"/>
      <c r="Z175" s="495"/>
      <c r="AA175" s="472">
        <f t="shared" si="32"/>
        <v>167</v>
      </c>
      <c r="AB175" s="480"/>
      <c r="AC175" s="480"/>
      <c r="AD175" s="480"/>
      <c r="AE175" s="495"/>
      <c r="AF175" s="480"/>
      <c r="AG175" s="480"/>
    </row>
    <row r="176" spans="1:33" s="471" customFormat="1" hidden="1">
      <c r="A176" s="420">
        <f t="shared" si="33"/>
        <v>166</v>
      </c>
      <c r="B176" s="585">
        <f t="shared" si="34"/>
        <v>0</v>
      </c>
      <c r="C176" s="533">
        <f t="shared" si="35"/>
        <v>0</v>
      </c>
      <c r="D176" s="533">
        <f t="shared" si="36"/>
        <v>0</v>
      </c>
      <c r="E176" s="420"/>
      <c r="F176" s="420" t="str">
        <f t="shared" si="37"/>
        <v>Vacant</v>
      </c>
      <c r="G176" s="586">
        <f t="shared" si="38"/>
        <v>0</v>
      </c>
      <c r="H176" s="581"/>
      <c r="J176" s="582">
        <f>HLOOKUP($J$7,'MR-Stat Data Sheet Bud'!$U$8:$AF$1081,$AA176,FALSE)</f>
        <v>0</v>
      </c>
      <c r="K176" s="582">
        <f>HLOOKUP($J$7,'MR-Stat Data Sheet Bud'!$AS$8:$BD$1081,$AA176,FALSE)</f>
        <v>0</v>
      </c>
      <c r="L176" s="582">
        <f t="shared" si="39"/>
        <v>0</v>
      </c>
      <c r="N176" s="582">
        <f>HLOOKUP($J$7,'MR-Stat Data Sheet Bud'!$BE$8:$BP$1081,$AA176,FALSE)</f>
        <v>0</v>
      </c>
      <c r="O176" s="582">
        <f>HLOOKUP($J$7,'MR-Stat Data Sheet Bud'!$AS$8:$BD$1081,$AA176,FALSE)</f>
        <v>0</v>
      </c>
      <c r="P176" s="582">
        <f t="shared" si="40"/>
        <v>0</v>
      </c>
      <c r="Q176" s="583"/>
      <c r="S176" s="599"/>
      <c r="T176" s="582">
        <v>0</v>
      </c>
      <c r="U176" s="583"/>
      <c r="V176" s="480"/>
      <c r="W176" s="495"/>
      <c r="X176" s="480"/>
      <c r="Y176" s="480"/>
      <c r="Z176" s="495"/>
      <c r="AA176" s="472">
        <f t="shared" si="32"/>
        <v>168</v>
      </c>
      <c r="AB176" s="480"/>
      <c r="AC176" s="480"/>
      <c r="AD176" s="480"/>
      <c r="AE176" s="495"/>
      <c r="AF176" s="480"/>
      <c r="AG176" s="480"/>
    </row>
    <row r="177" spans="1:33" s="471" customFormat="1" hidden="1">
      <c r="A177" s="420">
        <f t="shared" si="33"/>
        <v>167</v>
      </c>
      <c r="B177" s="585">
        <f t="shared" si="34"/>
        <v>0</v>
      </c>
      <c r="C177" s="533">
        <f t="shared" si="35"/>
        <v>0</v>
      </c>
      <c r="D177" s="533">
        <f t="shared" si="36"/>
        <v>0</v>
      </c>
      <c r="E177" s="420"/>
      <c r="F177" s="420" t="str">
        <f t="shared" si="37"/>
        <v>Vacant</v>
      </c>
      <c r="G177" s="586">
        <f t="shared" si="38"/>
        <v>0</v>
      </c>
      <c r="H177" s="581"/>
      <c r="J177" s="582">
        <f>HLOOKUP($J$7,'MR-Stat Data Sheet Bud'!$U$8:$AF$1081,$AA177,FALSE)</f>
        <v>0</v>
      </c>
      <c r="K177" s="582">
        <f>HLOOKUP($J$7,'MR-Stat Data Sheet Bud'!$AS$8:$BD$1081,$AA177,FALSE)</f>
        <v>0</v>
      </c>
      <c r="L177" s="582">
        <f t="shared" si="39"/>
        <v>0</v>
      </c>
      <c r="N177" s="582">
        <f>HLOOKUP($J$7,'MR-Stat Data Sheet Bud'!$BE$8:$BP$1081,$AA177,FALSE)</f>
        <v>0</v>
      </c>
      <c r="O177" s="582">
        <f>HLOOKUP($J$7,'MR-Stat Data Sheet Bud'!$AS$8:$BD$1081,$AA177,FALSE)</f>
        <v>0</v>
      </c>
      <c r="P177" s="582">
        <f t="shared" si="40"/>
        <v>0</v>
      </c>
      <c r="Q177" s="583"/>
      <c r="S177" s="599"/>
      <c r="T177" s="582">
        <v>0</v>
      </c>
      <c r="U177" s="583"/>
      <c r="V177" s="480"/>
      <c r="W177" s="495"/>
      <c r="X177" s="480"/>
      <c r="Y177" s="480"/>
      <c r="Z177" s="495"/>
      <c r="AA177" s="472">
        <f t="shared" si="32"/>
        <v>169</v>
      </c>
      <c r="AB177" s="480"/>
      <c r="AC177" s="480"/>
      <c r="AD177" s="480"/>
      <c r="AE177" s="495"/>
      <c r="AF177" s="480"/>
      <c r="AG177" s="480"/>
    </row>
    <row r="178" spans="1:33" s="471" customFormat="1" hidden="1">
      <c r="A178" s="420">
        <f t="shared" si="33"/>
        <v>168</v>
      </c>
      <c r="B178" s="585">
        <f t="shared" ref="B178:B209" si="41">VLOOKUP($A178,Suite_Data,2,FALSE)</f>
        <v>0</v>
      </c>
      <c r="C178" s="533">
        <f t="shared" ref="C178:C209" si="42">VLOOKUP($A178,Suite_Data,3,FALSE)</f>
        <v>0</v>
      </c>
      <c r="D178" s="533">
        <f t="shared" ref="D178:D209" si="43">VLOOKUP($A178,Suite_Data,4,FALSE)</f>
        <v>0</v>
      </c>
      <c r="E178" s="420"/>
      <c r="F178" s="420" t="str">
        <f t="shared" ref="F178:F209" si="44">IF(HLOOKUP($J$7,Actual_Sqft,AA178,FALSE)&gt;0,"Occupied","Vacant")</f>
        <v>Vacant</v>
      </c>
      <c r="G178" s="586">
        <f t="shared" ref="G178:G209" si="45">VLOOKUP($A178,Suite_Data,6,FALSE)</f>
        <v>0</v>
      </c>
      <c r="H178" s="581"/>
      <c r="J178" s="582">
        <f>HLOOKUP($J$7,'MR-Stat Data Sheet Bud'!$U$8:$AF$1081,$AA178,FALSE)</f>
        <v>0</v>
      </c>
      <c r="K178" s="582">
        <f>HLOOKUP($J$7,'MR-Stat Data Sheet Bud'!$AS$8:$BD$1081,$AA178,FALSE)</f>
        <v>0</v>
      </c>
      <c r="L178" s="582">
        <f t="shared" ref="L178:L209" si="46">+J178-K178</f>
        <v>0</v>
      </c>
      <c r="N178" s="582">
        <f>HLOOKUP($J$7,'MR-Stat Data Sheet Bud'!$BE$8:$BP$1081,$AA178,FALSE)</f>
        <v>0</v>
      </c>
      <c r="O178" s="582">
        <f>HLOOKUP($J$7,'MR-Stat Data Sheet Bud'!$AS$8:$BD$1081,$AA178,FALSE)</f>
        <v>0</v>
      </c>
      <c r="P178" s="582">
        <f t="shared" ref="P178:P209" si="47">+N178-O178</f>
        <v>0</v>
      </c>
      <c r="Q178" s="583"/>
      <c r="S178" s="599"/>
      <c r="T178" s="582">
        <v>0</v>
      </c>
      <c r="U178" s="583"/>
      <c r="V178" s="480"/>
      <c r="W178" s="495"/>
      <c r="X178" s="480"/>
      <c r="Y178" s="480"/>
      <c r="Z178" s="495"/>
      <c r="AA178" s="472">
        <f t="shared" si="32"/>
        <v>170</v>
      </c>
      <c r="AB178" s="480"/>
      <c r="AC178" s="480"/>
      <c r="AD178" s="480"/>
      <c r="AE178" s="495"/>
      <c r="AF178" s="480"/>
      <c r="AG178" s="480"/>
    </row>
    <row r="179" spans="1:33" s="471" customFormat="1" hidden="1">
      <c r="A179" s="420">
        <f t="shared" si="33"/>
        <v>169</v>
      </c>
      <c r="B179" s="585">
        <f t="shared" si="41"/>
        <v>0</v>
      </c>
      <c r="C179" s="533">
        <f t="shared" si="42"/>
        <v>0</v>
      </c>
      <c r="D179" s="533">
        <f t="shared" si="43"/>
        <v>0</v>
      </c>
      <c r="E179" s="420"/>
      <c r="F179" s="420" t="str">
        <f t="shared" si="44"/>
        <v>Vacant</v>
      </c>
      <c r="G179" s="586">
        <f t="shared" si="45"/>
        <v>0</v>
      </c>
      <c r="H179" s="581"/>
      <c r="J179" s="582">
        <f>HLOOKUP($J$7,'MR-Stat Data Sheet Bud'!$U$8:$AF$1081,$AA179,FALSE)</f>
        <v>0</v>
      </c>
      <c r="K179" s="582">
        <f>HLOOKUP($J$7,'MR-Stat Data Sheet Bud'!$AS$8:$BD$1081,$AA179,FALSE)</f>
        <v>0</v>
      </c>
      <c r="L179" s="582">
        <f t="shared" si="46"/>
        <v>0</v>
      </c>
      <c r="N179" s="582">
        <f>HLOOKUP($J$7,'MR-Stat Data Sheet Bud'!$BE$8:$BP$1081,$AA179,FALSE)</f>
        <v>0</v>
      </c>
      <c r="O179" s="582">
        <f>HLOOKUP($J$7,'MR-Stat Data Sheet Bud'!$AS$8:$BD$1081,$AA179,FALSE)</f>
        <v>0</v>
      </c>
      <c r="P179" s="582">
        <f t="shared" si="47"/>
        <v>0</v>
      </c>
      <c r="Q179" s="583"/>
      <c r="S179" s="599"/>
      <c r="T179" s="582">
        <v>0</v>
      </c>
      <c r="U179" s="583"/>
      <c r="V179" s="480"/>
      <c r="W179" s="495"/>
      <c r="X179" s="480"/>
      <c r="Y179" s="480"/>
      <c r="Z179" s="495"/>
      <c r="AA179" s="472">
        <f t="shared" si="32"/>
        <v>171</v>
      </c>
      <c r="AB179" s="480"/>
      <c r="AC179" s="480"/>
      <c r="AD179" s="480"/>
      <c r="AE179" s="495"/>
      <c r="AF179" s="480"/>
      <c r="AG179" s="480"/>
    </row>
    <row r="180" spans="1:33" s="471" customFormat="1" hidden="1">
      <c r="A180" s="420">
        <f t="shared" si="33"/>
        <v>170</v>
      </c>
      <c r="B180" s="585">
        <f t="shared" si="41"/>
        <v>0</v>
      </c>
      <c r="C180" s="533">
        <f t="shared" si="42"/>
        <v>0</v>
      </c>
      <c r="D180" s="533">
        <f t="shared" si="43"/>
        <v>0</v>
      </c>
      <c r="E180" s="420"/>
      <c r="F180" s="420" t="str">
        <f t="shared" si="44"/>
        <v>Vacant</v>
      </c>
      <c r="G180" s="586">
        <f t="shared" si="45"/>
        <v>0</v>
      </c>
      <c r="H180" s="581"/>
      <c r="J180" s="582">
        <f>HLOOKUP($J$7,'MR-Stat Data Sheet Bud'!$U$8:$AF$1081,$AA180,FALSE)</f>
        <v>0</v>
      </c>
      <c r="K180" s="582">
        <f>HLOOKUP($J$7,'MR-Stat Data Sheet Bud'!$AS$8:$BD$1081,$AA180,FALSE)</f>
        <v>0</v>
      </c>
      <c r="L180" s="582">
        <f t="shared" si="46"/>
        <v>0</v>
      </c>
      <c r="N180" s="582">
        <f>HLOOKUP($J$7,'MR-Stat Data Sheet Bud'!$BE$8:$BP$1081,$AA180,FALSE)</f>
        <v>0</v>
      </c>
      <c r="O180" s="582">
        <f>HLOOKUP($J$7,'MR-Stat Data Sheet Bud'!$AS$8:$BD$1081,$AA180,FALSE)</f>
        <v>0</v>
      </c>
      <c r="P180" s="582">
        <f t="shared" si="47"/>
        <v>0</v>
      </c>
      <c r="Q180" s="583"/>
      <c r="S180" s="599"/>
      <c r="T180" s="582">
        <v>0</v>
      </c>
      <c r="U180" s="583"/>
      <c r="V180" s="480"/>
      <c r="W180" s="495"/>
      <c r="X180" s="480"/>
      <c r="Y180" s="480"/>
      <c r="Z180" s="495"/>
      <c r="AA180" s="472">
        <f t="shared" si="32"/>
        <v>172</v>
      </c>
      <c r="AB180" s="480"/>
      <c r="AC180" s="480"/>
      <c r="AD180" s="480"/>
      <c r="AE180" s="495"/>
      <c r="AF180" s="480"/>
      <c r="AG180" s="480"/>
    </row>
    <row r="181" spans="1:33" s="471" customFormat="1" hidden="1">
      <c r="A181" s="420">
        <f t="shared" si="33"/>
        <v>171</v>
      </c>
      <c r="B181" s="585">
        <f t="shared" si="41"/>
        <v>0</v>
      </c>
      <c r="C181" s="533">
        <f t="shared" si="42"/>
        <v>0</v>
      </c>
      <c r="D181" s="533">
        <f t="shared" si="43"/>
        <v>0</v>
      </c>
      <c r="E181" s="420"/>
      <c r="F181" s="420" t="str">
        <f t="shared" si="44"/>
        <v>Vacant</v>
      </c>
      <c r="G181" s="586">
        <f t="shared" si="45"/>
        <v>0</v>
      </c>
      <c r="H181" s="581"/>
      <c r="J181" s="582">
        <f>HLOOKUP($J$7,'MR-Stat Data Sheet Bud'!$U$8:$AF$1081,$AA181,FALSE)</f>
        <v>0</v>
      </c>
      <c r="K181" s="582">
        <f>HLOOKUP($J$7,'MR-Stat Data Sheet Bud'!$AS$8:$BD$1081,$AA181,FALSE)</f>
        <v>0</v>
      </c>
      <c r="L181" s="582">
        <f t="shared" si="46"/>
        <v>0</v>
      </c>
      <c r="N181" s="582">
        <f>HLOOKUP($J$7,'MR-Stat Data Sheet Bud'!$BE$8:$BP$1081,$AA181,FALSE)</f>
        <v>0</v>
      </c>
      <c r="O181" s="582">
        <f>HLOOKUP($J$7,'MR-Stat Data Sheet Bud'!$AS$8:$BD$1081,$AA181,FALSE)</f>
        <v>0</v>
      </c>
      <c r="P181" s="582">
        <f t="shared" si="47"/>
        <v>0</v>
      </c>
      <c r="Q181" s="583"/>
      <c r="S181" s="599"/>
      <c r="T181" s="582">
        <v>0</v>
      </c>
      <c r="U181" s="583"/>
      <c r="V181" s="480"/>
      <c r="W181" s="495"/>
      <c r="X181" s="480"/>
      <c r="Y181" s="480"/>
      <c r="Z181" s="495"/>
      <c r="AA181" s="472">
        <f t="shared" si="32"/>
        <v>173</v>
      </c>
      <c r="AB181" s="480"/>
      <c r="AC181" s="480"/>
      <c r="AD181" s="480"/>
      <c r="AE181" s="495"/>
      <c r="AF181" s="480"/>
      <c r="AG181" s="480"/>
    </row>
    <row r="182" spans="1:33" s="471" customFormat="1" hidden="1">
      <c r="A182" s="420">
        <f t="shared" si="33"/>
        <v>172</v>
      </c>
      <c r="B182" s="585">
        <f t="shared" si="41"/>
        <v>0</v>
      </c>
      <c r="C182" s="533">
        <f t="shared" si="42"/>
        <v>0</v>
      </c>
      <c r="D182" s="533">
        <f t="shared" si="43"/>
        <v>0</v>
      </c>
      <c r="E182" s="420"/>
      <c r="F182" s="420" t="str">
        <f t="shared" si="44"/>
        <v>Vacant</v>
      </c>
      <c r="G182" s="586">
        <f t="shared" si="45"/>
        <v>0</v>
      </c>
      <c r="H182" s="581"/>
      <c r="J182" s="582">
        <f>HLOOKUP($J$7,'MR-Stat Data Sheet Bud'!$U$8:$AF$1081,$AA182,FALSE)</f>
        <v>0</v>
      </c>
      <c r="K182" s="582">
        <f>HLOOKUP($J$7,'MR-Stat Data Sheet Bud'!$AS$8:$BD$1081,$AA182,FALSE)</f>
        <v>0</v>
      </c>
      <c r="L182" s="582">
        <f t="shared" si="46"/>
        <v>0</v>
      </c>
      <c r="N182" s="582">
        <f>HLOOKUP($J$7,'MR-Stat Data Sheet Bud'!$BE$8:$BP$1081,$AA182,FALSE)</f>
        <v>0</v>
      </c>
      <c r="O182" s="582">
        <f>HLOOKUP($J$7,'MR-Stat Data Sheet Bud'!$AS$8:$BD$1081,$AA182,FALSE)</f>
        <v>0</v>
      </c>
      <c r="P182" s="582">
        <f t="shared" si="47"/>
        <v>0</v>
      </c>
      <c r="Q182" s="583"/>
      <c r="S182" s="599"/>
      <c r="T182" s="582">
        <v>0</v>
      </c>
      <c r="U182" s="583"/>
      <c r="V182" s="480"/>
      <c r="W182" s="495"/>
      <c r="X182" s="480"/>
      <c r="Y182" s="480"/>
      <c r="Z182" s="495"/>
      <c r="AA182" s="472">
        <f t="shared" si="32"/>
        <v>174</v>
      </c>
      <c r="AB182" s="480"/>
      <c r="AC182" s="480"/>
      <c r="AD182" s="480"/>
      <c r="AE182" s="495"/>
      <c r="AF182" s="480"/>
      <c r="AG182" s="480"/>
    </row>
    <row r="183" spans="1:33" s="471" customFormat="1" hidden="1">
      <c r="A183" s="420">
        <f t="shared" si="33"/>
        <v>173</v>
      </c>
      <c r="B183" s="585">
        <f t="shared" si="41"/>
        <v>0</v>
      </c>
      <c r="C183" s="533">
        <f t="shared" si="42"/>
        <v>0</v>
      </c>
      <c r="D183" s="533">
        <f t="shared" si="43"/>
        <v>0</v>
      </c>
      <c r="E183" s="420"/>
      <c r="F183" s="420" t="str">
        <f t="shared" si="44"/>
        <v>Vacant</v>
      </c>
      <c r="G183" s="586">
        <f t="shared" si="45"/>
        <v>0</v>
      </c>
      <c r="H183" s="581"/>
      <c r="J183" s="582">
        <f>HLOOKUP($J$7,'MR-Stat Data Sheet Bud'!$U$8:$AF$1081,$AA183,FALSE)</f>
        <v>0</v>
      </c>
      <c r="K183" s="582">
        <f>HLOOKUP($J$7,'MR-Stat Data Sheet Bud'!$AS$8:$BD$1081,$AA183,FALSE)</f>
        <v>0</v>
      </c>
      <c r="L183" s="582">
        <f t="shared" si="46"/>
        <v>0</v>
      </c>
      <c r="N183" s="582">
        <f>HLOOKUP($J$7,'MR-Stat Data Sheet Bud'!$BE$8:$BP$1081,$AA183,FALSE)</f>
        <v>0</v>
      </c>
      <c r="O183" s="582">
        <f>HLOOKUP($J$7,'MR-Stat Data Sheet Bud'!$AS$8:$BD$1081,$AA183,FALSE)</f>
        <v>0</v>
      </c>
      <c r="P183" s="582">
        <f t="shared" si="47"/>
        <v>0</v>
      </c>
      <c r="Q183" s="583"/>
      <c r="S183" s="599"/>
      <c r="T183" s="582">
        <v>0</v>
      </c>
      <c r="U183" s="583"/>
      <c r="V183" s="480"/>
      <c r="W183" s="495"/>
      <c r="X183" s="480"/>
      <c r="Y183" s="480"/>
      <c r="Z183" s="495"/>
      <c r="AA183" s="472">
        <f t="shared" si="32"/>
        <v>175</v>
      </c>
      <c r="AB183" s="480"/>
      <c r="AC183" s="480"/>
      <c r="AD183" s="480"/>
      <c r="AE183" s="495"/>
      <c r="AF183" s="480"/>
      <c r="AG183" s="480"/>
    </row>
    <row r="184" spans="1:33" s="471" customFormat="1" hidden="1">
      <c r="A184" s="420">
        <f t="shared" si="33"/>
        <v>174</v>
      </c>
      <c r="B184" s="585">
        <f t="shared" si="41"/>
        <v>0</v>
      </c>
      <c r="C184" s="533">
        <f t="shared" si="42"/>
        <v>0</v>
      </c>
      <c r="D184" s="533">
        <f t="shared" si="43"/>
        <v>0</v>
      </c>
      <c r="E184" s="420"/>
      <c r="F184" s="420" t="str">
        <f t="shared" si="44"/>
        <v>Vacant</v>
      </c>
      <c r="G184" s="586">
        <f t="shared" si="45"/>
        <v>0</v>
      </c>
      <c r="H184" s="581"/>
      <c r="J184" s="582">
        <f>HLOOKUP($J$7,'MR-Stat Data Sheet Bud'!$U$8:$AF$1081,$AA184,FALSE)</f>
        <v>0</v>
      </c>
      <c r="K184" s="582">
        <f>HLOOKUP($J$7,'MR-Stat Data Sheet Bud'!$AS$8:$BD$1081,$AA184,FALSE)</f>
        <v>0</v>
      </c>
      <c r="L184" s="582">
        <f t="shared" si="46"/>
        <v>0</v>
      </c>
      <c r="N184" s="582">
        <f>HLOOKUP($J$7,'MR-Stat Data Sheet Bud'!$BE$8:$BP$1081,$AA184,FALSE)</f>
        <v>0</v>
      </c>
      <c r="O184" s="582">
        <f>HLOOKUP($J$7,'MR-Stat Data Sheet Bud'!$AS$8:$BD$1081,$AA184,FALSE)</f>
        <v>0</v>
      </c>
      <c r="P184" s="582">
        <f t="shared" si="47"/>
        <v>0</v>
      </c>
      <c r="Q184" s="583"/>
      <c r="S184" s="599"/>
      <c r="T184" s="582">
        <v>0</v>
      </c>
      <c r="U184" s="583"/>
      <c r="V184" s="480"/>
      <c r="W184" s="495"/>
      <c r="X184" s="480"/>
      <c r="Y184" s="480"/>
      <c r="Z184" s="495"/>
      <c r="AA184" s="472">
        <f t="shared" si="32"/>
        <v>176</v>
      </c>
      <c r="AB184" s="480"/>
      <c r="AC184" s="480"/>
      <c r="AD184" s="480"/>
      <c r="AE184" s="495"/>
      <c r="AF184" s="480"/>
      <c r="AG184" s="480"/>
    </row>
    <row r="185" spans="1:33" s="471" customFormat="1" hidden="1">
      <c r="A185" s="420">
        <f t="shared" si="33"/>
        <v>175</v>
      </c>
      <c r="B185" s="585">
        <f t="shared" si="41"/>
        <v>0</v>
      </c>
      <c r="C185" s="533">
        <f t="shared" si="42"/>
        <v>0</v>
      </c>
      <c r="D185" s="533">
        <f t="shared" si="43"/>
        <v>0</v>
      </c>
      <c r="E185" s="420"/>
      <c r="F185" s="420" t="str">
        <f t="shared" si="44"/>
        <v>Vacant</v>
      </c>
      <c r="G185" s="586">
        <f t="shared" si="45"/>
        <v>0</v>
      </c>
      <c r="H185" s="581"/>
      <c r="J185" s="582">
        <f>HLOOKUP($J$7,'MR-Stat Data Sheet Bud'!$U$8:$AF$1081,$AA185,FALSE)</f>
        <v>0</v>
      </c>
      <c r="K185" s="582">
        <f>HLOOKUP($J$7,'MR-Stat Data Sheet Bud'!$AS$8:$BD$1081,$AA185,FALSE)</f>
        <v>0</v>
      </c>
      <c r="L185" s="582">
        <f t="shared" si="46"/>
        <v>0</v>
      </c>
      <c r="N185" s="582">
        <f>HLOOKUP($J$7,'MR-Stat Data Sheet Bud'!$BE$8:$BP$1081,$AA185,FALSE)</f>
        <v>0</v>
      </c>
      <c r="O185" s="582">
        <f>HLOOKUP($J$7,'MR-Stat Data Sheet Bud'!$AS$8:$BD$1081,$AA185,FALSE)</f>
        <v>0</v>
      </c>
      <c r="P185" s="582">
        <f t="shared" si="47"/>
        <v>0</v>
      </c>
      <c r="Q185" s="583"/>
      <c r="S185" s="599"/>
      <c r="T185" s="582">
        <v>0</v>
      </c>
      <c r="U185" s="583"/>
      <c r="V185" s="480"/>
      <c r="W185" s="495"/>
      <c r="X185" s="480"/>
      <c r="Y185" s="480"/>
      <c r="Z185" s="495"/>
      <c r="AA185" s="472">
        <f t="shared" si="32"/>
        <v>177</v>
      </c>
      <c r="AB185" s="480"/>
      <c r="AC185" s="480"/>
      <c r="AD185" s="480"/>
      <c r="AE185" s="495"/>
      <c r="AF185" s="480"/>
      <c r="AG185" s="480"/>
    </row>
    <row r="186" spans="1:33" s="471" customFormat="1" hidden="1">
      <c r="A186" s="420">
        <f t="shared" si="33"/>
        <v>176</v>
      </c>
      <c r="B186" s="585">
        <f t="shared" si="41"/>
        <v>0</v>
      </c>
      <c r="C186" s="533">
        <f t="shared" si="42"/>
        <v>0</v>
      </c>
      <c r="D186" s="533">
        <f t="shared" si="43"/>
        <v>0</v>
      </c>
      <c r="E186" s="420"/>
      <c r="F186" s="420" t="str">
        <f t="shared" si="44"/>
        <v>Vacant</v>
      </c>
      <c r="G186" s="586">
        <f t="shared" si="45"/>
        <v>0</v>
      </c>
      <c r="H186" s="581"/>
      <c r="J186" s="582">
        <f>HLOOKUP($J$7,'MR-Stat Data Sheet Bud'!$U$8:$AF$1081,$AA186,FALSE)</f>
        <v>0</v>
      </c>
      <c r="K186" s="582">
        <f>HLOOKUP($J$7,'MR-Stat Data Sheet Bud'!$AS$8:$BD$1081,$AA186,FALSE)</f>
        <v>0</v>
      </c>
      <c r="L186" s="582">
        <f t="shared" si="46"/>
        <v>0</v>
      </c>
      <c r="N186" s="582">
        <f>HLOOKUP($J$7,'MR-Stat Data Sheet Bud'!$BE$8:$BP$1081,$AA186,FALSE)</f>
        <v>0</v>
      </c>
      <c r="O186" s="582">
        <f>HLOOKUP($J$7,'MR-Stat Data Sheet Bud'!$AS$8:$BD$1081,$AA186,FALSE)</f>
        <v>0</v>
      </c>
      <c r="P186" s="582">
        <f t="shared" si="47"/>
        <v>0</v>
      </c>
      <c r="Q186" s="583"/>
      <c r="S186" s="599"/>
      <c r="T186" s="582">
        <v>0</v>
      </c>
      <c r="U186" s="583"/>
      <c r="V186" s="480"/>
      <c r="W186" s="495"/>
      <c r="X186" s="480"/>
      <c r="Y186" s="480"/>
      <c r="Z186" s="495"/>
      <c r="AA186" s="472">
        <f t="shared" si="32"/>
        <v>178</v>
      </c>
      <c r="AB186" s="480"/>
      <c r="AC186" s="480"/>
      <c r="AD186" s="480"/>
      <c r="AE186" s="495"/>
      <c r="AF186" s="480"/>
      <c r="AG186" s="480"/>
    </row>
    <row r="187" spans="1:33" s="471" customFormat="1" hidden="1">
      <c r="A187" s="420">
        <f t="shared" si="33"/>
        <v>177</v>
      </c>
      <c r="B187" s="585">
        <f t="shared" si="41"/>
        <v>0</v>
      </c>
      <c r="C187" s="533">
        <f t="shared" si="42"/>
        <v>0</v>
      </c>
      <c r="D187" s="533">
        <f t="shared" si="43"/>
        <v>0</v>
      </c>
      <c r="E187" s="420"/>
      <c r="F187" s="420" t="str">
        <f t="shared" si="44"/>
        <v>Vacant</v>
      </c>
      <c r="G187" s="586">
        <f t="shared" si="45"/>
        <v>0</v>
      </c>
      <c r="H187" s="581"/>
      <c r="J187" s="582">
        <f>HLOOKUP($J$7,'MR-Stat Data Sheet Bud'!$U$8:$AF$1081,$AA187,FALSE)</f>
        <v>0</v>
      </c>
      <c r="K187" s="582">
        <f>HLOOKUP($J$7,'MR-Stat Data Sheet Bud'!$AS$8:$BD$1081,$AA187,FALSE)</f>
        <v>0</v>
      </c>
      <c r="L187" s="582">
        <f t="shared" si="46"/>
        <v>0</v>
      </c>
      <c r="N187" s="582">
        <f>HLOOKUP($J$7,'MR-Stat Data Sheet Bud'!$BE$8:$BP$1081,$AA187,FALSE)</f>
        <v>0</v>
      </c>
      <c r="O187" s="582">
        <f>HLOOKUP($J$7,'MR-Stat Data Sheet Bud'!$AS$8:$BD$1081,$AA187,FALSE)</f>
        <v>0</v>
      </c>
      <c r="P187" s="582">
        <f t="shared" si="47"/>
        <v>0</v>
      </c>
      <c r="Q187" s="583"/>
      <c r="S187" s="599"/>
      <c r="T187" s="582">
        <v>0</v>
      </c>
      <c r="U187" s="583"/>
      <c r="V187" s="480"/>
      <c r="W187" s="495"/>
      <c r="X187" s="480"/>
      <c r="Y187" s="480"/>
      <c r="Z187" s="495"/>
      <c r="AA187" s="472">
        <f t="shared" si="32"/>
        <v>179</v>
      </c>
      <c r="AB187" s="480"/>
      <c r="AC187" s="480"/>
      <c r="AD187" s="480"/>
      <c r="AE187" s="495"/>
      <c r="AF187" s="480"/>
      <c r="AG187" s="480"/>
    </row>
    <row r="188" spans="1:33" s="471" customFormat="1" hidden="1">
      <c r="A188" s="420">
        <f t="shared" si="33"/>
        <v>178</v>
      </c>
      <c r="B188" s="585">
        <f t="shared" si="41"/>
        <v>0</v>
      </c>
      <c r="C188" s="533">
        <f t="shared" si="42"/>
        <v>0</v>
      </c>
      <c r="D188" s="533">
        <f t="shared" si="43"/>
        <v>0</v>
      </c>
      <c r="E188" s="420"/>
      <c r="F188" s="420" t="str">
        <f t="shared" si="44"/>
        <v>Vacant</v>
      </c>
      <c r="G188" s="586">
        <f t="shared" si="45"/>
        <v>0</v>
      </c>
      <c r="H188" s="581"/>
      <c r="J188" s="582">
        <f>HLOOKUP($J$7,'MR-Stat Data Sheet Bud'!$U$8:$AF$1081,$AA188,FALSE)</f>
        <v>0</v>
      </c>
      <c r="K188" s="582">
        <f>HLOOKUP($J$7,'MR-Stat Data Sheet Bud'!$AS$8:$BD$1081,$AA188,FALSE)</f>
        <v>0</v>
      </c>
      <c r="L188" s="582">
        <f t="shared" si="46"/>
        <v>0</v>
      </c>
      <c r="N188" s="582">
        <f>HLOOKUP($J$7,'MR-Stat Data Sheet Bud'!$BE$8:$BP$1081,$AA188,FALSE)</f>
        <v>0</v>
      </c>
      <c r="O188" s="582">
        <f>HLOOKUP($J$7,'MR-Stat Data Sheet Bud'!$AS$8:$BD$1081,$AA188,FALSE)</f>
        <v>0</v>
      </c>
      <c r="P188" s="582">
        <f t="shared" si="47"/>
        <v>0</v>
      </c>
      <c r="Q188" s="583"/>
      <c r="S188" s="599"/>
      <c r="T188" s="582">
        <v>0</v>
      </c>
      <c r="U188" s="583"/>
      <c r="V188" s="480"/>
      <c r="W188" s="495"/>
      <c r="X188" s="480"/>
      <c r="Y188" s="480"/>
      <c r="Z188" s="495"/>
      <c r="AA188" s="472">
        <f t="shared" si="32"/>
        <v>180</v>
      </c>
      <c r="AB188" s="480"/>
      <c r="AC188" s="480"/>
      <c r="AD188" s="480"/>
      <c r="AE188" s="495"/>
      <c r="AF188" s="480"/>
      <c r="AG188" s="480"/>
    </row>
    <row r="189" spans="1:33" s="471" customFormat="1" hidden="1">
      <c r="A189" s="420">
        <f t="shared" si="33"/>
        <v>179</v>
      </c>
      <c r="B189" s="585">
        <f t="shared" si="41"/>
        <v>0</v>
      </c>
      <c r="C189" s="533">
        <f t="shared" si="42"/>
        <v>0</v>
      </c>
      <c r="D189" s="533">
        <f t="shared" si="43"/>
        <v>0</v>
      </c>
      <c r="E189" s="420"/>
      <c r="F189" s="420" t="str">
        <f t="shared" si="44"/>
        <v>Vacant</v>
      </c>
      <c r="G189" s="586">
        <f t="shared" si="45"/>
        <v>0</v>
      </c>
      <c r="H189" s="581"/>
      <c r="J189" s="582">
        <f>HLOOKUP($J$7,'MR-Stat Data Sheet Bud'!$U$8:$AF$1081,$AA189,FALSE)</f>
        <v>0</v>
      </c>
      <c r="K189" s="582">
        <f>HLOOKUP($J$7,'MR-Stat Data Sheet Bud'!$AS$8:$BD$1081,$AA189,FALSE)</f>
        <v>0</v>
      </c>
      <c r="L189" s="582">
        <f t="shared" si="46"/>
        <v>0</v>
      </c>
      <c r="N189" s="582">
        <f>HLOOKUP($J$7,'MR-Stat Data Sheet Bud'!$BE$8:$BP$1081,$AA189,FALSE)</f>
        <v>0</v>
      </c>
      <c r="O189" s="582">
        <f>HLOOKUP($J$7,'MR-Stat Data Sheet Bud'!$AS$8:$BD$1081,$AA189,FALSE)</f>
        <v>0</v>
      </c>
      <c r="P189" s="582">
        <f t="shared" si="47"/>
        <v>0</v>
      </c>
      <c r="Q189" s="583"/>
      <c r="S189" s="599"/>
      <c r="T189" s="582">
        <v>0</v>
      </c>
      <c r="U189" s="583"/>
      <c r="V189" s="480"/>
      <c r="W189" s="495"/>
      <c r="X189" s="480"/>
      <c r="Y189" s="480"/>
      <c r="Z189" s="495"/>
      <c r="AA189" s="472">
        <f t="shared" si="32"/>
        <v>181</v>
      </c>
      <c r="AB189" s="480"/>
      <c r="AC189" s="480"/>
      <c r="AD189" s="480"/>
      <c r="AE189" s="495"/>
      <c r="AF189" s="480"/>
      <c r="AG189" s="480"/>
    </row>
    <row r="190" spans="1:33" s="471" customFormat="1" hidden="1">
      <c r="A190" s="420">
        <f t="shared" si="33"/>
        <v>180</v>
      </c>
      <c r="B190" s="585">
        <f t="shared" si="41"/>
        <v>0</v>
      </c>
      <c r="C190" s="533">
        <f t="shared" si="42"/>
        <v>0</v>
      </c>
      <c r="D190" s="533">
        <f t="shared" si="43"/>
        <v>0</v>
      </c>
      <c r="E190" s="420"/>
      <c r="F190" s="420" t="str">
        <f t="shared" si="44"/>
        <v>Vacant</v>
      </c>
      <c r="G190" s="586">
        <f t="shared" si="45"/>
        <v>0</v>
      </c>
      <c r="H190" s="581"/>
      <c r="J190" s="582">
        <f>HLOOKUP($J$7,'MR-Stat Data Sheet Bud'!$U$8:$AF$1081,$AA190,FALSE)</f>
        <v>0</v>
      </c>
      <c r="K190" s="582">
        <f>HLOOKUP($J$7,'MR-Stat Data Sheet Bud'!$AS$8:$BD$1081,$AA190,FALSE)</f>
        <v>0</v>
      </c>
      <c r="L190" s="582">
        <f t="shared" si="46"/>
        <v>0</v>
      </c>
      <c r="N190" s="582">
        <f>HLOOKUP($J$7,'MR-Stat Data Sheet Bud'!$BE$8:$BP$1081,$AA190,FALSE)</f>
        <v>0</v>
      </c>
      <c r="O190" s="582">
        <f>HLOOKUP($J$7,'MR-Stat Data Sheet Bud'!$AS$8:$BD$1081,$AA190,FALSE)</f>
        <v>0</v>
      </c>
      <c r="P190" s="582">
        <f t="shared" si="47"/>
        <v>0</v>
      </c>
      <c r="Q190" s="583"/>
      <c r="S190" s="599"/>
      <c r="T190" s="582">
        <v>0</v>
      </c>
      <c r="U190" s="583"/>
      <c r="V190" s="480"/>
      <c r="W190" s="495"/>
      <c r="X190" s="480"/>
      <c r="Y190" s="480"/>
      <c r="Z190" s="495"/>
      <c r="AA190" s="472">
        <f t="shared" si="32"/>
        <v>182</v>
      </c>
      <c r="AB190" s="480"/>
      <c r="AC190" s="480"/>
      <c r="AD190" s="480"/>
      <c r="AE190" s="495"/>
      <c r="AF190" s="480"/>
      <c r="AG190" s="480"/>
    </row>
    <row r="191" spans="1:33" s="471" customFormat="1" hidden="1">
      <c r="A191" s="420">
        <f t="shared" si="33"/>
        <v>181</v>
      </c>
      <c r="B191" s="585">
        <f t="shared" si="41"/>
        <v>0</v>
      </c>
      <c r="C191" s="533">
        <f t="shared" si="42"/>
        <v>0</v>
      </c>
      <c r="D191" s="533">
        <f t="shared" si="43"/>
        <v>0</v>
      </c>
      <c r="E191" s="420"/>
      <c r="F191" s="420" t="str">
        <f t="shared" si="44"/>
        <v>Vacant</v>
      </c>
      <c r="G191" s="586">
        <f t="shared" si="45"/>
        <v>0</v>
      </c>
      <c r="H191" s="581"/>
      <c r="J191" s="582">
        <f>HLOOKUP($J$7,'MR-Stat Data Sheet Bud'!$U$8:$AF$1081,$AA191,FALSE)</f>
        <v>0</v>
      </c>
      <c r="K191" s="582">
        <f>HLOOKUP($J$7,'MR-Stat Data Sheet Bud'!$AS$8:$BD$1081,$AA191,FALSE)</f>
        <v>0</v>
      </c>
      <c r="L191" s="582">
        <f t="shared" si="46"/>
        <v>0</v>
      </c>
      <c r="N191" s="582">
        <f>HLOOKUP($J$7,'MR-Stat Data Sheet Bud'!$BE$8:$BP$1081,$AA191,FALSE)</f>
        <v>0</v>
      </c>
      <c r="O191" s="582">
        <f>HLOOKUP($J$7,'MR-Stat Data Sheet Bud'!$AS$8:$BD$1081,$AA191,FALSE)</f>
        <v>0</v>
      </c>
      <c r="P191" s="582">
        <f t="shared" si="47"/>
        <v>0</v>
      </c>
      <c r="Q191" s="583"/>
      <c r="S191" s="599"/>
      <c r="T191" s="582">
        <v>0</v>
      </c>
      <c r="U191" s="583"/>
      <c r="V191" s="480"/>
      <c r="W191" s="495"/>
      <c r="X191" s="480"/>
      <c r="Y191" s="480"/>
      <c r="Z191" s="495"/>
      <c r="AA191" s="472">
        <f t="shared" si="32"/>
        <v>183</v>
      </c>
      <c r="AB191" s="480"/>
      <c r="AC191" s="480"/>
      <c r="AD191" s="480"/>
      <c r="AE191" s="495"/>
      <c r="AF191" s="480"/>
      <c r="AG191" s="480"/>
    </row>
    <row r="192" spans="1:33" s="471" customFormat="1" hidden="1">
      <c r="A192" s="420">
        <f t="shared" si="33"/>
        <v>182</v>
      </c>
      <c r="B192" s="585">
        <f t="shared" si="41"/>
        <v>0</v>
      </c>
      <c r="C192" s="533">
        <f t="shared" si="42"/>
        <v>0</v>
      </c>
      <c r="D192" s="533">
        <f t="shared" si="43"/>
        <v>0</v>
      </c>
      <c r="E192" s="420"/>
      <c r="F192" s="420" t="str">
        <f t="shared" si="44"/>
        <v>Vacant</v>
      </c>
      <c r="G192" s="586">
        <f t="shared" si="45"/>
        <v>0</v>
      </c>
      <c r="H192" s="581"/>
      <c r="J192" s="582">
        <f>HLOOKUP($J$7,'MR-Stat Data Sheet Bud'!$U$8:$AF$1081,$AA192,FALSE)</f>
        <v>0</v>
      </c>
      <c r="K192" s="582">
        <f>HLOOKUP($J$7,'MR-Stat Data Sheet Bud'!$AS$8:$BD$1081,$AA192,FALSE)</f>
        <v>0</v>
      </c>
      <c r="L192" s="582">
        <f t="shared" si="46"/>
        <v>0</v>
      </c>
      <c r="N192" s="582">
        <f>HLOOKUP($J$7,'MR-Stat Data Sheet Bud'!$BE$8:$BP$1081,$AA192,FALSE)</f>
        <v>0</v>
      </c>
      <c r="O192" s="582">
        <f>HLOOKUP($J$7,'MR-Stat Data Sheet Bud'!$AS$8:$BD$1081,$AA192,FALSE)</f>
        <v>0</v>
      </c>
      <c r="P192" s="582">
        <f t="shared" si="47"/>
        <v>0</v>
      </c>
      <c r="Q192" s="583"/>
      <c r="S192" s="599"/>
      <c r="T192" s="582">
        <v>0</v>
      </c>
      <c r="U192" s="583"/>
      <c r="V192" s="480"/>
      <c r="W192" s="495"/>
      <c r="X192" s="480"/>
      <c r="Y192" s="480"/>
      <c r="Z192" s="495"/>
      <c r="AA192" s="472">
        <f t="shared" si="32"/>
        <v>184</v>
      </c>
      <c r="AB192" s="480"/>
      <c r="AC192" s="480"/>
      <c r="AD192" s="480"/>
      <c r="AE192" s="495"/>
      <c r="AF192" s="480"/>
      <c r="AG192" s="480"/>
    </row>
    <row r="193" spans="1:33" s="471" customFormat="1" hidden="1">
      <c r="A193" s="420">
        <f t="shared" si="33"/>
        <v>183</v>
      </c>
      <c r="B193" s="585">
        <f t="shared" si="41"/>
        <v>0</v>
      </c>
      <c r="C193" s="533">
        <f t="shared" si="42"/>
        <v>0</v>
      </c>
      <c r="D193" s="533">
        <f t="shared" si="43"/>
        <v>0</v>
      </c>
      <c r="E193" s="420"/>
      <c r="F193" s="420" t="str">
        <f t="shared" si="44"/>
        <v>Vacant</v>
      </c>
      <c r="G193" s="586">
        <f t="shared" si="45"/>
        <v>0</v>
      </c>
      <c r="H193" s="581"/>
      <c r="J193" s="582">
        <f>HLOOKUP($J$7,'MR-Stat Data Sheet Bud'!$U$8:$AF$1081,$AA193,FALSE)</f>
        <v>0</v>
      </c>
      <c r="K193" s="582">
        <f>HLOOKUP($J$7,'MR-Stat Data Sheet Bud'!$AS$8:$BD$1081,$AA193,FALSE)</f>
        <v>0</v>
      </c>
      <c r="L193" s="582">
        <f t="shared" si="46"/>
        <v>0</v>
      </c>
      <c r="N193" s="582">
        <f>HLOOKUP($J$7,'MR-Stat Data Sheet Bud'!$BE$8:$BP$1081,$AA193,FALSE)</f>
        <v>0</v>
      </c>
      <c r="O193" s="582">
        <f>HLOOKUP($J$7,'MR-Stat Data Sheet Bud'!$AS$8:$BD$1081,$AA193,FALSE)</f>
        <v>0</v>
      </c>
      <c r="P193" s="582">
        <f t="shared" si="47"/>
        <v>0</v>
      </c>
      <c r="Q193" s="583"/>
      <c r="S193" s="599"/>
      <c r="T193" s="582">
        <v>0</v>
      </c>
      <c r="U193" s="583"/>
      <c r="V193" s="480"/>
      <c r="W193" s="495"/>
      <c r="X193" s="480"/>
      <c r="Y193" s="480"/>
      <c r="Z193" s="495"/>
      <c r="AA193" s="472">
        <f t="shared" si="32"/>
        <v>185</v>
      </c>
      <c r="AB193" s="480"/>
      <c r="AC193" s="480"/>
      <c r="AD193" s="480"/>
      <c r="AE193" s="495"/>
      <c r="AF193" s="480"/>
      <c r="AG193" s="480"/>
    </row>
    <row r="194" spans="1:33" s="471" customFormat="1" hidden="1">
      <c r="A194" s="420">
        <f t="shared" si="33"/>
        <v>184</v>
      </c>
      <c r="B194" s="585">
        <f t="shared" si="41"/>
        <v>0</v>
      </c>
      <c r="C194" s="533">
        <f t="shared" si="42"/>
        <v>0</v>
      </c>
      <c r="D194" s="533">
        <f t="shared" si="43"/>
        <v>0</v>
      </c>
      <c r="E194" s="420"/>
      <c r="F194" s="420" t="str">
        <f t="shared" si="44"/>
        <v>Vacant</v>
      </c>
      <c r="G194" s="586">
        <f t="shared" si="45"/>
        <v>0</v>
      </c>
      <c r="H194" s="581"/>
      <c r="J194" s="582">
        <f>HLOOKUP($J$7,'MR-Stat Data Sheet Bud'!$U$8:$AF$1081,$AA194,FALSE)</f>
        <v>0</v>
      </c>
      <c r="K194" s="582">
        <f>HLOOKUP($J$7,'MR-Stat Data Sheet Bud'!$AS$8:$BD$1081,$AA194,FALSE)</f>
        <v>0</v>
      </c>
      <c r="L194" s="582">
        <f t="shared" si="46"/>
        <v>0</v>
      </c>
      <c r="N194" s="582">
        <f>HLOOKUP($J$7,'MR-Stat Data Sheet Bud'!$BE$8:$BP$1081,$AA194,FALSE)</f>
        <v>0</v>
      </c>
      <c r="O194" s="582">
        <f>HLOOKUP($J$7,'MR-Stat Data Sheet Bud'!$AS$8:$BD$1081,$AA194,FALSE)</f>
        <v>0</v>
      </c>
      <c r="P194" s="582">
        <f t="shared" si="47"/>
        <v>0</v>
      </c>
      <c r="Q194" s="583"/>
      <c r="S194" s="599"/>
      <c r="T194" s="582">
        <v>0</v>
      </c>
      <c r="U194" s="583"/>
      <c r="V194" s="480"/>
      <c r="W194" s="495"/>
      <c r="X194" s="480"/>
      <c r="Y194" s="480"/>
      <c r="Z194" s="495"/>
      <c r="AA194" s="472">
        <f t="shared" si="32"/>
        <v>186</v>
      </c>
      <c r="AB194" s="480"/>
      <c r="AC194" s="480"/>
      <c r="AD194" s="480"/>
      <c r="AE194" s="495"/>
      <c r="AF194" s="480"/>
      <c r="AG194" s="480"/>
    </row>
    <row r="195" spans="1:33" s="471" customFormat="1" hidden="1">
      <c r="A195" s="420">
        <f t="shared" si="33"/>
        <v>185</v>
      </c>
      <c r="B195" s="585">
        <f t="shared" si="41"/>
        <v>0</v>
      </c>
      <c r="C195" s="533">
        <f t="shared" si="42"/>
        <v>0</v>
      </c>
      <c r="D195" s="533">
        <f t="shared" si="43"/>
        <v>0</v>
      </c>
      <c r="E195" s="420"/>
      <c r="F195" s="420" t="str">
        <f t="shared" si="44"/>
        <v>Vacant</v>
      </c>
      <c r="G195" s="586">
        <f t="shared" si="45"/>
        <v>0</v>
      </c>
      <c r="H195" s="581"/>
      <c r="J195" s="582">
        <f>HLOOKUP($J$7,'MR-Stat Data Sheet Bud'!$U$8:$AF$1081,$AA195,FALSE)</f>
        <v>0</v>
      </c>
      <c r="K195" s="582">
        <f>HLOOKUP($J$7,'MR-Stat Data Sheet Bud'!$AS$8:$BD$1081,$AA195,FALSE)</f>
        <v>0</v>
      </c>
      <c r="L195" s="582">
        <f t="shared" si="46"/>
        <v>0</v>
      </c>
      <c r="N195" s="582">
        <f>HLOOKUP($J$7,'MR-Stat Data Sheet Bud'!$BE$8:$BP$1081,$AA195,FALSE)</f>
        <v>0</v>
      </c>
      <c r="O195" s="582">
        <f>HLOOKUP($J$7,'MR-Stat Data Sheet Bud'!$AS$8:$BD$1081,$AA195,FALSE)</f>
        <v>0</v>
      </c>
      <c r="P195" s="582">
        <f t="shared" si="47"/>
        <v>0</v>
      </c>
      <c r="Q195" s="583"/>
      <c r="S195" s="599"/>
      <c r="T195" s="582">
        <v>0</v>
      </c>
      <c r="U195" s="583"/>
      <c r="V195" s="480"/>
      <c r="W195" s="495"/>
      <c r="X195" s="480"/>
      <c r="Y195" s="480"/>
      <c r="Z195" s="495"/>
      <c r="AA195" s="472">
        <f t="shared" si="32"/>
        <v>187</v>
      </c>
      <c r="AB195" s="480"/>
      <c r="AC195" s="480"/>
      <c r="AD195" s="480"/>
      <c r="AE195" s="495"/>
      <c r="AF195" s="480"/>
      <c r="AG195" s="480"/>
    </row>
    <row r="196" spans="1:33" s="471" customFormat="1" hidden="1">
      <c r="A196" s="420">
        <f t="shared" si="33"/>
        <v>186</v>
      </c>
      <c r="B196" s="585">
        <f t="shared" si="41"/>
        <v>0</v>
      </c>
      <c r="C196" s="533">
        <f t="shared" si="42"/>
        <v>0</v>
      </c>
      <c r="D196" s="533">
        <f t="shared" si="43"/>
        <v>0</v>
      </c>
      <c r="E196" s="420"/>
      <c r="F196" s="420" t="str">
        <f t="shared" si="44"/>
        <v>Vacant</v>
      </c>
      <c r="G196" s="586">
        <f t="shared" si="45"/>
        <v>0</v>
      </c>
      <c r="H196" s="581"/>
      <c r="J196" s="582">
        <f>HLOOKUP($J$7,'MR-Stat Data Sheet Bud'!$U$8:$AF$1081,$AA196,FALSE)</f>
        <v>0</v>
      </c>
      <c r="K196" s="582">
        <f>HLOOKUP($J$7,'MR-Stat Data Sheet Bud'!$AS$8:$BD$1081,$AA196,FALSE)</f>
        <v>0</v>
      </c>
      <c r="L196" s="582">
        <f t="shared" si="46"/>
        <v>0</v>
      </c>
      <c r="N196" s="582">
        <f>HLOOKUP($J$7,'MR-Stat Data Sheet Bud'!$BE$8:$BP$1081,$AA196,FALSE)</f>
        <v>0</v>
      </c>
      <c r="O196" s="582">
        <f>HLOOKUP($J$7,'MR-Stat Data Sheet Bud'!$AS$8:$BD$1081,$AA196,FALSE)</f>
        <v>0</v>
      </c>
      <c r="P196" s="582">
        <f t="shared" si="47"/>
        <v>0</v>
      </c>
      <c r="Q196" s="583"/>
      <c r="S196" s="599"/>
      <c r="T196" s="582">
        <v>0</v>
      </c>
      <c r="U196" s="583"/>
      <c r="V196" s="480"/>
      <c r="W196" s="495"/>
      <c r="X196" s="480"/>
      <c r="Y196" s="480"/>
      <c r="Z196" s="495"/>
      <c r="AA196" s="472">
        <f t="shared" si="32"/>
        <v>188</v>
      </c>
      <c r="AB196" s="480"/>
      <c r="AC196" s="480"/>
      <c r="AD196" s="480"/>
      <c r="AE196" s="495"/>
      <c r="AF196" s="480"/>
      <c r="AG196" s="480"/>
    </row>
    <row r="197" spans="1:33" s="471" customFormat="1" hidden="1">
      <c r="A197" s="420">
        <f t="shared" si="33"/>
        <v>187</v>
      </c>
      <c r="B197" s="585">
        <f t="shared" si="41"/>
        <v>0</v>
      </c>
      <c r="C197" s="533">
        <f t="shared" si="42"/>
        <v>0</v>
      </c>
      <c r="D197" s="533">
        <f t="shared" si="43"/>
        <v>0</v>
      </c>
      <c r="E197" s="420"/>
      <c r="F197" s="420" t="str">
        <f t="shared" si="44"/>
        <v>Vacant</v>
      </c>
      <c r="G197" s="586">
        <f t="shared" si="45"/>
        <v>0</v>
      </c>
      <c r="H197" s="581"/>
      <c r="J197" s="582">
        <f>HLOOKUP($J$7,'MR-Stat Data Sheet Bud'!$U$8:$AF$1081,$AA197,FALSE)</f>
        <v>0</v>
      </c>
      <c r="K197" s="582">
        <f>HLOOKUP($J$7,'MR-Stat Data Sheet Bud'!$AS$8:$BD$1081,$AA197,FALSE)</f>
        <v>0</v>
      </c>
      <c r="L197" s="582">
        <f t="shared" si="46"/>
        <v>0</v>
      </c>
      <c r="N197" s="582">
        <f>HLOOKUP($J$7,'MR-Stat Data Sheet Bud'!$BE$8:$BP$1081,$AA197,FALSE)</f>
        <v>0</v>
      </c>
      <c r="O197" s="582">
        <f>HLOOKUP($J$7,'MR-Stat Data Sheet Bud'!$AS$8:$BD$1081,$AA197,FALSE)</f>
        <v>0</v>
      </c>
      <c r="P197" s="582">
        <f t="shared" si="47"/>
        <v>0</v>
      </c>
      <c r="Q197" s="583"/>
      <c r="S197" s="599"/>
      <c r="T197" s="582">
        <v>0</v>
      </c>
      <c r="U197" s="583"/>
      <c r="V197" s="480"/>
      <c r="W197" s="495"/>
      <c r="X197" s="480"/>
      <c r="Y197" s="480"/>
      <c r="Z197" s="495"/>
      <c r="AA197" s="472">
        <f t="shared" si="32"/>
        <v>189</v>
      </c>
      <c r="AB197" s="480"/>
      <c r="AC197" s="480"/>
      <c r="AD197" s="480"/>
      <c r="AE197" s="495"/>
      <c r="AF197" s="480"/>
      <c r="AG197" s="480"/>
    </row>
    <row r="198" spans="1:33" s="471" customFormat="1" hidden="1">
      <c r="A198" s="420">
        <f t="shared" si="33"/>
        <v>188</v>
      </c>
      <c r="B198" s="585">
        <f t="shared" si="41"/>
        <v>0</v>
      </c>
      <c r="C198" s="533">
        <f t="shared" si="42"/>
        <v>0</v>
      </c>
      <c r="D198" s="533">
        <f t="shared" si="43"/>
        <v>0</v>
      </c>
      <c r="E198" s="420"/>
      <c r="F198" s="420" t="str">
        <f t="shared" si="44"/>
        <v>Vacant</v>
      </c>
      <c r="G198" s="586">
        <f t="shared" si="45"/>
        <v>0</v>
      </c>
      <c r="H198" s="581"/>
      <c r="J198" s="582">
        <f>HLOOKUP($J$7,'MR-Stat Data Sheet Bud'!$U$8:$AF$1081,$AA198,FALSE)</f>
        <v>0</v>
      </c>
      <c r="K198" s="582">
        <f>HLOOKUP($J$7,'MR-Stat Data Sheet Bud'!$AS$8:$BD$1081,$AA198,FALSE)</f>
        <v>0</v>
      </c>
      <c r="L198" s="582">
        <f t="shared" si="46"/>
        <v>0</v>
      </c>
      <c r="N198" s="582">
        <f>HLOOKUP($J$7,'MR-Stat Data Sheet Bud'!$BE$8:$BP$1081,$AA198,FALSE)</f>
        <v>0</v>
      </c>
      <c r="O198" s="582">
        <f>HLOOKUP($J$7,'MR-Stat Data Sheet Bud'!$AS$8:$BD$1081,$AA198,FALSE)</f>
        <v>0</v>
      </c>
      <c r="P198" s="582">
        <f t="shared" si="47"/>
        <v>0</v>
      </c>
      <c r="Q198" s="583"/>
      <c r="S198" s="599"/>
      <c r="T198" s="582">
        <v>0</v>
      </c>
      <c r="U198" s="583"/>
      <c r="V198" s="480"/>
      <c r="W198" s="495"/>
      <c r="X198" s="480"/>
      <c r="Y198" s="480"/>
      <c r="Z198" s="495"/>
      <c r="AA198" s="472">
        <f t="shared" si="32"/>
        <v>190</v>
      </c>
      <c r="AB198" s="480"/>
      <c r="AC198" s="480"/>
      <c r="AD198" s="480"/>
      <c r="AE198" s="495"/>
      <c r="AF198" s="480"/>
      <c r="AG198" s="480"/>
    </row>
    <row r="199" spans="1:33" s="471" customFormat="1" hidden="1">
      <c r="A199" s="420">
        <f t="shared" si="33"/>
        <v>189</v>
      </c>
      <c r="B199" s="585">
        <f t="shared" si="41"/>
        <v>0</v>
      </c>
      <c r="C199" s="533">
        <f t="shared" si="42"/>
        <v>0</v>
      </c>
      <c r="D199" s="533">
        <f t="shared" si="43"/>
        <v>0</v>
      </c>
      <c r="E199" s="420"/>
      <c r="F199" s="420" t="str">
        <f t="shared" si="44"/>
        <v>Vacant</v>
      </c>
      <c r="G199" s="586">
        <f t="shared" si="45"/>
        <v>0</v>
      </c>
      <c r="H199" s="581"/>
      <c r="J199" s="582">
        <f>HLOOKUP($J$7,'MR-Stat Data Sheet Bud'!$U$8:$AF$1081,$AA199,FALSE)</f>
        <v>0</v>
      </c>
      <c r="K199" s="582">
        <f>HLOOKUP($J$7,'MR-Stat Data Sheet Bud'!$AS$8:$BD$1081,$AA199,FALSE)</f>
        <v>0</v>
      </c>
      <c r="L199" s="582">
        <f t="shared" si="46"/>
        <v>0</v>
      </c>
      <c r="N199" s="582">
        <f>HLOOKUP($J$7,'MR-Stat Data Sheet Bud'!$BE$8:$BP$1081,$AA199,FALSE)</f>
        <v>0</v>
      </c>
      <c r="O199" s="582">
        <f>HLOOKUP($J$7,'MR-Stat Data Sheet Bud'!$AS$8:$BD$1081,$AA199,FALSE)</f>
        <v>0</v>
      </c>
      <c r="P199" s="582">
        <f t="shared" si="47"/>
        <v>0</v>
      </c>
      <c r="Q199" s="583"/>
      <c r="S199" s="599"/>
      <c r="T199" s="582">
        <v>0</v>
      </c>
      <c r="U199" s="583"/>
      <c r="V199" s="480"/>
      <c r="W199" s="495"/>
      <c r="X199" s="480"/>
      <c r="Y199" s="480"/>
      <c r="Z199" s="495"/>
      <c r="AA199" s="472">
        <f t="shared" si="32"/>
        <v>191</v>
      </c>
      <c r="AB199" s="480"/>
      <c r="AC199" s="480"/>
      <c r="AD199" s="480"/>
      <c r="AE199" s="495"/>
      <c r="AF199" s="480"/>
      <c r="AG199" s="480"/>
    </row>
    <row r="200" spans="1:33" s="471" customFormat="1" hidden="1">
      <c r="A200" s="420">
        <f t="shared" si="33"/>
        <v>190</v>
      </c>
      <c r="B200" s="585">
        <f t="shared" si="41"/>
        <v>0</v>
      </c>
      <c r="C200" s="533">
        <f t="shared" si="42"/>
        <v>0</v>
      </c>
      <c r="D200" s="533">
        <f t="shared" si="43"/>
        <v>0</v>
      </c>
      <c r="E200" s="420"/>
      <c r="F200" s="420" t="str">
        <f t="shared" si="44"/>
        <v>Vacant</v>
      </c>
      <c r="G200" s="586">
        <f t="shared" si="45"/>
        <v>0</v>
      </c>
      <c r="H200" s="581"/>
      <c r="J200" s="582">
        <f>HLOOKUP($J$7,'MR-Stat Data Sheet Bud'!$U$8:$AF$1081,$AA200,FALSE)</f>
        <v>0</v>
      </c>
      <c r="K200" s="582">
        <f>HLOOKUP($J$7,'MR-Stat Data Sheet Bud'!$AS$8:$BD$1081,$AA200,FALSE)</f>
        <v>0</v>
      </c>
      <c r="L200" s="582">
        <f t="shared" si="46"/>
        <v>0</v>
      </c>
      <c r="N200" s="582">
        <f>HLOOKUP($J$7,'MR-Stat Data Sheet Bud'!$BE$8:$BP$1081,$AA200,FALSE)</f>
        <v>0</v>
      </c>
      <c r="O200" s="582">
        <f>HLOOKUP($J$7,'MR-Stat Data Sheet Bud'!$AS$8:$BD$1081,$AA200,FALSE)</f>
        <v>0</v>
      </c>
      <c r="P200" s="582">
        <f t="shared" si="47"/>
        <v>0</v>
      </c>
      <c r="Q200" s="583"/>
      <c r="S200" s="599"/>
      <c r="T200" s="582">
        <v>0</v>
      </c>
      <c r="U200" s="583"/>
      <c r="V200" s="480"/>
      <c r="W200" s="495"/>
      <c r="X200" s="480"/>
      <c r="Y200" s="480"/>
      <c r="Z200" s="495"/>
      <c r="AA200" s="472">
        <f t="shared" si="32"/>
        <v>192</v>
      </c>
      <c r="AB200" s="480"/>
      <c r="AC200" s="480"/>
      <c r="AD200" s="480"/>
      <c r="AE200" s="495"/>
      <c r="AF200" s="480"/>
      <c r="AG200" s="480"/>
    </row>
    <row r="201" spans="1:33" s="471" customFormat="1" hidden="1">
      <c r="A201" s="420">
        <f t="shared" si="33"/>
        <v>191</v>
      </c>
      <c r="B201" s="585">
        <f t="shared" si="41"/>
        <v>0</v>
      </c>
      <c r="C201" s="533">
        <f t="shared" si="42"/>
        <v>0</v>
      </c>
      <c r="D201" s="533">
        <f t="shared" si="43"/>
        <v>0</v>
      </c>
      <c r="E201" s="420"/>
      <c r="F201" s="420" t="str">
        <f t="shared" si="44"/>
        <v>Vacant</v>
      </c>
      <c r="G201" s="586">
        <f t="shared" si="45"/>
        <v>0</v>
      </c>
      <c r="H201" s="581"/>
      <c r="J201" s="582">
        <f>HLOOKUP($J$7,'MR-Stat Data Sheet Bud'!$U$8:$AF$1081,$AA201,FALSE)</f>
        <v>0</v>
      </c>
      <c r="K201" s="582">
        <f>HLOOKUP($J$7,'MR-Stat Data Sheet Bud'!$AS$8:$BD$1081,$AA201,FALSE)</f>
        <v>0</v>
      </c>
      <c r="L201" s="582">
        <f t="shared" si="46"/>
        <v>0</v>
      </c>
      <c r="N201" s="582">
        <f>HLOOKUP($J$7,'MR-Stat Data Sheet Bud'!$BE$8:$BP$1081,$AA201,FALSE)</f>
        <v>0</v>
      </c>
      <c r="O201" s="582">
        <f>HLOOKUP($J$7,'MR-Stat Data Sheet Bud'!$AS$8:$BD$1081,$AA201,FALSE)</f>
        <v>0</v>
      </c>
      <c r="P201" s="582">
        <f t="shared" si="47"/>
        <v>0</v>
      </c>
      <c r="Q201" s="583"/>
      <c r="S201" s="599"/>
      <c r="T201" s="582">
        <v>0</v>
      </c>
      <c r="U201" s="583"/>
      <c r="V201" s="480"/>
      <c r="W201" s="495"/>
      <c r="X201" s="480"/>
      <c r="Y201" s="480"/>
      <c r="Z201" s="495"/>
      <c r="AA201" s="472">
        <f t="shared" si="32"/>
        <v>193</v>
      </c>
      <c r="AB201" s="480"/>
      <c r="AC201" s="480"/>
      <c r="AD201" s="480"/>
      <c r="AE201" s="495"/>
      <c r="AF201" s="480"/>
      <c r="AG201" s="480"/>
    </row>
    <row r="202" spans="1:33" s="471" customFormat="1" hidden="1">
      <c r="A202" s="420">
        <f t="shared" si="33"/>
        <v>192</v>
      </c>
      <c r="B202" s="585">
        <f t="shared" si="41"/>
        <v>0</v>
      </c>
      <c r="C202" s="533">
        <f t="shared" si="42"/>
        <v>0</v>
      </c>
      <c r="D202" s="533">
        <f t="shared" si="43"/>
        <v>0</v>
      </c>
      <c r="E202" s="420"/>
      <c r="F202" s="420" t="str">
        <f t="shared" si="44"/>
        <v>Vacant</v>
      </c>
      <c r="G202" s="586">
        <f t="shared" si="45"/>
        <v>0</v>
      </c>
      <c r="H202" s="581"/>
      <c r="J202" s="582">
        <f>HLOOKUP($J$7,'MR-Stat Data Sheet Bud'!$U$8:$AF$1081,$AA202,FALSE)</f>
        <v>0</v>
      </c>
      <c r="K202" s="582">
        <f>HLOOKUP($J$7,'MR-Stat Data Sheet Bud'!$AS$8:$BD$1081,$AA202,FALSE)</f>
        <v>0</v>
      </c>
      <c r="L202" s="582">
        <f t="shared" si="46"/>
        <v>0</v>
      </c>
      <c r="N202" s="582">
        <f>HLOOKUP($J$7,'MR-Stat Data Sheet Bud'!$BE$8:$BP$1081,$AA202,FALSE)</f>
        <v>0</v>
      </c>
      <c r="O202" s="582">
        <f>HLOOKUP($J$7,'MR-Stat Data Sheet Bud'!$AS$8:$BD$1081,$AA202,FALSE)</f>
        <v>0</v>
      </c>
      <c r="P202" s="582">
        <f t="shared" si="47"/>
        <v>0</v>
      </c>
      <c r="Q202" s="583"/>
      <c r="S202" s="599"/>
      <c r="T202" s="582">
        <v>0</v>
      </c>
      <c r="U202" s="583"/>
      <c r="V202" s="480"/>
      <c r="W202" s="495"/>
      <c r="X202" s="480"/>
      <c r="Y202" s="480"/>
      <c r="Z202" s="495"/>
      <c r="AA202" s="472">
        <f t="shared" si="32"/>
        <v>194</v>
      </c>
      <c r="AB202" s="480"/>
      <c r="AC202" s="480"/>
      <c r="AD202" s="480"/>
      <c r="AE202" s="495"/>
      <c r="AF202" s="480"/>
      <c r="AG202" s="480"/>
    </row>
    <row r="203" spans="1:33" s="471" customFormat="1" hidden="1">
      <c r="A203" s="420">
        <f t="shared" si="33"/>
        <v>193</v>
      </c>
      <c r="B203" s="585">
        <f t="shared" si="41"/>
        <v>0</v>
      </c>
      <c r="C203" s="533">
        <f t="shared" si="42"/>
        <v>0</v>
      </c>
      <c r="D203" s="533">
        <f t="shared" si="43"/>
        <v>0</v>
      </c>
      <c r="E203" s="420"/>
      <c r="F203" s="420" t="str">
        <f t="shared" si="44"/>
        <v>Vacant</v>
      </c>
      <c r="G203" s="586">
        <f t="shared" si="45"/>
        <v>0</v>
      </c>
      <c r="H203" s="581"/>
      <c r="J203" s="582">
        <f>HLOOKUP($J$7,'MR-Stat Data Sheet Bud'!$U$8:$AF$1081,$AA203,FALSE)</f>
        <v>0</v>
      </c>
      <c r="K203" s="582">
        <f>HLOOKUP($J$7,'MR-Stat Data Sheet Bud'!$AS$8:$BD$1081,$AA203,FALSE)</f>
        <v>0</v>
      </c>
      <c r="L203" s="582">
        <f t="shared" si="46"/>
        <v>0</v>
      </c>
      <c r="N203" s="582">
        <f>HLOOKUP($J$7,'MR-Stat Data Sheet Bud'!$BE$8:$BP$1081,$AA203,FALSE)</f>
        <v>0</v>
      </c>
      <c r="O203" s="582">
        <f>HLOOKUP($J$7,'MR-Stat Data Sheet Bud'!$AS$8:$BD$1081,$AA203,FALSE)</f>
        <v>0</v>
      </c>
      <c r="P203" s="582">
        <f t="shared" si="47"/>
        <v>0</v>
      </c>
      <c r="Q203" s="583"/>
      <c r="S203" s="599"/>
      <c r="T203" s="582">
        <v>0</v>
      </c>
      <c r="U203" s="583"/>
      <c r="V203" s="480"/>
      <c r="W203" s="495"/>
      <c r="X203" s="480"/>
      <c r="Y203" s="480"/>
      <c r="Z203" s="495"/>
      <c r="AA203" s="472">
        <f t="shared" si="32"/>
        <v>195</v>
      </c>
      <c r="AB203" s="480"/>
      <c r="AC203" s="480"/>
      <c r="AD203" s="480"/>
      <c r="AE203" s="495"/>
      <c r="AF203" s="480"/>
      <c r="AG203" s="480"/>
    </row>
    <row r="204" spans="1:33" s="471" customFormat="1" hidden="1">
      <c r="A204" s="420">
        <f t="shared" si="33"/>
        <v>194</v>
      </c>
      <c r="B204" s="585">
        <f t="shared" si="41"/>
        <v>0</v>
      </c>
      <c r="C204" s="533">
        <f t="shared" si="42"/>
        <v>0</v>
      </c>
      <c r="D204" s="533">
        <f t="shared" si="43"/>
        <v>0</v>
      </c>
      <c r="E204" s="420"/>
      <c r="F204" s="420" t="str">
        <f t="shared" si="44"/>
        <v>Vacant</v>
      </c>
      <c r="G204" s="586">
        <f t="shared" si="45"/>
        <v>0</v>
      </c>
      <c r="H204" s="581"/>
      <c r="J204" s="582">
        <f>HLOOKUP($J$7,'MR-Stat Data Sheet Bud'!$U$8:$AF$1081,$AA204,FALSE)</f>
        <v>0</v>
      </c>
      <c r="K204" s="582">
        <f>HLOOKUP($J$7,'MR-Stat Data Sheet Bud'!$AS$8:$BD$1081,$AA204,FALSE)</f>
        <v>0</v>
      </c>
      <c r="L204" s="582">
        <f t="shared" si="46"/>
        <v>0</v>
      </c>
      <c r="N204" s="582">
        <f>HLOOKUP($J$7,'MR-Stat Data Sheet Bud'!$BE$8:$BP$1081,$AA204,FALSE)</f>
        <v>0</v>
      </c>
      <c r="O204" s="582">
        <f>HLOOKUP($J$7,'MR-Stat Data Sheet Bud'!$AS$8:$BD$1081,$AA204,FALSE)</f>
        <v>0</v>
      </c>
      <c r="P204" s="582">
        <f t="shared" si="47"/>
        <v>0</v>
      </c>
      <c r="Q204" s="583"/>
      <c r="S204" s="599"/>
      <c r="T204" s="582">
        <v>0</v>
      </c>
      <c r="U204" s="583"/>
      <c r="V204" s="480"/>
      <c r="W204" s="495"/>
      <c r="X204" s="480"/>
      <c r="Y204" s="480"/>
      <c r="Z204" s="495"/>
      <c r="AA204" s="472">
        <f t="shared" ref="AA204:AA267" si="48">1+AA203</f>
        <v>196</v>
      </c>
      <c r="AB204" s="480"/>
      <c r="AC204" s="480"/>
      <c r="AD204" s="480"/>
      <c r="AE204" s="495"/>
      <c r="AF204" s="480"/>
      <c r="AG204" s="480"/>
    </row>
    <row r="205" spans="1:33" s="471" customFormat="1" hidden="1">
      <c r="A205" s="420">
        <f t="shared" si="33"/>
        <v>195</v>
      </c>
      <c r="B205" s="585">
        <f t="shared" si="41"/>
        <v>0</v>
      </c>
      <c r="C205" s="533">
        <f t="shared" si="42"/>
        <v>0</v>
      </c>
      <c r="D205" s="533">
        <f t="shared" si="43"/>
        <v>0</v>
      </c>
      <c r="E205" s="420"/>
      <c r="F205" s="420" t="str">
        <f t="shared" si="44"/>
        <v>Vacant</v>
      </c>
      <c r="G205" s="586">
        <f t="shared" si="45"/>
        <v>0</v>
      </c>
      <c r="H205" s="581"/>
      <c r="J205" s="582">
        <f>HLOOKUP($J$7,'MR-Stat Data Sheet Bud'!$U$8:$AF$1081,$AA205,FALSE)</f>
        <v>0</v>
      </c>
      <c r="K205" s="582">
        <f>HLOOKUP($J$7,'MR-Stat Data Sheet Bud'!$AS$8:$BD$1081,$AA205,FALSE)</f>
        <v>0</v>
      </c>
      <c r="L205" s="582">
        <f t="shared" si="46"/>
        <v>0</v>
      </c>
      <c r="N205" s="582">
        <f>HLOOKUP($J$7,'MR-Stat Data Sheet Bud'!$BE$8:$BP$1081,$AA205,FALSE)</f>
        <v>0</v>
      </c>
      <c r="O205" s="582">
        <f>HLOOKUP($J$7,'MR-Stat Data Sheet Bud'!$AS$8:$BD$1081,$AA205,FALSE)</f>
        <v>0</v>
      </c>
      <c r="P205" s="582">
        <f t="shared" si="47"/>
        <v>0</v>
      </c>
      <c r="Q205" s="583"/>
      <c r="S205" s="599"/>
      <c r="T205" s="582">
        <v>0</v>
      </c>
      <c r="U205" s="583"/>
      <c r="V205" s="480"/>
      <c r="W205" s="495"/>
      <c r="X205" s="480"/>
      <c r="Y205" s="480"/>
      <c r="Z205" s="495"/>
      <c r="AA205" s="472">
        <f t="shared" si="48"/>
        <v>197</v>
      </c>
      <c r="AB205" s="480"/>
      <c r="AC205" s="480"/>
      <c r="AD205" s="480"/>
      <c r="AE205" s="495"/>
      <c r="AF205" s="480"/>
      <c r="AG205" s="480"/>
    </row>
    <row r="206" spans="1:33" s="471" customFormat="1" hidden="1">
      <c r="A206" s="420">
        <f t="shared" si="33"/>
        <v>196</v>
      </c>
      <c r="B206" s="585">
        <f t="shared" si="41"/>
        <v>0</v>
      </c>
      <c r="C206" s="533">
        <f t="shared" si="42"/>
        <v>0</v>
      </c>
      <c r="D206" s="533">
        <f t="shared" si="43"/>
        <v>0</v>
      </c>
      <c r="E206" s="420"/>
      <c r="F206" s="420" t="str">
        <f t="shared" si="44"/>
        <v>Vacant</v>
      </c>
      <c r="G206" s="586">
        <f t="shared" si="45"/>
        <v>0</v>
      </c>
      <c r="H206" s="581"/>
      <c r="J206" s="582">
        <f>HLOOKUP($J$7,'MR-Stat Data Sheet Bud'!$U$8:$AF$1081,$AA206,FALSE)</f>
        <v>0</v>
      </c>
      <c r="K206" s="582">
        <f>HLOOKUP($J$7,'MR-Stat Data Sheet Bud'!$AS$8:$BD$1081,$AA206,FALSE)</f>
        <v>0</v>
      </c>
      <c r="L206" s="582">
        <f t="shared" si="46"/>
        <v>0</v>
      </c>
      <c r="N206" s="582">
        <f>HLOOKUP($J$7,'MR-Stat Data Sheet Bud'!$BE$8:$BP$1081,$AA206,FALSE)</f>
        <v>0</v>
      </c>
      <c r="O206" s="582">
        <f>HLOOKUP($J$7,'MR-Stat Data Sheet Bud'!$AS$8:$BD$1081,$AA206,FALSE)</f>
        <v>0</v>
      </c>
      <c r="P206" s="582">
        <f t="shared" si="47"/>
        <v>0</v>
      </c>
      <c r="Q206" s="583"/>
      <c r="S206" s="599"/>
      <c r="T206" s="582">
        <v>0</v>
      </c>
      <c r="U206" s="583"/>
      <c r="V206" s="480"/>
      <c r="W206" s="495"/>
      <c r="X206" s="480"/>
      <c r="Y206" s="480"/>
      <c r="Z206" s="495"/>
      <c r="AA206" s="472">
        <f t="shared" si="48"/>
        <v>198</v>
      </c>
      <c r="AB206" s="480"/>
      <c r="AC206" s="480"/>
      <c r="AD206" s="480"/>
      <c r="AE206" s="495"/>
      <c r="AF206" s="480"/>
      <c r="AG206" s="480"/>
    </row>
    <row r="207" spans="1:33" s="471" customFormat="1" hidden="1">
      <c r="A207" s="420">
        <f t="shared" ref="A207:A270" si="49">+A206+1</f>
        <v>197</v>
      </c>
      <c r="B207" s="585">
        <f t="shared" si="41"/>
        <v>0</v>
      </c>
      <c r="C207" s="533">
        <f t="shared" si="42"/>
        <v>0</v>
      </c>
      <c r="D207" s="533">
        <f t="shared" si="43"/>
        <v>0</v>
      </c>
      <c r="E207" s="420"/>
      <c r="F207" s="420" t="str">
        <f t="shared" si="44"/>
        <v>Vacant</v>
      </c>
      <c r="G207" s="586">
        <f t="shared" si="45"/>
        <v>0</v>
      </c>
      <c r="H207" s="581"/>
      <c r="J207" s="582">
        <f>HLOOKUP($J$7,'MR-Stat Data Sheet Bud'!$U$8:$AF$1081,$AA207,FALSE)</f>
        <v>0</v>
      </c>
      <c r="K207" s="582">
        <f>HLOOKUP($J$7,'MR-Stat Data Sheet Bud'!$AS$8:$BD$1081,$AA207,FALSE)</f>
        <v>0</v>
      </c>
      <c r="L207" s="582">
        <f t="shared" si="46"/>
        <v>0</v>
      </c>
      <c r="N207" s="582">
        <f>HLOOKUP($J$7,'MR-Stat Data Sheet Bud'!$BE$8:$BP$1081,$AA207,FALSE)</f>
        <v>0</v>
      </c>
      <c r="O207" s="582">
        <f>HLOOKUP($J$7,'MR-Stat Data Sheet Bud'!$AS$8:$BD$1081,$AA207,FALSE)</f>
        <v>0</v>
      </c>
      <c r="P207" s="582">
        <f t="shared" si="47"/>
        <v>0</v>
      </c>
      <c r="Q207" s="583"/>
      <c r="S207" s="599"/>
      <c r="T207" s="582">
        <v>0</v>
      </c>
      <c r="U207" s="583"/>
      <c r="V207" s="480"/>
      <c r="W207" s="495"/>
      <c r="X207" s="480"/>
      <c r="Y207" s="480"/>
      <c r="Z207" s="495"/>
      <c r="AA207" s="472">
        <f t="shared" si="48"/>
        <v>199</v>
      </c>
      <c r="AB207" s="480"/>
      <c r="AC207" s="480"/>
      <c r="AD207" s="480"/>
      <c r="AE207" s="495"/>
      <c r="AF207" s="480"/>
      <c r="AG207" s="480"/>
    </row>
    <row r="208" spans="1:33" s="471" customFormat="1" hidden="1">
      <c r="A208" s="420">
        <f t="shared" si="49"/>
        <v>198</v>
      </c>
      <c r="B208" s="585">
        <f t="shared" si="41"/>
        <v>0</v>
      </c>
      <c r="C208" s="533">
        <f t="shared" si="42"/>
        <v>0</v>
      </c>
      <c r="D208" s="533">
        <f t="shared" si="43"/>
        <v>0</v>
      </c>
      <c r="E208" s="420"/>
      <c r="F208" s="420" t="str">
        <f t="shared" si="44"/>
        <v>Vacant</v>
      </c>
      <c r="G208" s="586">
        <f t="shared" si="45"/>
        <v>0</v>
      </c>
      <c r="H208" s="581"/>
      <c r="J208" s="582">
        <f>HLOOKUP($J$7,'MR-Stat Data Sheet Bud'!$U$8:$AF$1081,$AA208,FALSE)</f>
        <v>0</v>
      </c>
      <c r="K208" s="582">
        <f>HLOOKUP($J$7,'MR-Stat Data Sheet Bud'!$AS$8:$BD$1081,$AA208,FALSE)</f>
        <v>0</v>
      </c>
      <c r="L208" s="582">
        <f t="shared" si="46"/>
        <v>0</v>
      </c>
      <c r="N208" s="582">
        <f>HLOOKUP($J$7,'MR-Stat Data Sheet Bud'!$BE$8:$BP$1081,$AA208,FALSE)</f>
        <v>0</v>
      </c>
      <c r="O208" s="582">
        <f>HLOOKUP($J$7,'MR-Stat Data Sheet Bud'!$AS$8:$BD$1081,$AA208,FALSE)</f>
        <v>0</v>
      </c>
      <c r="P208" s="582">
        <f t="shared" si="47"/>
        <v>0</v>
      </c>
      <c r="Q208" s="583"/>
      <c r="S208" s="599"/>
      <c r="T208" s="582">
        <v>0</v>
      </c>
      <c r="U208" s="583"/>
      <c r="V208" s="480"/>
      <c r="W208" s="495"/>
      <c r="X208" s="480"/>
      <c r="Y208" s="480"/>
      <c r="Z208" s="495"/>
      <c r="AA208" s="472">
        <f t="shared" si="48"/>
        <v>200</v>
      </c>
      <c r="AB208" s="480"/>
      <c r="AC208" s="480"/>
      <c r="AD208" s="480"/>
      <c r="AE208" s="495"/>
      <c r="AF208" s="480"/>
      <c r="AG208" s="480"/>
    </row>
    <row r="209" spans="1:33" s="471" customFormat="1" hidden="1">
      <c r="A209" s="420">
        <f t="shared" si="49"/>
        <v>199</v>
      </c>
      <c r="B209" s="585">
        <f t="shared" si="41"/>
        <v>0</v>
      </c>
      <c r="C209" s="533">
        <f t="shared" si="42"/>
        <v>0</v>
      </c>
      <c r="D209" s="533">
        <f t="shared" si="43"/>
        <v>0</v>
      </c>
      <c r="E209" s="420"/>
      <c r="F209" s="420" t="str">
        <f t="shared" si="44"/>
        <v>Vacant</v>
      </c>
      <c r="G209" s="586">
        <f t="shared" si="45"/>
        <v>0</v>
      </c>
      <c r="H209" s="581"/>
      <c r="J209" s="582">
        <f>HLOOKUP($J$7,'MR-Stat Data Sheet Bud'!$U$8:$AF$1081,$AA209,FALSE)</f>
        <v>0</v>
      </c>
      <c r="K209" s="582">
        <f>HLOOKUP($J$7,'MR-Stat Data Sheet Bud'!$AS$8:$BD$1081,$AA209,FALSE)</f>
        <v>0</v>
      </c>
      <c r="L209" s="582">
        <f t="shared" si="46"/>
        <v>0</v>
      </c>
      <c r="N209" s="582">
        <f>HLOOKUP($J$7,'MR-Stat Data Sheet Bud'!$BE$8:$BP$1081,$AA209,FALSE)</f>
        <v>0</v>
      </c>
      <c r="O209" s="582">
        <f>HLOOKUP($J$7,'MR-Stat Data Sheet Bud'!$AS$8:$BD$1081,$AA209,FALSE)</f>
        <v>0</v>
      </c>
      <c r="P209" s="582">
        <f t="shared" si="47"/>
        <v>0</v>
      </c>
      <c r="Q209" s="583"/>
      <c r="S209" s="599"/>
      <c r="T209" s="582">
        <v>0</v>
      </c>
      <c r="U209" s="583"/>
      <c r="V209" s="480"/>
      <c r="W209" s="495"/>
      <c r="X209" s="480"/>
      <c r="Y209" s="480"/>
      <c r="Z209" s="495"/>
      <c r="AA209" s="472">
        <f t="shared" si="48"/>
        <v>201</v>
      </c>
      <c r="AB209" s="480"/>
      <c r="AC209" s="480"/>
      <c r="AD209" s="480"/>
      <c r="AE209" s="495"/>
      <c r="AF209" s="480"/>
      <c r="AG209" s="480"/>
    </row>
    <row r="210" spans="1:33" s="471" customFormat="1" hidden="1">
      <c r="A210" s="420">
        <f t="shared" si="49"/>
        <v>200</v>
      </c>
      <c r="B210" s="585">
        <f t="shared" ref="B210:B241" si="50">VLOOKUP($A210,Suite_Data,2,FALSE)</f>
        <v>0</v>
      </c>
      <c r="C210" s="533">
        <f t="shared" ref="C210:C241" si="51">VLOOKUP($A210,Suite_Data,3,FALSE)</f>
        <v>0</v>
      </c>
      <c r="D210" s="533">
        <f t="shared" ref="D210:D241" si="52">VLOOKUP($A210,Suite_Data,4,FALSE)</f>
        <v>0</v>
      </c>
      <c r="E210" s="420"/>
      <c r="F210" s="420" t="str">
        <f t="shared" ref="F210:F241" si="53">IF(HLOOKUP($J$7,Actual_Sqft,AA210,FALSE)&gt;0,"Occupied","Vacant")</f>
        <v>Vacant</v>
      </c>
      <c r="G210" s="586">
        <f t="shared" ref="G210:G241" si="54">VLOOKUP($A210,Suite_Data,6,FALSE)</f>
        <v>0</v>
      </c>
      <c r="H210" s="581"/>
      <c r="J210" s="582">
        <f>HLOOKUP($J$7,'MR-Stat Data Sheet Bud'!$U$8:$AF$1081,$AA210,FALSE)</f>
        <v>0</v>
      </c>
      <c r="K210" s="582">
        <f>HLOOKUP($J$7,'MR-Stat Data Sheet Bud'!$AS$8:$BD$1081,$AA210,FALSE)</f>
        <v>0</v>
      </c>
      <c r="L210" s="582">
        <f t="shared" ref="L210:L241" si="55">+J210-K210</f>
        <v>0</v>
      </c>
      <c r="N210" s="582">
        <f>HLOOKUP($J$7,'MR-Stat Data Sheet Bud'!$BE$8:$BP$1081,$AA210,FALSE)</f>
        <v>0</v>
      </c>
      <c r="O210" s="582">
        <f>HLOOKUP($J$7,'MR-Stat Data Sheet Bud'!$AS$8:$BD$1081,$AA210,FALSE)</f>
        <v>0</v>
      </c>
      <c r="P210" s="582">
        <f t="shared" ref="P210:P241" si="56">+N210-O210</f>
        <v>0</v>
      </c>
      <c r="Q210" s="583"/>
      <c r="S210" s="599"/>
      <c r="T210" s="582">
        <v>0</v>
      </c>
      <c r="U210" s="583"/>
      <c r="V210" s="480"/>
      <c r="W210" s="495"/>
      <c r="X210" s="480"/>
      <c r="Y210" s="480"/>
      <c r="Z210" s="495"/>
      <c r="AA210" s="472">
        <f t="shared" si="48"/>
        <v>202</v>
      </c>
      <c r="AB210" s="480"/>
      <c r="AC210" s="480"/>
      <c r="AD210" s="480"/>
      <c r="AE210" s="495"/>
      <c r="AF210" s="480"/>
      <c r="AG210" s="480"/>
    </row>
    <row r="211" spans="1:33" s="471" customFormat="1" hidden="1">
      <c r="A211" s="420">
        <f t="shared" si="49"/>
        <v>201</v>
      </c>
      <c r="B211" s="585">
        <f t="shared" si="50"/>
        <v>0</v>
      </c>
      <c r="C211" s="533">
        <f t="shared" si="51"/>
        <v>0</v>
      </c>
      <c r="D211" s="533">
        <f t="shared" si="52"/>
        <v>0</v>
      </c>
      <c r="E211" s="420"/>
      <c r="F211" s="420" t="str">
        <f t="shared" si="53"/>
        <v>Vacant</v>
      </c>
      <c r="G211" s="586">
        <f t="shared" si="54"/>
        <v>0</v>
      </c>
      <c r="H211" s="581"/>
      <c r="J211" s="582">
        <f>HLOOKUP($J$7,'MR-Stat Data Sheet Bud'!$U$8:$AF$1081,$AA211,FALSE)</f>
        <v>0</v>
      </c>
      <c r="K211" s="582">
        <f>HLOOKUP($J$7,'MR-Stat Data Sheet Bud'!$AS$8:$BD$1081,$AA211,FALSE)</f>
        <v>0</v>
      </c>
      <c r="L211" s="582">
        <f t="shared" si="55"/>
        <v>0</v>
      </c>
      <c r="N211" s="582">
        <f>HLOOKUP($J$7,'MR-Stat Data Sheet Bud'!$BE$8:$BP$1081,$AA211,FALSE)</f>
        <v>0</v>
      </c>
      <c r="O211" s="582">
        <f>HLOOKUP($J$7,'MR-Stat Data Sheet Bud'!$AS$8:$BD$1081,$AA211,FALSE)</f>
        <v>0</v>
      </c>
      <c r="P211" s="582">
        <f t="shared" si="56"/>
        <v>0</v>
      </c>
      <c r="Q211" s="583"/>
      <c r="S211" s="599"/>
      <c r="T211" s="582">
        <v>0</v>
      </c>
      <c r="U211" s="583"/>
      <c r="V211" s="480"/>
      <c r="W211" s="495"/>
      <c r="X211" s="480"/>
      <c r="Y211" s="480"/>
      <c r="Z211" s="495"/>
      <c r="AA211" s="472">
        <f t="shared" si="48"/>
        <v>203</v>
      </c>
      <c r="AB211" s="480"/>
      <c r="AC211" s="480"/>
      <c r="AD211" s="480"/>
      <c r="AE211" s="495"/>
      <c r="AF211" s="480"/>
      <c r="AG211" s="480"/>
    </row>
    <row r="212" spans="1:33" s="471" customFormat="1" hidden="1">
      <c r="A212" s="420">
        <f t="shared" si="49"/>
        <v>202</v>
      </c>
      <c r="B212" s="585">
        <f t="shared" si="50"/>
        <v>0</v>
      </c>
      <c r="C212" s="533">
        <f t="shared" si="51"/>
        <v>0</v>
      </c>
      <c r="D212" s="533">
        <f t="shared" si="52"/>
        <v>0</v>
      </c>
      <c r="E212" s="420"/>
      <c r="F212" s="420" t="str">
        <f t="shared" si="53"/>
        <v>Vacant</v>
      </c>
      <c r="G212" s="586">
        <f t="shared" si="54"/>
        <v>0</v>
      </c>
      <c r="H212" s="581"/>
      <c r="J212" s="582">
        <f>HLOOKUP($J$7,'MR-Stat Data Sheet Bud'!$U$8:$AF$1081,$AA212,FALSE)</f>
        <v>0</v>
      </c>
      <c r="K212" s="582">
        <f>HLOOKUP($J$7,'MR-Stat Data Sheet Bud'!$AS$8:$BD$1081,$AA212,FALSE)</f>
        <v>0</v>
      </c>
      <c r="L212" s="582">
        <f t="shared" si="55"/>
        <v>0</v>
      </c>
      <c r="N212" s="582">
        <f>HLOOKUP($J$7,'MR-Stat Data Sheet Bud'!$BE$8:$BP$1081,$AA212,FALSE)</f>
        <v>0</v>
      </c>
      <c r="O212" s="582">
        <f>HLOOKUP($J$7,'MR-Stat Data Sheet Bud'!$AS$8:$BD$1081,$AA212,FALSE)</f>
        <v>0</v>
      </c>
      <c r="P212" s="582">
        <f t="shared" si="56"/>
        <v>0</v>
      </c>
      <c r="Q212" s="583"/>
      <c r="S212" s="599"/>
      <c r="T212" s="582">
        <v>0</v>
      </c>
      <c r="U212" s="583"/>
      <c r="V212" s="480"/>
      <c r="W212" s="495"/>
      <c r="X212" s="480"/>
      <c r="Y212" s="480"/>
      <c r="Z212" s="495"/>
      <c r="AA212" s="472">
        <f t="shared" si="48"/>
        <v>204</v>
      </c>
      <c r="AB212" s="480"/>
      <c r="AC212" s="480"/>
      <c r="AD212" s="480"/>
      <c r="AE212" s="495"/>
      <c r="AF212" s="480"/>
      <c r="AG212" s="480"/>
    </row>
    <row r="213" spans="1:33" s="471" customFormat="1" hidden="1">
      <c r="A213" s="420">
        <f t="shared" si="49"/>
        <v>203</v>
      </c>
      <c r="B213" s="585">
        <f t="shared" si="50"/>
        <v>0</v>
      </c>
      <c r="C213" s="533">
        <f t="shared" si="51"/>
        <v>0</v>
      </c>
      <c r="D213" s="533">
        <f t="shared" si="52"/>
        <v>0</v>
      </c>
      <c r="E213" s="420"/>
      <c r="F213" s="420" t="str">
        <f t="shared" si="53"/>
        <v>Vacant</v>
      </c>
      <c r="G213" s="586">
        <f t="shared" si="54"/>
        <v>0</v>
      </c>
      <c r="H213" s="581"/>
      <c r="J213" s="582">
        <f>HLOOKUP($J$7,'MR-Stat Data Sheet Bud'!$U$8:$AF$1081,$AA213,FALSE)</f>
        <v>0</v>
      </c>
      <c r="K213" s="582">
        <f>HLOOKUP($J$7,'MR-Stat Data Sheet Bud'!$AS$8:$BD$1081,$AA213,FALSE)</f>
        <v>0</v>
      </c>
      <c r="L213" s="582">
        <f t="shared" si="55"/>
        <v>0</v>
      </c>
      <c r="N213" s="582">
        <f>HLOOKUP($J$7,'MR-Stat Data Sheet Bud'!$BE$8:$BP$1081,$AA213,FALSE)</f>
        <v>0</v>
      </c>
      <c r="O213" s="582">
        <f>HLOOKUP($J$7,'MR-Stat Data Sheet Bud'!$AS$8:$BD$1081,$AA213,FALSE)</f>
        <v>0</v>
      </c>
      <c r="P213" s="582">
        <f t="shared" si="56"/>
        <v>0</v>
      </c>
      <c r="Q213" s="583"/>
      <c r="S213" s="599"/>
      <c r="T213" s="582">
        <v>0</v>
      </c>
      <c r="U213" s="583"/>
      <c r="V213" s="480"/>
      <c r="W213" s="495"/>
      <c r="X213" s="480"/>
      <c r="Y213" s="480"/>
      <c r="Z213" s="495"/>
      <c r="AA213" s="472">
        <f t="shared" si="48"/>
        <v>205</v>
      </c>
      <c r="AB213" s="480"/>
      <c r="AC213" s="480"/>
      <c r="AD213" s="480"/>
      <c r="AE213" s="495"/>
      <c r="AF213" s="480"/>
      <c r="AG213" s="480"/>
    </row>
    <row r="214" spans="1:33" s="471" customFormat="1" hidden="1">
      <c r="A214" s="420">
        <f t="shared" si="49"/>
        <v>204</v>
      </c>
      <c r="B214" s="585">
        <f t="shared" si="50"/>
        <v>0</v>
      </c>
      <c r="C214" s="533">
        <f t="shared" si="51"/>
        <v>0</v>
      </c>
      <c r="D214" s="533">
        <f t="shared" si="52"/>
        <v>0</v>
      </c>
      <c r="E214" s="420"/>
      <c r="F214" s="420" t="str">
        <f t="shared" si="53"/>
        <v>Vacant</v>
      </c>
      <c r="G214" s="586">
        <f t="shared" si="54"/>
        <v>0</v>
      </c>
      <c r="H214" s="581"/>
      <c r="J214" s="582">
        <f>HLOOKUP($J$7,'MR-Stat Data Sheet Bud'!$U$8:$AF$1081,$AA214,FALSE)</f>
        <v>0</v>
      </c>
      <c r="K214" s="582">
        <f>HLOOKUP($J$7,'MR-Stat Data Sheet Bud'!$AS$8:$BD$1081,$AA214,FALSE)</f>
        <v>0</v>
      </c>
      <c r="L214" s="582">
        <f t="shared" si="55"/>
        <v>0</v>
      </c>
      <c r="N214" s="582">
        <f>HLOOKUP($J$7,'MR-Stat Data Sheet Bud'!$BE$8:$BP$1081,$AA214,FALSE)</f>
        <v>0</v>
      </c>
      <c r="O214" s="582">
        <f>HLOOKUP($J$7,'MR-Stat Data Sheet Bud'!$AS$8:$BD$1081,$AA214,FALSE)</f>
        <v>0</v>
      </c>
      <c r="P214" s="582">
        <f t="shared" si="56"/>
        <v>0</v>
      </c>
      <c r="Q214" s="583"/>
      <c r="S214" s="599"/>
      <c r="T214" s="582">
        <v>0</v>
      </c>
      <c r="U214" s="583"/>
      <c r="V214" s="480"/>
      <c r="W214" s="495"/>
      <c r="X214" s="480"/>
      <c r="Y214" s="480"/>
      <c r="Z214" s="495"/>
      <c r="AA214" s="472">
        <f t="shared" si="48"/>
        <v>206</v>
      </c>
      <c r="AB214" s="480"/>
      <c r="AC214" s="480"/>
      <c r="AD214" s="480"/>
      <c r="AE214" s="495"/>
      <c r="AF214" s="480"/>
      <c r="AG214" s="480"/>
    </row>
    <row r="215" spans="1:33" s="471" customFormat="1" hidden="1">
      <c r="A215" s="420">
        <f t="shared" si="49"/>
        <v>205</v>
      </c>
      <c r="B215" s="585">
        <f t="shared" si="50"/>
        <v>0</v>
      </c>
      <c r="C215" s="533">
        <f t="shared" si="51"/>
        <v>0</v>
      </c>
      <c r="D215" s="533">
        <f t="shared" si="52"/>
        <v>0</v>
      </c>
      <c r="E215" s="420"/>
      <c r="F215" s="420" t="str">
        <f t="shared" si="53"/>
        <v>Vacant</v>
      </c>
      <c r="G215" s="586">
        <f t="shared" si="54"/>
        <v>0</v>
      </c>
      <c r="H215" s="581"/>
      <c r="J215" s="582">
        <f>HLOOKUP($J$7,'MR-Stat Data Sheet Bud'!$U$8:$AF$1081,$AA215,FALSE)</f>
        <v>0</v>
      </c>
      <c r="K215" s="582">
        <f>HLOOKUP($J$7,'MR-Stat Data Sheet Bud'!$AS$8:$BD$1081,$AA215,FALSE)</f>
        <v>0</v>
      </c>
      <c r="L215" s="582">
        <f t="shared" si="55"/>
        <v>0</v>
      </c>
      <c r="N215" s="582">
        <f>HLOOKUP($J$7,'MR-Stat Data Sheet Bud'!$BE$8:$BP$1081,$AA215,FALSE)</f>
        <v>0</v>
      </c>
      <c r="O215" s="582">
        <f>HLOOKUP($J$7,'MR-Stat Data Sheet Bud'!$AS$8:$BD$1081,$AA215,FALSE)</f>
        <v>0</v>
      </c>
      <c r="P215" s="582">
        <f t="shared" si="56"/>
        <v>0</v>
      </c>
      <c r="Q215" s="583"/>
      <c r="S215" s="599"/>
      <c r="T215" s="582">
        <v>0</v>
      </c>
      <c r="U215" s="583"/>
      <c r="V215" s="480"/>
      <c r="W215" s="495"/>
      <c r="X215" s="480"/>
      <c r="Y215" s="480"/>
      <c r="Z215" s="495"/>
      <c r="AA215" s="472">
        <f t="shared" si="48"/>
        <v>207</v>
      </c>
      <c r="AB215" s="480"/>
      <c r="AC215" s="480"/>
      <c r="AD215" s="480"/>
      <c r="AE215" s="495"/>
      <c r="AF215" s="480"/>
      <c r="AG215" s="480"/>
    </row>
    <row r="216" spans="1:33" s="471" customFormat="1" hidden="1">
      <c r="A216" s="420">
        <f t="shared" si="49"/>
        <v>206</v>
      </c>
      <c r="B216" s="585">
        <f t="shared" si="50"/>
        <v>0</v>
      </c>
      <c r="C216" s="533">
        <f t="shared" si="51"/>
        <v>0</v>
      </c>
      <c r="D216" s="533">
        <f t="shared" si="52"/>
        <v>0</v>
      </c>
      <c r="E216" s="420"/>
      <c r="F216" s="420" t="str">
        <f t="shared" si="53"/>
        <v>Vacant</v>
      </c>
      <c r="G216" s="586">
        <f t="shared" si="54"/>
        <v>0</v>
      </c>
      <c r="H216" s="581"/>
      <c r="J216" s="582">
        <f>HLOOKUP($J$7,'MR-Stat Data Sheet Bud'!$U$8:$AF$1081,$AA216,FALSE)</f>
        <v>0</v>
      </c>
      <c r="K216" s="582">
        <f>HLOOKUP($J$7,'MR-Stat Data Sheet Bud'!$AS$8:$BD$1081,$AA216,FALSE)</f>
        <v>0</v>
      </c>
      <c r="L216" s="582">
        <f t="shared" si="55"/>
        <v>0</v>
      </c>
      <c r="N216" s="582">
        <f>HLOOKUP($J$7,'MR-Stat Data Sheet Bud'!$BE$8:$BP$1081,$AA216,FALSE)</f>
        <v>0</v>
      </c>
      <c r="O216" s="582">
        <f>HLOOKUP($J$7,'MR-Stat Data Sheet Bud'!$AS$8:$BD$1081,$AA216,FALSE)</f>
        <v>0</v>
      </c>
      <c r="P216" s="582">
        <f t="shared" si="56"/>
        <v>0</v>
      </c>
      <c r="Q216" s="583"/>
      <c r="S216" s="599"/>
      <c r="T216" s="582">
        <v>0</v>
      </c>
      <c r="U216" s="583"/>
      <c r="V216" s="480"/>
      <c r="W216" s="495"/>
      <c r="X216" s="480"/>
      <c r="Y216" s="480"/>
      <c r="Z216" s="495"/>
      <c r="AA216" s="472">
        <f t="shared" si="48"/>
        <v>208</v>
      </c>
      <c r="AB216" s="480"/>
      <c r="AC216" s="480"/>
      <c r="AD216" s="480"/>
      <c r="AE216" s="495"/>
      <c r="AF216" s="480"/>
      <c r="AG216" s="480"/>
    </row>
    <row r="217" spans="1:33" s="471" customFormat="1" hidden="1">
      <c r="A217" s="420">
        <f t="shared" si="49"/>
        <v>207</v>
      </c>
      <c r="B217" s="585">
        <f t="shared" si="50"/>
        <v>0</v>
      </c>
      <c r="C217" s="533">
        <f t="shared" si="51"/>
        <v>0</v>
      </c>
      <c r="D217" s="533">
        <f t="shared" si="52"/>
        <v>0</v>
      </c>
      <c r="E217" s="420"/>
      <c r="F217" s="420" t="str">
        <f t="shared" si="53"/>
        <v>Vacant</v>
      </c>
      <c r="G217" s="586">
        <f t="shared" si="54"/>
        <v>0</v>
      </c>
      <c r="H217" s="581"/>
      <c r="J217" s="582">
        <f>HLOOKUP($J$7,'MR-Stat Data Sheet Bud'!$U$8:$AF$1081,$AA217,FALSE)</f>
        <v>0</v>
      </c>
      <c r="K217" s="582">
        <f>HLOOKUP($J$7,'MR-Stat Data Sheet Bud'!$AS$8:$BD$1081,$AA217,FALSE)</f>
        <v>0</v>
      </c>
      <c r="L217" s="582">
        <f t="shared" si="55"/>
        <v>0</v>
      </c>
      <c r="N217" s="582">
        <f>HLOOKUP($J$7,'MR-Stat Data Sheet Bud'!$BE$8:$BP$1081,$AA217,FALSE)</f>
        <v>0</v>
      </c>
      <c r="O217" s="582">
        <f>HLOOKUP($J$7,'MR-Stat Data Sheet Bud'!$AS$8:$BD$1081,$AA217,FALSE)</f>
        <v>0</v>
      </c>
      <c r="P217" s="582">
        <f t="shared" si="56"/>
        <v>0</v>
      </c>
      <c r="Q217" s="583"/>
      <c r="S217" s="599"/>
      <c r="T217" s="582">
        <v>0</v>
      </c>
      <c r="U217" s="583"/>
      <c r="V217" s="480"/>
      <c r="W217" s="495"/>
      <c r="X217" s="480"/>
      <c r="Y217" s="480"/>
      <c r="Z217" s="495"/>
      <c r="AA217" s="472">
        <f t="shared" si="48"/>
        <v>209</v>
      </c>
      <c r="AB217" s="480"/>
      <c r="AC217" s="480"/>
      <c r="AD217" s="480"/>
      <c r="AE217" s="495"/>
      <c r="AF217" s="480"/>
      <c r="AG217" s="480"/>
    </row>
    <row r="218" spans="1:33" s="471" customFormat="1" hidden="1">
      <c r="A218" s="420">
        <f t="shared" si="49"/>
        <v>208</v>
      </c>
      <c r="B218" s="585">
        <f t="shared" si="50"/>
        <v>0</v>
      </c>
      <c r="C218" s="533">
        <f t="shared" si="51"/>
        <v>0</v>
      </c>
      <c r="D218" s="533">
        <f t="shared" si="52"/>
        <v>0</v>
      </c>
      <c r="E218" s="420"/>
      <c r="F218" s="420" t="str">
        <f t="shared" si="53"/>
        <v>Vacant</v>
      </c>
      <c r="G218" s="586">
        <f t="shared" si="54"/>
        <v>0</v>
      </c>
      <c r="H218" s="581"/>
      <c r="J218" s="582">
        <f>HLOOKUP($J$7,'MR-Stat Data Sheet Bud'!$U$8:$AF$1081,$AA218,FALSE)</f>
        <v>0</v>
      </c>
      <c r="K218" s="582">
        <f>HLOOKUP($J$7,'MR-Stat Data Sheet Bud'!$AS$8:$BD$1081,$AA218,FALSE)</f>
        <v>0</v>
      </c>
      <c r="L218" s="582">
        <f t="shared" si="55"/>
        <v>0</v>
      </c>
      <c r="N218" s="582">
        <f>HLOOKUP($J$7,'MR-Stat Data Sheet Bud'!$BE$8:$BP$1081,$AA218,FALSE)</f>
        <v>0</v>
      </c>
      <c r="O218" s="582">
        <f>HLOOKUP($J$7,'MR-Stat Data Sheet Bud'!$AS$8:$BD$1081,$AA218,FALSE)</f>
        <v>0</v>
      </c>
      <c r="P218" s="582">
        <f t="shared" si="56"/>
        <v>0</v>
      </c>
      <c r="Q218" s="583"/>
      <c r="S218" s="599"/>
      <c r="T218" s="582">
        <v>0</v>
      </c>
      <c r="U218" s="583"/>
      <c r="V218" s="480"/>
      <c r="W218" s="495"/>
      <c r="X218" s="480"/>
      <c r="Y218" s="480"/>
      <c r="Z218" s="495"/>
      <c r="AA218" s="472">
        <f t="shared" si="48"/>
        <v>210</v>
      </c>
      <c r="AB218" s="480"/>
      <c r="AC218" s="480"/>
      <c r="AD218" s="480"/>
      <c r="AE218" s="495"/>
      <c r="AF218" s="480"/>
      <c r="AG218" s="480"/>
    </row>
    <row r="219" spans="1:33" s="471" customFormat="1" hidden="1">
      <c r="A219" s="420">
        <f t="shared" si="49"/>
        <v>209</v>
      </c>
      <c r="B219" s="585">
        <f t="shared" si="50"/>
        <v>0</v>
      </c>
      <c r="C219" s="533">
        <f t="shared" si="51"/>
        <v>0</v>
      </c>
      <c r="D219" s="533">
        <f t="shared" si="52"/>
        <v>0</v>
      </c>
      <c r="E219" s="420"/>
      <c r="F219" s="420" t="str">
        <f t="shared" si="53"/>
        <v>Vacant</v>
      </c>
      <c r="G219" s="586">
        <f t="shared" si="54"/>
        <v>0</v>
      </c>
      <c r="H219" s="581"/>
      <c r="J219" s="582">
        <f>HLOOKUP($J$7,'MR-Stat Data Sheet Bud'!$U$8:$AF$1081,$AA219,FALSE)</f>
        <v>0</v>
      </c>
      <c r="K219" s="582">
        <f>HLOOKUP($J$7,'MR-Stat Data Sheet Bud'!$AS$8:$BD$1081,$AA219,FALSE)</f>
        <v>0</v>
      </c>
      <c r="L219" s="582">
        <f t="shared" si="55"/>
        <v>0</v>
      </c>
      <c r="N219" s="582">
        <f>HLOOKUP($J$7,'MR-Stat Data Sheet Bud'!$BE$8:$BP$1081,$AA219,FALSE)</f>
        <v>0</v>
      </c>
      <c r="O219" s="582">
        <f>HLOOKUP($J$7,'MR-Stat Data Sheet Bud'!$AS$8:$BD$1081,$AA219,FALSE)</f>
        <v>0</v>
      </c>
      <c r="P219" s="582">
        <f t="shared" si="56"/>
        <v>0</v>
      </c>
      <c r="Q219" s="583"/>
      <c r="S219" s="599"/>
      <c r="T219" s="582">
        <v>0</v>
      </c>
      <c r="U219" s="583"/>
      <c r="V219" s="480"/>
      <c r="W219" s="495"/>
      <c r="X219" s="480"/>
      <c r="Y219" s="480"/>
      <c r="Z219" s="495"/>
      <c r="AA219" s="472">
        <f t="shared" si="48"/>
        <v>211</v>
      </c>
      <c r="AB219" s="480"/>
      <c r="AC219" s="480"/>
      <c r="AD219" s="480"/>
      <c r="AE219" s="495"/>
      <c r="AF219" s="480"/>
      <c r="AG219" s="480"/>
    </row>
    <row r="220" spans="1:33" s="471" customFormat="1" hidden="1">
      <c r="A220" s="420">
        <f t="shared" si="49"/>
        <v>210</v>
      </c>
      <c r="B220" s="585">
        <f t="shared" si="50"/>
        <v>0</v>
      </c>
      <c r="C220" s="533">
        <f t="shared" si="51"/>
        <v>0</v>
      </c>
      <c r="D220" s="533">
        <f t="shared" si="52"/>
        <v>0</v>
      </c>
      <c r="E220" s="420"/>
      <c r="F220" s="420" t="str">
        <f t="shared" si="53"/>
        <v>Vacant</v>
      </c>
      <c r="G220" s="586">
        <f t="shared" si="54"/>
        <v>0</v>
      </c>
      <c r="H220" s="581"/>
      <c r="J220" s="582">
        <f>HLOOKUP($J$7,'MR-Stat Data Sheet Bud'!$U$8:$AF$1081,$AA220,FALSE)</f>
        <v>0</v>
      </c>
      <c r="K220" s="582">
        <f>HLOOKUP($J$7,'MR-Stat Data Sheet Bud'!$AS$8:$BD$1081,$AA220,FALSE)</f>
        <v>0</v>
      </c>
      <c r="L220" s="582">
        <f t="shared" si="55"/>
        <v>0</v>
      </c>
      <c r="N220" s="582">
        <f>HLOOKUP($J$7,'MR-Stat Data Sheet Bud'!$BE$8:$BP$1081,$AA220,FALSE)</f>
        <v>0</v>
      </c>
      <c r="O220" s="582">
        <f>HLOOKUP($J$7,'MR-Stat Data Sheet Bud'!$AS$8:$BD$1081,$AA220,FALSE)</f>
        <v>0</v>
      </c>
      <c r="P220" s="582">
        <f t="shared" si="56"/>
        <v>0</v>
      </c>
      <c r="Q220" s="583"/>
      <c r="S220" s="599"/>
      <c r="T220" s="582">
        <v>0</v>
      </c>
      <c r="U220" s="583"/>
      <c r="V220" s="480"/>
      <c r="W220" s="495"/>
      <c r="X220" s="480"/>
      <c r="Y220" s="480"/>
      <c r="Z220" s="495"/>
      <c r="AA220" s="472">
        <f t="shared" si="48"/>
        <v>212</v>
      </c>
      <c r="AB220" s="480"/>
      <c r="AC220" s="480"/>
      <c r="AD220" s="480"/>
      <c r="AE220" s="495"/>
      <c r="AF220" s="480"/>
      <c r="AG220" s="480"/>
    </row>
    <row r="221" spans="1:33" s="471" customFormat="1" hidden="1">
      <c r="A221" s="420">
        <f t="shared" si="49"/>
        <v>211</v>
      </c>
      <c r="B221" s="585">
        <f t="shared" si="50"/>
        <v>0</v>
      </c>
      <c r="C221" s="533">
        <f t="shared" si="51"/>
        <v>0</v>
      </c>
      <c r="D221" s="533">
        <f t="shared" si="52"/>
        <v>0</v>
      </c>
      <c r="E221" s="420"/>
      <c r="F221" s="420" t="str">
        <f t="shared" si="53"/>
        <v>Vacant</v>
      </c>
      <c r="G221" s="586">
        <f t="shared" si="54"/>
        <v>0</v>
      </c>
      <c r="H221" s="581"/>
      <c r="J221" s="582">
        <f>HLOOKUP($J$7,'MR-Stat Data Sheet Bud'!$U$8:$AF$1081,$AA221,FALSE)</f>
        <v>0</v>
      </c>
      <c r="K221" s="582">
        <f>HLOOKUP($J$7,'MR-Stat Data Sheet Bud'!$AS$8:$BD$1081,$AA221,FALSE)</f>
        <v>0</v>
      </c>
      <c r="L221" s="582">
        <f t="shared" si="55"/>
        <v>0</v>
      </c>
      <c r="N221" s="582">
        <f>HLOOKUP($J$7,'MR-Stat Data Sheet Bud'!$BE$8:$BP$1081,$AA221,FALSE)</f>
        <v>0</v>
      </c>
      <c r="O221" s="582">
        <f>HLOOKUP($J$7,'MR-Stat Data Sheet Bud'!$AS$8:$BD$1081,$AA221,FALSE)</f>
        <v>0</v>
      </c>
      <c r="P221" s="582">
        <f t="shared" si="56"/>
        <v>0</v>
      </c>
      <c r="Q221" s="583"/>
      <c r="S221" s="599"/>
      <c r="T221" s="582">
        <v>0</v>
      </c>
      <c r="U221" s="583"/>
      <c r="V221" s="480"/>
      <c r="W221" s="495"/>
      <c r="X221" s="480"/>
      <c r="Y221" s="480"/>
      <c r="Z221" s="495"/>
      <c r="AA221" s="472">
        <f t="shared" si="48"/>
        <v>213</v>
      </c>
      <c r="AB221" s="480"/>
      <c r="AC221" s="480"/>
      <c r="AD221" s="480"/>
      <c r="AE221" s="495"/>
      <c r="AF221" s="480"/>
      <c r="AG221" s="480"/>
    </row>
    <row r="222" spans="1:33" s="471" customFormat="1" hidden="1">
      <c r="A222" s="420">
        <f t="shared" si="49"/>
        <v>212</v>
      </c>
      <c r="B222" s="585">
        <f t="shared" si="50"/>
        <v>0</v>
      </c>
      <c r="C222" s="533">
        <f t="shared" si="51"/>
        <v>0</v>
      </c>
      <c r="D222" s="533">
        <f t="shared" si="52"/>
        <v>0</v>
      </c>
      <c r="E222" s="420"/>
      <c r="F222" s="420" t="str">
        <f t="shared" si="53"/>
        <v>Vacant</v>
      </c>
      <c r="G222" s="586">
        <f t="shared" si="54"/>
        <v>0</v>
      </c>
      <c r="H222" s="581"/>
      <c r="J222" s="582">
        <f>HLOOKUP($J$7,'MR-Stat Data Sheet Bud'!$U$8:$AF$1081,$AA222,FALSE)</f>
        <v>0</v>
      </c>
      <c r="K222" s="582">
        <f>HLOOKUP($J$7,'MR-Stat Data Sheet Bud'!$AS$8:$BD$1081,$AA222,FALSE)</f>
        <v>0</v>
      </c>
      <c r="L222" s="582">
        <f t="shared" si="55"/>
        <v>0</v>
      </c>
      <c r="N222" s="582">
        <f>HLOOKUP($J$7,'MR-Stat Data Sheet Bud'!$BE$8:$BP$1081,$AA222,FALSE)</f>
        <v>0</v>
      </c>
      <c r="O222" s="582">
        <f>HLOOKUP($J$7,'MR-Stat Data Sheet Bud'!$AS$8:$BD$1081,$AA222,FALSE)</f>
        <v>0</v>
      </c>
      <c r="P222" s="582">
        <f t="shared" si="56"/>
        <v>0</v>
      </c>
      <c r="Q222" s="583"/>
      <c r="S222" s="599"/>
      <c r="T222" s="582">
        <v>0</v>
      </c>
      <c r="U222" s="583"/>
      <c r="V222" s="480"/>
      <c r="W222" s="495"/>
      <c r="X222" s="480"/>
      <c r="Y222" s="480"/>
      <c r="Z222" s="495"/>
      <c r="AA222" s="472">
        <f t="shared" si="48"/>
        <v>214</v>
      </c>
      <c r="AB222" s="480"/>
      <c r="AC222" s="480"/>
      <c r="AD222" s="480"/>
      <c r="AE222" s="495"/>
      <c r="AF222" s="480"/>
      <c r="AG222" s="480"/>
    </row>
    <row r="223" spans="1:33" s="471" customFormat="1" hidden="1">
      <c r="A223" s="420">
        <f t="shared" si="49"/>
        <v>213</v>
      </c>
      <c r="B223" s="585">
        <f t="shared" si="50"/>
        <v>0</v>
      </c>
      <c r="C223" s="533">
        <f t="shared" si="51"/>
        <v>0</v>
      </c>
      <c r="D223" s="533">
        <f t="shared" si="52"/>
        <v>0</v>
      </c>
      <c r="E223" s="420"/>
      <c r="F223" s="420" t="str">
        <f t="shared" si="53"/>
        <v>Vacant</v>
      </c>
      <c r="G223" s="586">
        <f t="shared" si="54"/>
        <v>0</v>
      </c>
      <c r="H223" s="581"/>
      <c r="J223" s="582">
        <f>HLOOKUP($J$7,'MR-Stat Data Sheet Bud'!$U$8:$AF$1081,$AA223,FALSE)</f>
        <v>0</v>
      </c>
      <c r="K223" s="582">
        <f>HLOOKUP($J$7,'MR-Stat Data Sheet Bud'!$AS$8:$BD$1081,$AA223,FALSE)</f>
        <v>0</v>
      </c>
      <c r="L223" s="582">
        <f t="shared" si="55"/>
        <v>0</v>
      </c>
      <c r="N223" s="582">
        <f>HLOOKUP($J$7,'MR-Stat Data Sheet Bud'!$BE$8:$BP$1081,$AA223,FALSE)</f>
        <v>0</v>
      </c>
      <c r="O223" s="582">
        <f>HLOOKUP($J$7,'MR-Stat Data Sheet Bud'!$AS$8:$BD$1081,$AA223,FALSE)</f>
        <v>0</v>
      </c>
      <c r="P223" s="582">
        <f t="shared" si="56"/>
        <v>0</v>
      </c>
      <c r="Q223" s="583"/>
      <c r="S223" s="599"/>
      <c r="T223" s="582">
        <v>0</v>
      </c>
      <c r="U223" s="583"/>
      <c r="V223" s="480"/>
      <c r="W223" s="495"/>
      <c r="X223" s="480"/>
      <c r="Y223" s="480"/>
      <c r="Z223" s="495"/>
      <c r="AA223" s="472">
        <f t="shared" si="48"/>
        <v>215</v>
      </c>
      <c r="AB223" s="480"/>
      <c r="AC223" s="480"/>
      <c r="AD223" s="480"/>
      <c r="AE223" s="495"/>
      <c r="AF223" s="480"/>
      <c r="AG223" s="480"/>
    </row>
    <row r="224" spans="1:33" s="471" customFormat="1" hidden="1">
      <c r="A224" s="420">
        <f t="shared" si="49"/>
        <v>214</v>
      </c>
      <c r="B224" s="585">
        <f t="shared" si="50"/>
        <v>0</v>
      </c>
      <c r="C224" s="533">
        <f t="shared" si="51"/>
        <v>0</v>
      </c>
      <c r="D224" s="533">
        <f t="shared" si="52"/>
        <v>0</v>
      </c>
      <c r="E224" s="420"/>
      <c r="F224" s="420" t="str">
        <f t="shared" si="53"/>
        <v>Vacant</v>
      </c>
      <c r="G224" s="586">
        <f t="shared" si="54"/>
        <v>0</v>
      </c>
      <c r="H224" s="581"/>
      <c r="J224" s="582">
        <f>HLOOKUP($J$7,'MR-Stat Data Sheet Bud'!$U$8:$AF$1081,$AA224,FALSE)</f>
        <v>0</v>
      </c>
      <c r="K224" s="582">
        <f>HLOOKUP($J$7,'MR-Stat Data Sheet Bud'!$AS$8:$BD$1081,$AA224,FALSE)</f>
        <v>0</v>
      </c>
      <c r="L224" s="582">
        <f t="shared" si="55"/>
        <v>0</v>
      </c>
      <c r="N224" s="582">
        <f>HLOOKUP($J$7,'MR-Stat Data Sheet Bud'!$BE$8:$BP$1081,$AA224,FALSE)</f>
        <v>0</v>
      </c>
      <c r="O224" s="582">
        <f>HLOOKUP($J$7,'MR-Stat Data Sheet Bud'!$AS$8:$BD$1081,$AA224,FALSE)</f>
        <v>0</v>
      </c>
      <c r="P224" s="582">
        <f t="shared" si="56"/>
        <v>0</v>
      </c>
      <c r="Q224" s="583"/>
      <c r="S224" s="599"/>
      <c r="T224" s="582">
        <v>0</v>
      </c>
      <c r="U224" s="583"/>
      <c r="V224" s="480"/>
      <c r="W224" s="495"/>
      <c r="X224" s="480"/>
      <c r="Y224" s="480"/>
      <c r="Z224" s="495"/>
      <c r="AA224" s="472">
        <f t="shared" si="48"/>
        <v>216</v>
      </c>
      <c r="AB224" s="480"/>
      <c r="AC224" s="480"/>
      <c r="AD224" s="480"/>
      <c r="AE224" s="495"/>
      <c r="AF224" s="480"/>
      <c r="AG224" s="480"/>
    </row>
    <row r="225" spans="1:33" s="471" customFormat="1" hidden="1">
      <c r="A225" s="420">
        <f t="shared" si="49"/>
        <v>215</v>
      </c>
      <c r="B225" s="585">
        <f t="shared" si="50"/>
        <v>0</v>
      </c>
      <c r="C225" s="533">
        <f t="shared" si="51"/>
        <v>0</v>
      </c>
      <c r="D225" s="533">
        <f t="shared" si="52"/>
        <v>0</v>
      </c>
      <c r="E225" s="420"/>
      <c r="F225" s="420" t="str">
        <f t="shared" si="53"/>
        <v>Vacant</v>
      </c>
      <c r="G225" s="586">
        <f t="shared" si="54"/>
        <v>0</v>
      </c>
      <c r="H225" s="581"/>
      <c r="J225" s="582">
        <f>HLOOKUP($J$7,'MR-Stat Data Sheet Bud'!$U$8:$AF$1081,$AA225,FALSE)</f>
        <v>0</v>
      </c>
      <c r="K225" s="582">
        <f>HLOOKUP($J$7,'MR-Stat Data Sheet Bud'!$AS$8:$BD$1081,$AA225,FALSE)</f>
        <v>0</v>
      </c>
      <c r="L225" s="582">
        <f t="shared" si="55"/>
        <v>0</v>
      </c>
      <c r="N225" s="582">
        <f>HLOOKUP($J$7,'MR-Stat Data Sheet Bud'!$BE$8:$BP$1081,$AA225,FALSE)</f>
        <v>0</v>
      </c>
      <c r="O225" s="582">
        <f>HLOOKUP($J$7,'MR-Stat Data Sheet Bud'!$AS$8:$BD$1081,$AA225,FALSE)</f>
        <v>0</v>
      </c>
      <c r="P225" s="582">
        <f t="shared" si="56"/>
        <v>0</v>
      </c>
      <c r="Q225" s="583"/>
      <c r="S225" s="599"/>
      <c r="T225" s="582">
        <v>0</v>
      </c>
      <c r="U225" s="583"/>
      <c r="V225" s="480"/>
      <c r="W225" s="495"/>
      <c r="X225" s="480"/>
      <c r="Y225" s="480"/>
      <c r="Z225" s="495"/>
      <c r="AA225" s="472">
        <f t="shared" si="48"/>
        <v>217</v>
      </c>
      <c r="AB225" s="480"/>
      <c r="AC225" s="480"/>
      <c r="AD225" s="480"/>
      <c r="AE225" s="495"/>
      <c r="AF225" s="480"/>
      <c r="AG225" s="480"/>
    </row>
    <row r="226" spans="1:33" s="471" customFormat="1" hidden="1">
      <c r="A226" s="420">
        <f t="shared" si="49"/>
        <v>216</v>
      </c>
      <c r="B226" s="585">
        <f t="shared" si="50"/>
        <v>0</v>
      </c>
      <c r="C226" s="533">
        <f t="shared" si="51"/>
        <v>0</v>
      </c>
      <c r="D226" s="533">
        <f t="shared" si="52"/>
        <v>0</v>
      </c>
      <c r="E226" s="420"/>
      <c r="F226" s="420" t="str">
        <f t="shared" si="53"/>
        <v>Vacant</v>
      </c>
      <c r="G226" s="586">
        <f t="shared" si="54"/>
        <v>0</v>
      </c>
      <c r="H226" s="581"/>
      <c r="J226" s="582">
        <f>HLOOKUP($J$7,'MR-Stat Data Sheet Bud'!$U$8:$AF$1081,$AA226,FALSE)</f>
        <v>0</v>
      </c>
      <c r="K226" s="582">
        <f>HLOOKUP($J$7,'MR-Stat Data Sheet Bud'!$AS$8:$BD$1081,$AA226,FALSE)</f>
        <v>0</v>
      </c>
      <c r="L226" s="582">
        <f t="shared" si="55"/>
        <v>0</v>
      </c>
      <c r="N226" s="582">
        <f>HLOOKUP($J$7,'MR-Stat Data Sheet Bud'!$BE$8:$BP$1081,$AA226,FALSE)</f>
        <v>0</v>
      </c>
      <c r="O226" s="582">
        <f>HLOOKUP($J$7,'MR-Stat Data Sheet Bud'!$AS$8:$BD$1081,$AA226,FALSE)</f>
        <v>0</v>
      </c>
      <c r="P226" s="582">
        <f t="shared" si="56"/>
        <v>0</v>
      </c>
      <c r="Q226" s="583"/>
      <c r="S226" s="599"/>
      <c r="T226" s="582">
        <v>0</v>
      </c>
      <c r="U226" s="583"/>
      <c r="V226" s="480"/>
      <c r="W226" s="495"/>
      <c r="X226" s="480"/>
      <c r="Y226" s="480"/>
      <c r="Z226" s="495"/>
      <c r="AA226" s="472">
        <f t="shared" si="48"/>
        <v>218</v>
      </c>
      <c r="AB226" s="480"/>
      <c r="AC226" s="480"/>
      <c r="AD226" s="480"/>
      <c r="AE226" s="495"/>
      <c r="AF226" s="480"/>
      <c r="AG226" s="480"/>
    </row>
    <row r="227" spans="1:33" s="471" customFormat="1" hidden="1">
      <c r="A227" s="420">
        <f t="shared" si="49"/>
        <v>217</v>
      </c>
      <c r="B227" s="585">
        <f t="shared" si="50"/>
        <v>0</v>
      </c>
      <c r="C227" s="533">
        <f t="shared" si="51"/>
        <v>0</v>
      </c>
      <c r="D227" s="533">
        <f t="shared" si="52"/>
        <v>0</v>
      </c>
      <c r="E227" s="420"/>
      <c r="F227" s="420" t="str">
        <f t="shared" si="53"/>
        <v>Vacant</v>
      </c>
      <c r="G227" s="586">
        <f t="shared" si="54"/>
        <v>0</v>
      </c>
      <c r="H227" s="581"/>
      <c r="J227" s="582">
        <f>HLOOKUP($J$7,'MR-Stat Data Sheet Bud'!$U$8:$AF$1081,$AA227,FALSE)</f>
        <v>0</v>
      </c>
      <c r="K227" s="582">
        <f>HLOOKUP($J$7,'MR-Stat Data Sheet Bud'!$AS$8:$BD$1081,$AA227,FALSE)</f>
        <v>0</v>
      </c>
      <c r="L227" s="582">
        <f t="shared" si="55"/>
        <v>0</v>
      </c>
      <c r="N227" s="582">
        <f>HLOOKUP($J$7,'MR-Stat Data Sheet Bud'!$BE$8:$BP$1081,$AA227,FALSE)</f>
        <v>0</v>
      </c>
      <c r="O227" s="582">
        <f>HLOOKUP($J$7,'MR-Stat Data Sheet Bud'!$AS$8:$BD$1081,$AA227,FALSE)</f>
        <v>0</v>
      </c>
      <c r="P227" s="582">
        <f t="shared" si="56"/>
        <v>0</v>
      </c>
      <c r="Q227" s="583"/>
      <c r="S227" s="599"/>
      <c r="T227" s="582">
        <v>0</v>
      </c>
      <c r="U227" s="583"/>
      <c r="V227" s="480"/>
      <c r="W227" s="495"/>
      <c r="X227" s="480"/>
      <c r="Y227" s="480"/>
      <c r="Z227" s="495"/>
      <c r="AA227" s="472">
        <f t="shared" si="48"/>
        <v>219</v>
      </c>
      <c r="AB227" s="480"/>
      <c r="AC227" s="480"/>
      <c r="AD227" s="480"/>
      <c r="AE227" s="495"/>
      <c r="AF227" s="480"/>
      <c r="AG227" s="480"/>
    </row>
    <row r="228" spans="1:33" s="471" customFormat="1" hidden="1">
      <c r="A228" s="420">
        <f t="shared" si="49"/>
        <v>218</v>
      </c>
      <c r="B228" s="585">
        <f t="shared" si="50"/>
        <v>0</v>
      </c>
      <c r="C228" s="533">
        <f t="shared" si="51"/>
        <v>0</v>
      </c>
      <c r="D228" s="533">
        <f t="shared" si="52"/>
        <v>0</v>
      </c>
      <c r="E228" s="420"/>
      <c r="F228" s="420" t="str">
        <f t="shared" si="53"/>
        <v>Vacant</v>
      </c>
      <c r="G228" s="586">
        <f t="shared" si="54"/>
        <v>0</v>
      </c>
      <c r="H228" s="581"/>
      <c r="J228" s="582">
        <f>HLOOKUP($J$7,'MR-Stat Data Sheet Bud'!$U$8:$AF$1081,$AA228,FALSE)</f>
        <v>0</v>
      </c>
      <c r="K228" s="582">
        <f>HLOOKUP($J$7,'MR-Stat Data Sheet Bud'!$AS$8:$BD$1081,$AA228,FALSE)</f>
        <v>0</v>
      </c>
      <c r="L228" s="582">
        <f t="shared" si="55"/>
        <v>0</v>
      </c>
      <c r="N228" s="582">
        <f>HLOOKUP($J$7,'MR-Stat Data Sheet Bud'!$BE$8:$BP$1081,$AA228,FALSE)</f>
        <v>0</v>
      </c>
      <c r="O228" s="582">
        <f>HLOOKUP($J$7,'MR-Stat Data Sheet Bud'!$AS$8:$BD$1081,$AA228,FALSE)</f>
        <v>0</v>
      </c>
      <c r="P228" s="582">
        <f t="shared" si="56"/>
        <v>0</v>
      </c>
      <c r="Q228" s="583"/>
      <c r="S228" s="599"/>
      <c r="T228" s="582">
        <v>0</v>
      </c>
      <c r="U228" s="583"/>
      <c r="V228" s="480"/>
      <c r="W228" s="495"/>
      <c r="X228" s="480"/>
      <c r="Y228" s="480"/>
      <c r="Z228" s="495"/>
      <c r="AA228" s="472">
        <f t="shared" si="48"/>
        <v>220</v>
      </c>
      <c r="AB228" s="480"/>
      <c r="AC228" s="480"/>
      <c r="AD228" s="480"/>
      <c r="AE228" s="495"/>
      <c r="AF228" s="480"/>
      <c r="AG228" s="480"/>
    </row>
    <row r="229" spans="1:33" s="471" customFormat="1" hidden="1">
      <c r="A229" s="420">
        <f t="shared" si="49"/>
        <v>219</v>
      </c>
      <c r="B229" s="585">
        <f t="shared" si="50"/>
        <v>0</v>
      </c>
      <c r="C229" s="533">
        <f t="shared" si="51"/>
        <v>0</v>
      </c>
      <c r="D229" s="533">
        <f t="shared" si="52"/>
        <v>0</v>
      </c>
      <c r="E229" s="420"/>
      <c r="F229" s="420" t="str">
        <f t="shared" si="53"/>
        <v>Vacant</v>
      </c>
      <c r="G229" s="586">
        <f t="shared" si="54"/>
        <v>0</v>
      </c>
      <c r="H229" s="581"/>
      <c r="J229" s="582">
        <f>HLOOKUP($J$7,'MR-Stat Data Sheet Bud'!$U$8:$AF$1081,$AA229,FALSE)</f>
        <v>0</v>
      </c>
      <c r="K229" s="582">
        <f>HLOOKUP($J$7,'MR-Stat Data Sheet Bud'!$AS$8:$BD$1081,$AA229,FALSE)</f>
        <v>0</v>
      </c>
      <c r="L229" s="582">
        <f t="shared" si="55"/>
        <v>0</v>
      </c>
      <c r="N229" s="582">
        <f>HLOOKUP($J$7,'MR-Stat Data Sheet Bud'!$BE$8:$BP$1081,$AA229,FALSE)</f>
        <v>0</v>
      </c>
      <c r="O229" s="582">
        <f>HLOOKUP($J$7,'MR-Stat Data Sheet Bud'!$AS$8:$BD$1081,$AA229,FALSE)</f>
        <v>0</v>
      </c>
      <c r="P229" s="582">
        <f t="shared" si="56"/>
        <v>0</v>
      </c>
      <c r="Q229" s="583"/>
      <c r="S229" s="599"/>
      <c r="T229" s="582">
        <v>0</v>
      </c>
      <c r="U229" s="583"/>
      <c r="V229" s="480"/>
      <c r="W229" s="495"/>
      <c r="X229" s="480"/>
      <c r="Y229" s="480"/>
      <c r="Z229" s="495"/>
      <c r="AA229" s="472">
        <f t="shared" si="48"/>
        <v>221</v>
      </c>
      <c r="AB229" s="480"/>
      <c r="AC229" s="480"/>
      <c r="AD229" s="480"/>
      <c r="AE229" s="495"/>
      <c r="AF229" s="480"/>
      <c r="AG229" s="480"/>
    </row>
    <row r="230" spans="1:33" s="471" customFormat="1" hidden="1">
      <c r="A230" s="420">
        <f t="shared" si="49"/>
        <v>220</v>
      </c>
      <c r="B230" s="585">
        <f t="shared" si="50"/>
        <v>0</v>
      </c>
      <c r="C230" s="533">
        <f t="shared" si="51"/>
        <v>0</v>
      </c>
      <c r="D230" s="533">
        <f t="shared" si="52"/>
        <v>0</v>
      </c>
      <c r="E230" s="420"/>
      <c r="F230" s="420" t="str">
        <f t="shared" si="53"/>
        <v>Vacant</v>
      </c>
      <c r="G230" s="586">
        <f t="shared" si="54"/>
        <v>0</v>
      </c>
      <c r="H230" s="581"/>
      <c r="J230" s="582">
        <f>HLOOKUP($J$7,'MR-Stat Data Sheet Bud'!$U$8:$AF$1081,$AA230,FALSE)</f>
        <v>0</v>
      </c>
      <c r="K230" s="582">
        <f>HLOOKUP($J$7,'MR-Stat Data Sheet Bud'!$AS$8:$BD$1081,$AA230,FALSE)</f>
        <v>0</v>
      </c>
      <c r="L230" s="582">
        <f t="shared" si="55"/>
        <v>0</v>
      </c>
      <c r="N230" s="582">
        <f>HLOOKUP($J$7,'MR-Stat Data Sheet Bud'!$BE$8:$BP$1081,$AA230,FALSE)</f>
        <v>0</v>
      </c>
      <c r="O230" s="582">
        <f>HLOOKUP($J$7,'MR-Stat Data Sheet Bud'!$AS$8:$BD$1081,$AA230,FALSE)</f>
        <v>0</v>
      </c>
      <c r="P230" s="582">
        <f t="shared" si="56"/>
        <v>0</v>
      </c>
      <c r="Q230" s="583"/>
      <c r="S230" s="599"/>
      <c r="T230" s="582">
        <v>0</v>
      </c>
      <c r="U230" s="583"/>
      <c r="V230" s="480"/>
      <c r="W230" s="495"/>
      <c r="X230" s="480"/>
      <c r="Y230" s="480"/>
      <c r="Z230" s="495"/>
      <c r="AA230" s="472">
        <f t="shared" si="48"/>
        <v>222</v>
      </c>
      <c r="AB230" s="480"/>
      <c r="AC230" s="480"/>
      <c r="AD230" s="480"/>
      <c r="AE230" s="495"/>
      <c r="AF230" s="480"/>
      <c r="AG230" s="480"/>
    </row>
    <row r="231" spans="1:33" s="471" customFormat="1" hidden="1">
      <c r="A231" s="420">
        <f t="shared" si="49"/>
        <v>221</v>
      </c>
      <c r="B231" s="585">
        <f t="shared" si="50"/>
        <v>0</v>
      </c>
      <c r="C231" s="533">
        <f t="shared" si="51"/>
        <v>0</v>
      </c>
      <c r="D231" s="533">
        <f t="shared" si="52"/>
        <v>0</v>
      </c>
      <c r="E231" s="420"/>
      <c r="F231" s="420" t="str">
        <f t="shared" si="53"/>
        <v>Vacant</v>
      </c>
      <c r="G231" s="586">
        <f t="shared" si="54"/>
        <v>0</v>
      </c>
      <c r="H231" s="581"/>
      <c r="J231" s="582">
        <f>HLOOKUP($J$7,'MR-Stat Data Sheet Bud'!$U$8:$AF$1081,$AA231,FALSE)</f>
        <v>0</v>
      </c>
      <c r="K231" s="582">
        <f>HLOOKUP($J$7,'MR-Stat Data Sheet Bud'!$AS$8:$BD$1081,$AA231,FALSE)</f>
        <v>0</v>
      </c>
      <c r="L231" s="582">
        <f t="shared" si="55"/>
        <v>0</v>
      </c>
      <c r="N231" s="582">
        <f>HLOOKUP($J$7,'MR-Stat Data Sheet Bud'!$BE$8:$BP$1081,$AA231,FALSE)</f>
        <v>0</v>
      </c>
      <c r="O231" s="582">
        <f>HLOOKUP($J$7,'MR-Stat Data Sheet Bud'!$AS$8:$BD$1081,$AA231,FALSE)</f>
        <v>0</v>
      </c>
      <c r="P231" s="582">
        <f t="shared" si="56"/>
        <v>0</v>
      </c>
      <c r="Q231" s="583"/>
      <c r="S231" s="599"/>
      <c r="T231" s="582">
        <v>0</v>
      </c>
      <c r="U231" s="583"/>
      <c r="V231" s="480"/>
      <c r="W231" s="495"/>
      <c r="X231" s="480"/>
      <c r="Y231" s="480"/>
      <c r="Z231" s="495"/>
      <c r="AA231" s="472">
        <f t="shared" si="48"/>
        <v>223</v>
      </c>
      <c r="AB231" s="480"/>
      <c r="AC231" s="480"/>
      <c r="AD231" s="480"/>
      <c r="AE231" s="495"/>
      <c r="AF231" s="480"/>
      <c r="AG231" s="480"/>
    </row>
    <row r="232" spans="1:33" s="471" customFormat="1" hidden="1">
      <c r="A232" s="420">
        <f t="shared" si="49"/>
        <v>222</v>
      </c>
      <c r="B232" s="585">
        <f t="shared" si="50"/>
        <v>0</v>
      </c>
      <c r="C232" s="533">
        <f t="shared" si="51"/>
        <v>0</v>
      </c>
      <c r="D232" s="533">
        <f t="shared" si="52"/>
        <v>0</v>
      </c>
      <c r="E232" s="420"/>
      <c r="F232" s="420" t="str">
        <f t="shared" si="53"/>
        <v>Vacant</v>
      </c>
      <c r="G232" s="586">
        <f t="shared" si="54"/>
        <v>0</v>
      </c>
      <c r="H232" s="581"/>
      <c r="J232" s="582">
        <f>HLOOKUP($J$7,'MR-Stat Data Sheet Bud'!$U$8:$AF$1081,$AA232,FALSE)</f>
        <v>0</v>
      </c>
      <c r="K232" s="582">
        <f>HLOOKUP($J$7,'MR-Stat Data Sheet Bud'!$AS$8:$BD$1081,$AA232,FALSE)</f>
        <v>0</v>
      </c>
      <c r="L232" s="582">
        <f t="shared" si="55"/>
        <v>0</v>
      </c>
      <c r="N232" s="582">
        <f>HLOOKUP($J$7,'MR-Stat Data Sheet Bud'!$BE$8:$BP$1081,$AA232,FALSE)</f>
        <v>0</v>
      </c>
      <c r="O232" s="582">
        <f>HLOOKUP($J$7,'MR-Stat Data Sheet Bud'!$AS$8:$BD$1081,$AA232,FALSE)</f>
        <v>0</v>
      </c>
      <c r="P232" s="582">
        <f t="shared" si="56"/>
        <v>0</v>
      </c>
      <c r="Q232" s="583"/>
      <c r="S232" s="599"/>
      <c r="T232" s="582">
        <v>0</v>
      </c>
      <c r="U232" s="583"/>
      <c r="V232" s="480"/>
      <c r="W232" s="495"/>
      <c r="X232" s="480"/>
      <c r="Y232" s="480"/>
      <c r="Z232" s="495"/>
      <c r="AA232" s="472">
        <f t="shared" si="48"/>
        <v>224</v>
      </c>
      <c r="AB232" s="480"/>
      <c r="AC232" s="480"/>
      <c r="AD232" s="480"/>
      <c r="AE232" s="495"/>
      <c r="AF232" s="480"/>
      <c r="AG232" s="480"/>
    </row>
    <row r="233" spans="1:33" s="471" customFormat="1" hidden="1">
      <c r="A233" s="420">
        <f t="shared" si="49"/>
        <v>223</v>
      </c>
      <c r="B233" s="585">
        <f t="shared" si="50"/>
        <v>0</v>
      </c>
      <c r="C233" s="533">
        <f t="shared" si="51"/>
        <v>0</v>
      </c>
      <c r="D233" s="533">
        <f t="shared" si="52"/>
        <v>0</v>
      </c>
      <c r="E233" s="420"/>
      <c r="F233" s="420" t="str">
        <f t="shared" si="53"/>
        <v>Vacant</v>
      </c>
      <c r="G233" s="586">
        <f t="shared" si="54"/>
        <v>0</v>
      </c>
      <c r="H233" s="581"/>
      <c r="J233" s="582">
        <f>HLOOKUP($J$7,'MR-Stat Data Sheet Bud'!$U$8:$AF$1081,$AA233,FALSE)</f>
        <v>0</v>
      </c>
      <c r="K233" s="582">
        <f>HLOOKUP($J$7,'MR-Stat Data Sheet Bud'!$AS$8:$BD$1081,$AA233,FALSE)</f>
        <v>0</v>
      </c>
      <c r="L233" s="582">
        <f t="shared" si="55"/>
        <v>0</v>
      </c>
      <c r="N233" s="582">
        <f>HLOOKUP($J$7,'MR-Stat Data Sheet Bud'!$BE$8:$BP$1081,$AA233,FALSE)</f>
        <v>0</v>
      </c>
      <c r="O233" s="582">
        <f>HLOOKUP($J$7,'MR-Stat Data Sheet Bud'!$AS$8:$BD$1081,$AA233,FALSE)</f>
        <v>0</v>
      </c>
      <c r="P233" s="582">
        <f t="shared" si="56"/>
        <v>0</v>
      </c>
      <c r="Q233" s="583"/>
      <c r="S233" s="599"/>
      <c r="T233" s="582">
        <v>0</v>
      </c>
      <c r="U233" s="583"/>
      <c r="V233" s="480"/>
      <c r="W233" s="495"/>
      <c r="X233" s="480"/>
      <c r="Y233" s="480"/>
      <c r="Z233" s="495"/>
      <c r="AA233" s="472">
        <f t="shared" si="48"/>
        <v>225</v>
      </c>
      <c r="AB233" s="480"/>
      <c r="AC233" s="480"/>
      <c r="AD233" s="480"/>
      <c r="AE233" s="495"/>
      <c r="AF233" s="480"/>
      <c r="AG233" s="480"/>
    </row>
    <row r="234" spans="1:33" s="471" customFormat="1" hidden="1">
      <c r="A234" s="420">
        <f t="shared" si="49"/>
        <v>224</v>
      </c>
      <c r="B234" s="585">
        <f t="shared" si="50"/>
        <v>0</v>
      </c>
      <c r="C234" s="533">
        <f t="shared" si="51"/>
        <v>0</v>
      </c>
      <c r="D234" s="533">
        <f t="shared" si="52"/>
        <v>0</v>
      </c>
      <c r="E234" s="420"/>
      <c r="F234" s="420" t="str">
        <f t="shared" si="53"/>
        <v>Vacant</v>
      </c>
      <c r="G234" s="586">
        <f t="shared" si="54"/>
        <v>0</v>
      </c>
      <c r="H234" s="581"/>
      <c r="J234" s="582">
        <f>HLOOKUP($J$7,'MR-Stat Data Sheet Bud'!$U$8:$AF$1081,$AA234,FALSE)</f>
        <v>0</v>
      </c>
      <c r="K234" s="582">
        <f>HLOOKUP($J$7,'MR-Stat Data Sheet Bud'!$AS$8:$BD$1081,$AA234,FALSE)</f>
        <v>0</v>
      </c>
      <c r="L234" s="582">
        <f t="shared" si="55"/>
        <v>0</v>
      </c>
      <c r="N234" s="582">
        <f>HLOOKUP($J$7,'MR-Stat Data Sheet Bud'!$BE$8:$BP$1081,$AA234,FALSE)</f>
        <v>0</v>
      </c>
      <c r="O234" s="582">
        <f>HLOOKUP($J$7,'MR-Stat Data Sheet Bud'!$AS$8:$BD$1081,$AA234,FALSE)</f>
        <v>0</v>
      </c>
      <c r="P234" s="582">
        <f t="shared" si="56"/>
        <v>0</v>
      </c>
      <c r="Q234" s="583"/>
      <c r="S234" s="599"/>
      <c r="T234" s="582">
        <v>0</v>
      </c>
      <c r="U234" s="583"/>
      <c r="V234" s="480"/>
      <c r="W234" s="495"/>
      <c r="X234" s="480"/>
      <c r="Y234" s="480"/>
      <c r="Z234" s="495"/>
      <c r="AA234" s="472">
        <f t="shared" si="48"/>
        <v>226</v>
      </c>
      <c r="AB234" s="480"/>
      <c r="AC234" s="480"/>
      <c r="AD234" s="480"/>
      <c r="AE234" s="495"/>
      <c r="AF234" s="480"/>
      <c r="AG234" s="480"/>
    </row>
    <row r="235" spans="1:33" s="471" customFormat="1" hidden="1">
      <c r="A235" s="420">
        <f t="shared" si="49"/>
        <v>225</v>
      </c>
      <c r="B235" s="585">
        <f t="shared" si="50"/>
        <v>0</v>
      </c>
      <c r="C235" s="533">
        <f t="shared" si="51"/>
        <v>0</v>
      </c>
      <c r="D235" s="533">
        <f t="shared" si="52"/>
        <v>0</v>
      </c>
      <c r="E235" s="420"/>
      <c r="F235" s="420" t="str">
        <f t="shared" si="53"/>
        <v>Vacant</v>
      </c>
      <c r="G235" s="586">
        <f t="shared" si="54"/>
        <v>0</v>
      </c>
      <c r="H235" s="581"/>
      <c r="J235" s="582">
        <f>HLOOKUP($J$7,'MR-Stat Data Sheet Bud'!$U$8:$AF$1081,$AA235,FALSE)</f>
        <v>0</v>
      </c>
      <c r="K235" s="582">
        <f>HLOOKUP($J$7,'MR-Stat Data Sheet Bud'!$AS$8:$BD$1081,$AA235,FALSE)</f>
        <v>0</v>
      </c>
      <c r="L235" s="582">
        <f t="shared" si="55"/>
        <v>0</v>
      </c>
      <c r="N235" s="582">
        <f>HLOOKUP($J$7,'MR-Stat Data Sheet Bud'!$BE$8:$BP$1081,$AA235,FALSE)</f>
        <v>0</v>
      </c>
      <c r="O235" s="582">
        <f>HLOOKUP($J$7,'MR-Stat Data Sheet Bud'!$AS$8:$BD$1081,$AA235,FALSE)</f>
        <v>0</v>
      </c>
      <c r="P235" s="582">
        <f t="shared" si="56"/>
        <v>0</v>
      </c>
      <c r="Q235" s="583"/>
      <c r="S235" s="599"/>
      <c r="T235" s="582">
        <v>0</v>
      </c>
      <c r="U235" s="583"/>
      <c r="V235" s="480"/>
      <c r="W235" s="495"/>
      <c r="X235" s="480"/>
      <c r="Y235" s="480"/>
      <c r="Z235" s="495"/>
      <c r="AA235" s="472">
        <f t="shared" si="48"/>
        <v>227</v>
      </c>
      <c r="AB235" s="480"/>
      <c r="AC235" s="480"/>
      <c r="AD235" s="480"/>
      <c r="AE235" s="495"/>
      <c r="AF235" s="480"/>
      <c r="AG235" s="480"/>
    </row>
    <row r="236" spans="1:33" s="471" customFormat="1" hidden="1">
      <c r="A236" s="420">
        <f t="shared" si="49"/>
        <v>226</v>
      </c>
      <c r="B236" s="585">
        <f t="shared" si="50"/>
        <v>0</v>
      </c>
      <c r="C236" s="533">
        <f t="shared" si="51"/>
        <v>0</v>
      </c>
      <c r="D236" s="533">
        <f t="shared" si="52"/>
        <v>0</v>
      </c>
      <c r="E236" s="420"/>
      <c r="F236" s="420" t="str">
        <f t="shared" si="53"/>
        <v>Vacant</v>
      </c>
      <c r="G236" s="586">
        <f t="shared" si="54"/>
        <v>0</v>
      </c>
      <c r="H236" s="581"/>
      <c r="J236" s="582">
        <f>HLOOKUP($J$7,'MR-Stat Data Sheet Bud'!$U$8:$AF$1081,$AA236,FALSE)</f>
        <v>0</v>
      </c>
      <c r="K236" s="582">
        <f>HLOOKUP($J$7,'MR-Stat Data Sheet Bud'!$AS$8:$BD$1081,$AA236,FALSE)</f>
        <v>0</v>
      </c>
      <c r="L236" s="582">
        <f t="shared" si="55"/>
        <v>0</v>
      </c>
      <c r="N236" s="582">
        <f>HLOOKUP($J$7,'MR-Stat Data Sheet Bud'!$BE$8:$BP$1081,$AA236,FALSE)</f>
        <v>0</v>
      </c>
      <c r="O236" s="582">
        <f>HLOOKUP($J$7,'MR-Stat Data Sheet Bud'!$AS$8:$BD$1081,$AA236,FALSE)</f>
        <v>0</v>
      </c>
      <c r="P236" s="582">
        <f t="shared" si="56"/>
        <v>0</v>
      </c>
      <c r="Q236" s="583"/>
      <c r="S236" s="599"/>
      <c r="T236" s="582">
        <v>0</v>
      </c>
      <c r="U236" s="583"/>
      <c r="V236" s="480"/>
      <c r="W236" s="495"/>
      <c r="X236" s="480"/>
      <c r="Y236" s="480"/>
      <c r="Z236" s="495"/>
      <c r="AA236" s="472">
        <f t="shared" si="48"/>
        <v>228</v>
      </c>
      <c r="AB236" s="480"/>
      <c r="AC236" s="480"/>
      <c r="AD236" s="480"/>
      <c r="AE236" s="495"/>
      <c r="AF236" s="480"/>
      <c r="AG236" s="480"/>
    </row>
    <row r="237" spans="1:33" s="471" customFormat="1" hidden="1">
      <c r="A237" s="420">
        <f t="shared" si="49"/>
        <v>227</v>
      </c>
      <c r="B237" s="585">
        <f t="shared" si="50"/>
        <v>0</v>
      </c>
      <c r="C237" s="533">
        <f t="shared" si="51"/>
        <v>0</v>
      </c>
      <c r="D237" s="533">
        <f t="shared" si="52"/>
        <v>0</v>
      </c>
      <c r="E237" s="420"/>
      <c r="F237" s="420" t="str">
        <f t="shared" si="53"/>
        <v>Vacant</v>
      </c>
      <c r="G237" s="586">
        <f t="shared" si="54"/>
        <v>0</v>
      </c>
      <c r="H237" s="581"/>
      <c r="J237" s="582">
        <f>HLOOKUP($J$7,'MR-Stat Data Sheet Bud'!$U$8:$AF$1081,$AA237,FALSE)</f>
        <v>0</v>
      </c>
      <c r="K237" s="582">
        <f>HLOOKUP($J$7,'MR-Stat Data Sheet Bud'!$AS$8:$BD$1081,$AA237,FALSE)</f>
        <v>0</v>
      </c>
      <c r="L237" s="582">
        <f t="shared" si="55"/>
        <v>0</v>
      </c>
      <c r="N237" s="582">
        <f>HLOOKUP($J$7,'MR-Stat Data Sheet Bud'!$BE$8:$BP$1081,$AA237,FALSE)</f>
        <v>0</v>
      </c>
      <c r="O237" s="582">
        <f>HLOOKUP($J$7,'MR-Stat Data Sheet Bud'!$AS$8:$BD$1081,$AA237,FALSE)</f>
        <v>0</v>
      </c>
      <c r="P237" s="582">
        <f t="shared" si="56"/>
        <v>0</v>
      </c>
      <c r="Q237" s="583"/>
      <c r="S237" s="599"/>
      <c r="T237" s="582">
        <v>0</v>
      </c>
      <c r="U237" s="583"/>
      <c r="V237" s="480"/>
      <c r="W237" s="495"/>
      <c r="X237" s="480"/>
      <c r="Y237" s="480"/>
      <c r="Z237" s="495"/>
      <c r="AA237" s="472">
        <f t="shared" si="48"/>
        <v>229</v>
      </c>
      <c r="AB237" s="480"/>
      <c r="AC237" s="480"/>
      <c r="AD237" s="480"/>
      <c r="AE237" s="495"/>
      <c r="AF237" s="480"/>
      <c r="AG237" s="480"/>
    </row>
    <row r="238" spans="1:33" s="471" customFormat="1" hidden="1">
      <c r="A238" s="420">
        <f t="shared" si="49"/>
        <v>228</v>
      </c>
      <c r="B238" s="585">
        <f t="shared" si="50"/>
        <v>0</v>
      </c>
      <c r="C238" s="533">
        <f t="shared" si="51"/>
        <v>0</v>
      </c>
      <c r="D238" s="533">
        <f t="shared" si="52"/>
        <v>0</v>
      </c>
      <c r="E238" s="420"/>
      <c r="F238" s="420" t="str">
        <f t="shared" si="53"/>
        <v>Vacant</v>
      </c>
      <c r="G238" s="586">
        <f t="shared" si="54"/>
        <v>0</v>
      </c>
      <c r="H238" s="581"/>
      <c r="J238" s="582">
        <f>HLOOKUP($J$7,'MR-Stat Data Sheet Bud'!$U$8:$AF$1081,$AA238,FALSE)</f>
        <v>0</v>
      </c>
      <c r="K238" s="582">
        <f>HLOOKUP($J$7,'MR-Stat Data Sheet Bud'!$AS$8:$BD$1081,$AA238,FALSE)</f>
        <v>0</v>
      </c>
      <c r="L238" s="582">
        <f t="shared" si="55"/>
        <v>0</v>
      </c>
      <c r="N238" s="582">
        <f>HLOOKUP($J$7,'MR-Stat Data Sheet Bud'!$BE$8:$BP$1081,$AA238,FALSE)</f>
        <v>0</v>
      </c>
      <c r="O238" s="582">
        <f>HLOOKUP($J$7,'MR-Stat Data Sheet Bud'!$AS$8:$BD$1081,$AA238,FALSE)</f>
        <v>0</v>
      </c>
      <c r="P238" s="582">
        <f t="shared" si="56"/>
        <v>0</v>
      </c>
      <c r="Q238" s="583"/>
      <c r="S238" s="599"/>
      <c r="T238" s="582">
        <v>0</v>
      </c>
      <c r="U238" s="583"/>
      <c r="V238" s="480"/>
      <c r="W238" s="495"/>
      <c r="X238" s="480"/>
      <c r="Y238" s="480"/>
      <c r="Z238" s="495"/>
      <c r="AA238" s="472">
        <f t="shared" si="48"/>
        <v>230</v>
      </c>
      <c r="AB238" s="480"/>
      <c r="AC238" s="480"/>
      <c r="AD238" s="480"/>
      <c r="AE238" s="495"/>
      <c r="AF238" s="480"/>
      <c r="AG238" s="480"/>
    </row>
    <row r="239" spans="1:33" s="471" customFormat="1" hidden="1">
      <c r="A239" s="420">
        <f t="shared" si="49"/>
        <v>229</v>
      </c>
      <c r="B239" s="585">
        <f t="shared" si="50"/>
        <v>0</v>
      </c>
      <c r="C239" s="533">
        <f t="shared" si="51"/>
        <v>0</v>
      </c>
      <c r="D239" s="533">
        <f t="shared" si="52"/>
        <v>0</v>
      </c>
      <c r="E239" s="420"/>
      <c r="F239" s="420" t="str">
        <f t="shared" si="53"/>
        <v>Vacant</v>
      </c>
      <c r="G239" s="586">
        <f t="shared" si="54"/>
        <v>0</v>
      </c>
      <c r="H239" s="581"/>
      <c r="J239" s="582">
        <f>HLOOKUP($J$7,'MR-Stat Data Sheet Bud'!$U$8:$AF$1081,$AA239,FALSE)</f>
        <v>0</v>
      </c>
      <c r="K239" s="582">
        <f>HLOOKUP($J$7,'MR-Stat Data Sheet Bud'!$AS$8:$BD$1081,$AA239,FALSE)</f>
        <v>0</v>
      </c>
      <c r="L239" s="582">
        <f t="shared" si="55"/>
        <v>0</v>
      </c>
      <c r="N239" s="582">
        <f>HLOOKUP($J$7,'MR-Stat Data Sheet Bud'!$BE$8:$BP$1081,$AA239,FALSE)</f>
        <v>0</v>
      </c>
      <c r="O239" s="582">
        <f>HLOOKUP($J$7,'MR-Stat Data Sheet Bud'!$AS$8:$BD$1081,$AA239,FALSE)</f>
        <v>0</v>
      </c>
      <c r="P239" s="582">
        <f t="shared" si="56"/>
        <v>0</v>
      </c>
      <c r="Q239" s="583"/>
      <c r="S239" s="599"/>
      <c r="T239" s="582">
        <v>0</v>
      </c>
      <c r="U239" s="583"/>
      <c r="V239" s="480"/>
      <c r="W239" s="495"/>
      <c r="X239" s="480"/>
      <c r="Y239" s="480"/>
      <c r="Z239" s="495"/>
      <c r="AA239" s="472">
        <f t="shared" si="48"/>
        <v>231</v>
      </c>
      <c r="AB239" s="480"/>
      <c r="AC239" s="480"/>
      <c r="AD239" s="480"/>
      <c r="AE239" s="495"/>
      <c r="AF239" s="480"/>
      <c r="AG239" s="480"/>
    </row>
    <row r="240" spans="1:33" s="471" customFormat="1" hidden="1">
      <c r="A240" s="420">
        <f t="shared" si="49"/>
        <v>230</v>
      </c>
      <c r="B240" s="585">
        <f t="shared" si="50"/>
        <v>0</v>
      </c>
      <c r="C240" s="533">
        <f t="shared" si="51"/>
        <v>0</v>
      </c>
      <c r="D240" s="533">
        <f t="shared" si="52"/>
        <v>0</v>
      </c>
      <c r="E240" s="420"/>
      <c r="F240" s="420" t="str">
        <f t="shared" si="53"/>
        <v>Vacant</v>
      </c>
      <c r="G240" s="586">
        <f t="shared" si="54"/>
        <v>0</v>
      </c>
      <c r="H240" s="581"/>
      <c r="J240" s="582">
        <f>HLOOKUP($J$7,'MR-Stat Data Sheet Bud'!$U$8:$AF$1081,$AA240,FALSE)</f>
        <v>0</v>
      </c>
      <c r="K240" s="582">
        <f>HLOOKUP($J$7,'MR-Stat Data Sheet Bud'!$AS$8:$BD$1081,$AA240,FALSE)</f>
        <v>0</v>
      </c>
      <c r="L240" s="582">
        <f t="shared" si="55"/>
        <v>0</v>
      </c>
      <c r="N240" s="582">
        <f>HLOOKUP($J$7,'MR-Stat Data Sheet Bud'!$BE$8:$BP$1081,$AA240,FALSE)</f>
        <v>0</v>
      </c>
      <c r="O240" s="582">
        <f>HLOOKUP($J$7,'MR-Stat Data Sheet Bud'!$AS$8:$BD$1081,$AA240,FALSE)</f>
        <v>0</v>
      </c>
      <c r="P240" s="582">
        <f t="shared" si="56"/>
        <v>0</v>
      </c>
      <c r="Q240" s="583"/>
      <c r="S240" s="599"/>
      <c r="T240" s="582">
        <v>0</v>
      </c>
      <c r="U240" s="583"/>
      <c r="V240" s="480"/>
      <c r="W240" s="495"/>
      <c r="X240" s="480"/>
      <c r="Y240" s="480"/>
      <c r="Z240" s="495"/>
      <c r="AA240" s="472">
        <f t="shared" si="48"/>
        <v>232</v>
      </c>
      <c r="AB240" s="480"/>
      <c r="AC240" s="480"/>
      <c r="AD240" s="480"/>
      <c r="AE240" s="495"/>
      <c r="AF240" s="480"/>
      <c r="AG240" s="480"/>
    </row>
    <row r="241" spans="1:33" s="471" customFormat="1" hidden="1">
      <c r="A241" s="420">
        <f t="shared" si="49"/>
        <v>231</v>
      </c>
      <c r="B241" s="585">
        <f t="shared" si="50"/>
        <v>0</v>
      </c>
      <c r="C241" s="533">
        <f t="shared" si="51"/>
        <v>0</v>
      </c>
      <c r="D241" s="533">
        <f t="shared" si="52"/>
        <v>0</v>
      </c>
      <c r="E241" s="420"/>
      <c r="F241" s="420" t="str">
        <f t="shared" si="53"/>
        <v>Vacant</v>
      </c>
      <c r="G241" s="586">
        <f t="shared" si="54"/>
        <v>0</v>
      </c>
      <c r="H241" s="581"/>
      <c r="J241" s="582">
        <f>HLOOKUP($J$7,'MR-Stat Data Sheet Bud'!$U$8:$AF$1081,$AA241,FALSE)</f>
        <v>0</v>
      </c>
      <c r="K241" s="582">
        <f>HLOOKUP($J$7,'MR-Stat Data Sheet Bud'!$AS$8:$BD$1081,$AA241,FALSE)</f>
        <v>0</v>
      </c>
      <c r="L241" s="582">
        <f t="shared" si="55"/>
        <v>0</v>
      </c>
      <c r="N241" s="582">
        <f>HLOOKUP($J$7,'MR-Stat Data Sheet Bud'!$BE$8:$BP$1081,$AA241,FALSE)</f>
        <v>0</v>
      </c>
      <c r="O241" s="582">
        <f>HLOOKUP($J$7,'MR-Stat Data Sheet Bud'!$AS$8:$BD$1081,$AA241,FALSE)</f>
        <v>0</v>
      </c>
      <c r="P241" s="582">
        <f t="shared" si="56"/>
        <v>0</v>
      </c>
      <c r="Q241" s="583"/>
      <c r="S241" s="599"/>
      <c r="T241" s="582">
        <v>0</v>
      </c>
      <c r="U241" s="583"/>
      <c r="V241" s="480"/>
      <c r="W241" s="495"/>
      <c r="X241" s="480"/>
      <c r="Y241" s="480"/>
      <c r="Z241" s="495"/>
      <c r="AA241" s="472">
        <f t="shared" si="48"/>
        <v>233</v>
      </c>
      <c r="AB241" s="480"/>
      <c r="AC241" s="480"/>
      <c r="AD241" s="480"/>
      <c r="AE241" s="495"/>
      <c r="AF241" s="480"/>
      <c r="AG241" s="480"/>
    </row>
    <row r="242" spans="1:33" s="471" customFormat="1" hidden="1">
      <c r="A242" s="420">
        <f t="shared" si="49"/>
        <v>232</v>
      </c>
      <c r="B242" s="585">
        <f t="shared" ref="B242:B273" si="57">VLOOKUP($A242,Suite_Data,2,FALSE)</f>
        <v>0</v>
      </c>
      <c r="C242" s="533">
        <f t="shared" ref="C242:C273" si="58">VLOOKUP($A242,Suite_Data,3,FALSE)</f>
        <v>0</v>
      </c>
      <c r="D242" s="533">
        <f t="shared" ref="D242:D273" si="59">VLOOKUP($A242,Suite_Data,4,FALSE)</f>
        <v>0</v>
      </c>
      <c r="E242" s="420"/>
      <c r="F242" s="420" t="str">
        <f t="shared" ref="F242:F273" si="60">IF(HLOOKUP($J$7,Actual_Sqft,AA242,FALSE)&gt;0,"Occupied","Vacant")</f>
        <v>Vacant</v>
      </c>
      <c r="G242" s="586">
        <f t="shared" ref="G242:G273" si="61">VLOOKUP($A242,Suite_Data,6,FALSE)</f>
        <v>0</v>
      </c>
      <c r="H242" s="581"/>
      <c r="J242" s="582">
        <f>HLOOKUP($J$7,'MR-Stat Data Sheet Bud'!$U$8:$AF$1081,$AA242,FALSE)</f>
        <v>0</v>
      </c>
      <c r="K242" s="582">
        <f>HLOOKUP($J$7,'MR-Stat Data Sheet Bud'!$AS$8:$BD$1081,$AA242,FALSE)</f>
        <v>0</v>
      </c>
      <c r="L242" s="582">
        <f t="shared" ref="L242:L273" si="62">+J242-K242</f>
        <v>0</v>
      </c>
      <c r="N242" s="582">
        <f>HLOOKUP($J$7,'MR-Stat Data Sheet Bud'!$BE$8:$BP$1081,$AA242,FALSE)</f>
        <v>0</v>
      </c>
      <c r="O242" s="582">
        <f>HLOOKUP($J$7,'MR-Stat Data Sheet Bud'!$AS$8:$BD$1081,$AA242,FALSE)</f>
        <v>0</v>
      </c>
      <c r="P242" s="582">
        <f t="shared" ref="P242:P273" si="63">+N242-O242</f>
        <v>0</v>
      </c>
      <c r="Q242" s="583"/>
      <c r="S242" s="599"/>
      <c r="T242" s="582">
        <v>0</v>
      </c>
      <c r="U242" s="583"/>
      <c r="V242" s="480"/>
      <c r="W242" s="495"/>
      <c r="X242" s="480"/>
      <c r="Y242" s="480"/>
      <c r="Z242" s="495"/>
      <c r="AA242" s="472">
        <f t="shared" si="48"/>
        <v>234</v>
      </c>
      <c r="AB242" s="480"/>
      <c r="AC242" s="480"/>
      <c r="AD242" s="480"/>
      <c r="AE242" s="495"/>
      <c r="AF242" s="480"/>
      <c r="AG242" s="480"/>
    </row>
    <row r="243" spans="1:33" s="471" customFormat="1" hidden="1">
      <c r="A243" s="420">
        <f t="shared" si="49"/>
        <v>233</v>
      </c>
      <c r="B243" s="585">
        <f t="shared" si="57"/>
        <v>0</v>
      </c>
      <c r="C243" s="533">
        <f t="shared" si="58"/>
        <v>0</v>
      </c>
      <c r="D243" s="533">
        <f t="shared" si="59"/>
        <v>0</v>
      </c>
      <c r="E243" s="420"/>
      <c r="F243" s="420" t="str">
        <f t="shared" si="60"/>
        <v>Vacant</v>
      </c>
      <c r="G243" s="586">
        <f t="shared" si="61"/>
        <v>0</v>
      </c>
      <c r="H243" s="581"/>
      <c r="J243" s="582">
        <f>HLOOKUP($J$7,'MR-Stat Data Sheet Bud'!$U$8:$AF$1081,$AA243,FALSE)</f>
        <v>0</v>
      </c>
      <c r="K243" s="582">
        <f>HLOOKUP($J$7,'MR-Stat Data Sheet Bud'!$AS$8:$BD$1081,$AA243,FALSE)</f>
        <v>0</v>
      </c>
      <c r="L243" s="582">
        <f t="shared" si="62"/>
        <v>0</v>
      </c>
      <c r="N243" s="582">
        <f>HLOOKUP($J$7,'MR-Stat Data Sheet Bud'!$BE$8:$BP$1081,$AA243,FALSE)</f>
        <v>0</v>
      </c>
      <c r="O243" s="582">
        <f>HLOOKUP($J$7,'MR-Stat Data Sheet Bud'!$AS$8:$BD$1081,$AA243,FALSE)</f>
        <v>0</v>
      </c>
      <c r="P243" s="582">
        <f t="shared" si="63"/>
        <v>0</v>
      </c>
      <c r="Q243" s="583"/>
      <c r="S243" s="599"/>
      <c r="T243" s="582">
        <v>0</v>
      </c>
      <c r="U243" s="583"/>
      <c r="V243" s="480"/>
      <c r="W243" s="495"/>
      <c r="X243" s="480"/>
      <c r="Y243" s="480"/>
      <c r="Z243" s="495"/>
      <c r="AA243" s="472">
        <f t="shared" si="48"/>
        <v>235</v>
      </c>
      <c r="AB243" s="480"/>
      <c r="AC243" s="480"/>
      <c r="AD243" s="480"/>
      <c r="AE243" s="495"/>
      <c r="AF243" s="480"/>
      <c r="AG243" s="480"/>
    </row>
    <row r="244" spans="1:33" s="471" customFormat="1" hidden="1">
      <c r="A244" s="420">
        <f t="shared" si="49"/>
        <v>234</v>
      </c>
      <c r="B244" s="585">
        <f t="shared" si="57"/>
        <v>0</v>
      </c>
      <c r="C244" s="533">
        <f t="shared" si="58"/>
        <v>0</v>
      </c>
      <c r="D244" s="533">
        <f t="shared" si="59"/>
        <v>0</v>
      </c>
      <c r="E244" s="420"/>
      <c r="F244" s="420" t="str">
        <f t="shared" si="60"/>
        <v>Vacant</v>
      </c>
      <c r="G244" s="586">
        <f t="shared" si="61"/>
        <v>0</v>
      </c>
      <c r="H244" s="581"/>
      <c r="J244" s="582">
        <f>HLOOKUP($J$7,'MR-Stat Data Sheet Bud'!$U$8:$AF$1081,$AA244,FALSE)</f>
        <v>0</v>
      </c>
      <c r="K244" s="582">
        <f>HLOOKUP($J$7,'MR-Stat Data Sheet Bud'!$AS$8:$BD$1081,$AA244,FALSE)</f>
        <v>0</v>
      </c>
      <c r="L244" s="582">
        <f t="shared" si="62"/>
        <v>0</v>
      </c>
      <c r="N244" s="582">
        <f>HLOOKUP($J$7,'MR-Stat Data Sheet Bud'!$BE$8:$BP$1081,$AA244,FALSE)</f>
        <v>0</v>
      </c>
      <c r="O244" s="582">
        <f>HLOOKUP($J$7,'MR-Stat Data Sheet Bud'!$AS$8:$BD$1081,$AA244,FALSE)</f>
        <v>0</v>
      </c>
      <c r="P244" s="582">
        <f t="shared" si="63"/>
        <v>0</v>
      </c>
      <c r="Q244" s="583"/>
      <c r="S244" s="599"/>
      <c r="T244" s="582">
        <v>0</v>
      </c>
      <c r="U244" s="583"/>
      <c r="V244" s="480"/>
      <c r="W244" s="495"/>
      <c r="X244" s="480"/>
      <c r="Y244" s="480"/>
      <c r="Z244" s="495"/>
      <c r="AA244" s="472">
        <f t="shared" si="48"/>
        <v>236</v>
      </c>
      <c r="AB244" s="480"/>
      <c r="AC244" s="480"/>
      <c r="AD244" s="480"/>
      <c r="AE244" s="495"/>
      <c r="AF244" s="480"/>
      <c r="AG244" s="480"/>
    </row>
    <row r="245" spans="1:33" s="471" customFormat="1" hidden="1">
      <c r="A245" s="420">
        <f t="shared" si="49"/>
        <v>235</v>
      </c>
      <c r="B245" s="585">
        <f t="shared" si="57"/>
        <v>0</v>
      </c>
      <c r="C245" s="533">
        <f t="shared" si="58"/>
        <v>0</v>
      </c>
      <c r="D245" s="533">
        <f t="shared" si="59"/>
        <v>0</v>
      </c>
      <c r="E245" s="420"/>
      <c r="F245" s="420" t="str">
        <f t="shared" si="60"/>
        <v>Vacant</v>
      </c>
      <c r="G245" s="586">
        <f t="shared" si="61"/>
        <v>0</v>
      </c>
      <c r="H245" s="581"/>
      <c r="J245" s="582">
        <f>HLOOKUP($J$7,'MR-Stat Data Sheet Bud'!$U$8:$AF$1081,$AA245,FALSE)</f>
        <v>0</v>
      </c>
      <c r="K245" s="582">
        <f>HLOOKUP($J$7,'MR-Stat Data Sheet Bud'!$AS$8:$BD$1081,$AA245,FALSE)</f>
        <v>0</v>
      </c>
      <c r="L245" s="582">
        <f t="shared" si="62"/>
        <v>0</v>
      </c>
      <c r="N245" s="582">
        <f>HLOOKUP($J$7,'MR-Stat Data Sheet Bud'!$BE$8:$BP$1081,$AA245,FALSE)</f>
        <v>0</v>
      </c>
      <c r="O245" s="582">
        <f>HLOOKUP($J$7,'MR-Stat Data Sheet Bud'!$AS$8:$BD$1081,$AA245,FALSE)</f>
        <v>0</v>
      </c>
      <c r="P245" s="582">
        <f t="shared" si="63"/>
        <v>0</v>
      </c>
      <c r="Q245" s="583"/>
      <c r="S245" s="599"/>
      <c r="T245" s="582">
        <v>0</v>
      </c>
      <c r="U245" s="583"/>
      <c r="V245" s="480"/>
      <c r="W245" s="495"/>
      <c r="X245" s="480"/>
      <c r="Y245" s="480"/>
      <c r="Z245" s="495"/>
      <c r="AA245" s="472">
        <f t="shared" si="48"/>
        <v>237</v>
      </c>
      <c r="AB245" s="480"/>
      <c r="AC245" s="480"/>
      <c r="AD245" s="480"/>
      <c r="AE245" s="495"/>
      <c r="AF245" s="480"/>
      <c r="AG245" s="480"/>
    </row>
    <row r="246" spans="1:33" s="471" customFormat="1" hidden="1">
      <c r="A246" s="420">
        <f t="shared" si="49"/>
        <v>236</v>
      </c>
      <c r="B246" s="585">
        <f t="shared" si="57"/>
        <v>0</v>
      </c>
      <c r="C246" s="533">
        <f t="shared" si="58"/>
        <v>0</v>
      </c>
      <c r="D246" s="533">
        <f t="shared" si="59"/>
        <v>0</v>
      </c>
      <c r="E246" s="420"/>
      <c r="F246" s="420" t="str">
        <f t="shared" si="60"/>
        <v>Vacant</v>
      </c>
      <c r="G246" s="586">
        <f t="shared" si="61"/>
        <v>0</v>
      </c>
      <c r="H246" s="581"/>
      <c r="J246" s="582">
        <f>HLOOKUP($J$7,'MR-Stat Data Sheet Bud'!$U$8:$AF$1081,$AA246,FALSE)</f>
        <v>0</v>
      </c>
      <c r="K246" s="582">
        <f>HLOOKUP($J$7,'MR-Stat Data Sheet Bud'!$AS$8:$BD$1081,$AA246,FALSE)</f>
        <v>0</v>
      </c>
      <c r="L246" s="582">
        <f t="shared" si="62"/>
        <v>0</v>
      </c>
      <c r="N246" s="582">
        <f>HLOOKUP($J$7,'MR-Stat Data Sheet Bud'!$BE$8:$BP$1081,$AA246,FALSE)</f>
        <v>0</v>
      </c>
      <c r="O246" s="582">
        <f>HLOOKUP($J$7,'MR-Stat Data Sheet Bud'!$AS$8:$BD$1081,$AA246,FALSE)</f>
        <v>0</v>
      </c>
      <c r="P246" s="582">
        <f t="shared" si="63"/>
        <v>0</v>
      </c>
      <c r="Q246" s="583"/>
      <c r="S246" s="599"/>
      <c r="T246" s="582">
        <v>0</v>
      </c>
      <c r="U246" s="583"/>
      <c r="V246" s="480"/>
      <c r="W246" s="495"/>
      <c r="X246" s="480"/>
      <c r="Y246" s="480"/>
      <c r="Z246" s="495"/>
      <c r="AA246" s="472">
        <f t="shared" si="48"/>
        <v>238</v>
      </c>
      <c r="AB246" s="480"/>
      <c r="AC246" s="480"/>
      <c r="AD246" s="480"/>
      <c r="AE246" s="495"/>
      <c r="AF246" s="480"/>
      <c r="AG246" s="480"/>
    </row>
    <row r="247" spans="1:33" s="471" customFormat="1" hidden="1">
      <c r="A247" s="420">
        <f t="shared" si="49"/>
        <v>237</v>
      </c>
      <c r="B247" s="585">
        <f t="shared" si="57"/>
        <v>0</v>
      </c>
      <c r="C247" s="533">
        <f t="shared" si="58"/>
        <v>0</v>
      </c>
      <c r="D247" s="533">
        <f t="shared" si="59"/>
        <v>0</v>
      </c>
      <c r="E247" s="420"/>
      <c r="F247" s="420" t="str">
        <f t="shared" si="60"/>
        <v>Vacant</v>
      </c>
      <c r="G247" s="586">
        <f t="shared" si="61"/>
        <v>0</v>
      </c>
      <c r="H247" s="581"/>
      <c r="J247" s="582">
        <f>HLOOKUP($J$7,'MR-Stat Data Sheet Bud'!$U$8:$AF$1081,$AA247,FALSE)</f>
        <v>0</v>
      </c>
      <c r="K247" s="582">
        <f>HLOOKUP($J$7,'MR-Stat Data Sheet Bud'!$AS$8:$BD$1081,$AA247,FALSE)</f>
        <v>0</v>
      </c>
      <c r="L247" s="582">
        <f t="shared" si="62"/>
        <v>0</v>
      </c>
      <c r="N247" s="582">
        <f>HLOOKUP($J$7,'MR-Stat Data Sheet Bud'!$BE$8:$BP$1081,$AA247,FALSE)</f>
        <v>0</v>
      </c>
      <c r="O247" s="582">
        <f>HLOOKUP($J$7,'MR-Stat Data Sheet Bud'!$AS$8:$BD$1081,$AA247,FALSE)</f>
        <v>0</v>
      </c>
      <c r="P247" s="582">
        <f t="shared" si="63"/>
        <v>0</v>
      </c>
      <c r="Q247" s="583"/>
      <c r="S247" s="599"/>
      <c r="T247" s="582">
        <v>0</v>
      </c>
      <c r="U247" s="583"/>
      <c r="V247" s="480"/>
      <c r="W247" s="495"/>
      <c r="X247" s="480"/>
      <c r="Y247" s="480"/>
      <c r="Z247" s="495"/>
      <c r="AA247" s="472">
        <f t="shared" si="48"/>
        <v>239</v>
      </c>
      <c r="AB247" s="480"/>
      <c r="AC247" s="480"/>
      <c r="AD247" s="480"/>
      <c r="AE247" s="495"/>
      <c r="AF247" s="480"/>
      <c r="AG247" s="480"/>
    </row>
    <row r="248" spans="1:33" s="471" customFormat="1" hidden="1">
      <c r="A248" s="420">
        <f t="shared" si="49"/>
        <v>238</v>
      </c>
      <c r="B248" s="585">
        <f t="shared" si="57"/>
        <v>0</v>
      </c>
      <c r="C248" s="533">
        <f t="shared" si="58"/>
        <v>0</v>
      </c>
      <c r="D248" s="533">
        <f t="shared" si="59"/>
        <v>0</v>
      </c>
      <c r="E248" s="420"/>
      <c r="F248" s="420" t="str">
        <f t="shared" si="60"/>
        <v>Vacant</v>
      </c>
      <c r="G248" s="586">
        <f t="shared" si="61"/>
        <v>0</v>
      </c>
      <c r="H248" s="581"/>
      <c r="J248" s="582">
        <f>HLOOKUP($J$7,'MR-Stat Data Sheet Bud'!$U$8:$AF$1081,$AA248,FALSE)</f>
        <v>0</v>
      </c>
      <c r="K248" s="582">
        <f>HLOOKUP($J$7,'MR-Stat Data Sheet Bud'!$AS$8:$BD$1081,$AA248,FALSE)</f>
        <v>0</v>
      </c>
      <c r="L248" s="582">
        <f t="shared" si="62"/>
        <v>0</v>
      </c>
      <c r="N248" s="582">
        <f>HLOOKUP($J$7,'MR-Stat Data Sheet Bud'!$BE$8:$BP$1081,$AA248,FALSE)</f>
        <v>0</v>
      </c>
      <c r="O248" s="582">
        <f>HLOOKUP($J$7,'MR-Stat Data Sheet Bud'!$AS$8:$BD$1081,$AA248,FALSE)</f>
        <v>0</v>
      </c>
      <c r="P248" s="582">
        <f t="shared" si="63"/>
        <v>0</v>
      </c>
      <c r="Q248" s="583"/>
      <c r="S248" s="599"/>
      <c r="T248" s="582">
        <v>0</v>
      </c>
      <c r="U248" s="583"/>
      <c r="V248" s="480"/>
      <c r="W248" s="495"/>
      <c r="X248" s="480"/>
      <c r="Y248" s="480"/>
      <c r="Z248" s="495"/>
      <c r="AA248" s="472">
        <f t="shared" si="48"/>
        <v>240</v>
      </c>
      <c r="AB248" s="480"/>
      <c r="AC248" s="480"/>
      <c r="AD248" s="480"/>
      <c r="AE248" s="495"/>
      <c r="AF248" s="480"/>
      <c r="AG248" s="480"/>
    </row>
    <row r="249" spans="1:33" s="471" customFormat="1" hidden="1">
      <c r="A249" s="420">
        <f t="shared" si="49"/>
        <v>239</v>
      </c>
      <c r="B249" s="585">
        <f t="shared" si="57"/>
        <v>0</v>
      </c>
      <c r="C249" s="533">
        <f t="shared" si="58"/>
        <v>0</v>
      </c>
      <c r="D249" s="533">
        <f t="shared" si="59"/>
        <v>0</v>
      </c>
      <c r="E249" s="420"/>
      <c r="F249" s="420" t="str">
        <f t="shared" si="60"/>
        <v>Vacant</v>
      </c>
      <c r="G249" s="586">
        <f t="shared" si="61"/>
        <v>0</v>
      </c>
      <c r="H249" s="581"/>
      <c r="J249" s="582">
        <f>HLOOKUP($J$7,'MR-Stat Data Sheet Bud'!$U$8:$AF$1081,$AA249,FALSE)</f>
        <v>0</v>
      </c>
      <c r="K249" s="582">
        <f>HLOOKUP($J$7,'MR-Stat Data Sheet Bud'!$AS$8:$BD$1081,$AA249,FALSE)</f>
        <v>0</v>
      </c>
      <c r="L249" s="582">
        <f t="shared" si="62"/>
        <v>0</v>
      </c>
      <c r="N249" s="582">
        <f>HLOOKUP($J$7,'MR-Stat Data Sheet Bud'!$BE$8:$BP$1081,$AA249,FALSE)</f>
        <v>0</v>
      </c>
      <c r="O249" s="582">
        <f>HLOOKUP($J$7,'MR-Stat Data Sheet Bud'!$AS$8:$BD$1081,$AA249,FALSE)</f>
        <v>0</v>
      </c>
      <c r="P249" s="582">
        <f t="shared" si="63"/>
        <v>0</v>
      </c>
      <c r="Q249" s="583"/>
      <c r="S249" s="599"/>
      <c r="T249" s="582">
        <v>0</v>
      </c>
      <c r="U249" s="583"/>
      <c r="V249" s="480"/>
      <c r="W249" s="495"/>
      <c r="X249" s="480"/>
      <c r="Y249" s="480"/>
      <c r="Z249" s="495"/>
      <c r="AA249" s="472">
        <f t="shared" si="48"/>
        <v>241</v>
      </c>
      <c r="AB249" s="480"/>
      <c r="AC249" s="480"/>
      <c r="AD249" s="480"/>
      <c r="AE249" s="495"/>
      <c r="AF249" s="480"/>
      <c r="AG249" s="480"/>
    </row>
    <row r="250" spans="1:33" s="471" customFormat="1" hidden="1">
      <c r="A250" s="420">
        <f t="shared" si="49"/>
        <v>240</v>
      </c>
      <c r="B250" s="585">
        <f t="shared" si="57"/>
        <v>0</v>
      </c>
      <c r="C250" s="533">
        <f t="shared" si="58"/>
        <v>0</v>
      </c>
      <c r="D250" s="533">
        <f t="shared" si="59"/>
        <v>0</v>
      </c>
      <c r="E250" s="420"/>
      <c r="F250" s="420" t="str">
        <f t="shared" si="60"/>
        <v>Vacant</v>
      </c>
      <c r="G250" s="586">
        <f t="shared" si="61"/>
        <v>0</v>
      </c>
      <c r="H250" s="581"/>
      <c r="J250" s="582">
        <f>HLOOKUP($J$7,'MR-Stat Data Sheet Bud'!$U$8:$AF$1081,$AA250,FALSE)</f>
        <v>0</v>
      </c>
      <c r="K250" s="582">
        <f>HLOOKUP($J$7,'MR-Stat Data Sheet Bud'!$AS$8:$BD$1081,$AA250,FALSE)</f>
        <v>0</v>
      </c>
      <c r="L250" s="582">
        <f t="shared" si="62"/>
        <v>0</v>
      </c>
      <c r="N250" s="582">
        <f>HLOOKUP($J$7,'MR-Stat Data Sheet Bud'!$BE$8:$BP$1081,$AA250,FALSE)</f>
        <v>0</v>
      </c>
      <c r="O250" s="582">
        <f>HLOOKUP($J$7,'MR-Stat Data Sheet Bud'!$AS$8:$BD$1081,$AA250,FALSE)</f>
        <v>0</v>
      </c>
      <c r="P250" s="582">
        <f t="shared" si="63"/>
        <v>0</v>
      </c>
      <c r="Q250" s="583"/>
      <c r="S250" s="599"/>
      <c r="T250" s="582">
        <v>0</v>
      </c>
      <c r="U250" s="583"/>
      <c r="V250" s="480"/>
      <c r="W250" s="495"/>
      <c r="X250" s="480"/>
      <c r="Y250" s="480"/>
      <c r="Z250" s="495"/>
      <c r="AA250" s="472">
        <f t="shared" si="48"/>
        <v>242</v>
      </c>
      <c r="AB250" s="480"/>
      <c r="AC250" s="480"/>
      <c r="AD250" s="480"/>
      <c r="AE250" s="495"/>
      <c r="AF250" s="480"/>
      <c r="AG250" s="480"/>
    </row>
    <row r="251" spans="1:33" s="471" customFormat="1" hidden="1">
      <c r="A251" s="420">
        <f t="shared" si="49"/>
        <v>241</v>
      </c>
      <c r="B251" s="585">
        <f t="shared" si="57"/>
        <v>0</v>
      </c>
      <c r="C251" s="533">
        <f t="shared" si="58"/>
        <v>0</v>
      </c>
      <c r="D251" s="533">
        <f t="shared" si="59"/>
        <v>0</v>
      </c>
      <c r="E251" s="420"/>
      <c r="F251" s="420" t="str">
        <f t="shared" si="60"/>
        <v>Vacant</v>
      </c>
      <c r="G251" s="586">
        <f t="shared" si="61"/>
        <v>0</v>
      </c>
      <c r="H251" s="581"/>
      <c r="J251" s="582">
        <f>HLOOKUP($J$7,'MR-Stat Data Sheet Bud'!$U$8:$AF$1081,$AA251,FALSE)</f>
        <v>0</v>
      </c>
      <c r="K251" s="582">
        <f>HLOOKUP($J$7,'MR-Stat Data Sheet Bud'!$AS$8:$BD$1081,$AA251,FALSE)</f>
        <v>0</v>
      </c>
      <c r="L251" s="582">
        <f t="shared" si="62"/>
        <v>0</v>
      </c>
      <c r="N251" s="582">
        <f>HLOOKUP($J$7,'MR-Stat Data Sheet Bud'!$BE$8:$BP$1081,$AA251,FALSE)</f>
        <v>0</v>
      </c>
      <c r="O251" s="582">
        <f>HLOOKUP($J$7,'MR-Stat Data Sheet Bud'!$AS$8:$BD$1081,$AA251,FALSE)</f>
        <v>0</v>
      </c>
      <c r="P251" s="582">
        <f t="shared" si="63"/>
        <v>0</v>
      </c>
      <c r="Q251" s="583"/>
      <c r="S251" s="599"/>
      <c r="T251" s="582">
        <v>0</v>
      </c>
      <c r="U251" s="583"/>
      <c r="V251" s="480"/>
      <c r="W251" s="495"/>
      <c r="X251" s="480"/>
      <c r="Y251" s="480"/>
      <c r="Z251" s="495"/>
      <c r="AA251" s="472">
        <f t="shared" si="48"/>
        <v>243</v>
      </c>
      <c r="AB251" s="480"/>
      <c r="AC251" s="480"/>
      <c r="AD251" s="480"/>
      <c r="AE251" s="495"/>
      <c r="AF251" s="480"/>
      <c r="AG251" s="480"/>
    </row>
    <row r="252" spans="1:33" s="471" customFormat="1" hidden="1">
      <c r="A252" s="420">
        <f t="shared" si="49"/>
        <v>242</v>
      </c>
      <c r="B252" s="585">
        <f t="shared" si="57"/>
        <v>0</v>
      </c>
      <c r="C252" s="533">
        <f t="shared" si="58"/>
        <v>0</v>
      </c>
      <c r="D252" s="533">
        <f t="shared" si="59"/>
        <v>0</v>
      </c>
      <c r="E252" s="420"/>
      <c r="F252" s="420" t="str">
        <f t="shared" si="60"/>
        <v>Vacant</v>
      </c>
      <c r="G252" s="586">
        <f t="shared" si="61"/>
        <v>0</v>
      </c>
      <c r="H252" s="581"/>
      <c r="J252" s="582">
        <f>HLOOKUP($J$7,'MR-Stat Data Sheet Bud'!$U$8:$AF$1081,$AA252,FALSE)</f>
        <v>0</v>
      </c>
      <c r="K252" s="582">
        <f>HLOOKUP($J$7,'MR-Stat Data Sheet Bud'!$AS$8:$BD$1081,$AA252,FALSE)</f>
        <v>0</v>
      </c>
      <c r="L252" s="582">
        <f t="shared" si="62"/>
        <v>0</v>
      </c>
      <c r="N252" s="582">
        <f>HLOOKUP($J$7,'MR-Stat Data Sheet Bud'!$BE$8:$BP$1081,$AA252,FALSE)</f>
        <v>0</v>
      </c>
      <c r="O252" s="582">
        <f>HLOOKUP($J$7,'MR-Stat Data Sheet Bud'!$AS$8:$BD$1081,$AA252,FALSE)</f>
        <v>0</v>
      </c>
      <c r="P252" s="582">
        <f t="shared" si="63"/>
        <v>0</v>
      </c>
      <c r="Q252" s="583"/>
      <c r="S252" s="599"/>
      <c r="T252" s="582">
        <v>0</v>
      </c>
      <c r="U252" s="583"/>
      <c r="V252" s="480"/>
      <c r="W252" s="495"/>
      <c r="X252" s="480"/>
      <c r="Y252" s="480"/>
      <c r="Z252" s="495"/>
      <c r="AA252" s="472">
        <f t="shared" si="48"/>
        <v>244</v>
      </c>
      <c r="AB252" s="480"/>
      <c r="AC252" s="480"/>
      <c r="AD252" s="480"/>
      <c r="AE252" s="495"/>
      <c r="AF252" s="480"/>
      <c r="AG252" s="480"/>
    </row>
    <row r="253" spans="1:33" s="471" customFormat="1" hidden="1">
      <c r="A253" s="420">
        <f t="shared" si="49"/>
        <v>243</v>
      </c>
      <c r="B253" s="585">
        <f t="shared" si="57"/>
        <v>0</v>
      </c>
      <c r="C253" s="533">
        <f t="shared" si="58"/>
        <v>0</v>
      </c>
      <c r="D253" s="533">
        <f t="shared" si="59"/>
        <v>0</v>
      </c>
      <c r="E253" s="420"/>
      <c r="F253" s="420" t="str">
        <f t="shared" si="60"/>
        <v>Vacant</v>
      </c>
      <c r="G253" s="586">
        <f t="shared" si="61"/>
        <v>0</v>
      </c>
      <c r="H253" s="581"/>
      <c r="J253" s="582">
        <f>HLOOKUP($J$7,'MR-Stat Data Sheet Bud'!$U$8:$AF$1081,$AA253,FALSE)</f>
        <v>0</v>
      </c>
      <c r="K253" s="582">
        <f>HLOOKUP($J$7,'MR-Stat Data Sheet Bud'!$AS$8:$BD$1081,$AA253,FALSE)</f>
        <v>0</v>
      </c>
      <c r="L253" s="582">
        <f t="shared" si="62"/>
        <v>0</v>
      </c>
      <c r="N253" s="582">
        <f>HLOOKUP($J$7,'MR-Stat Data Sheet Bud'!$BE$8:$BP$1081,$AA253,FALSE)</f>
        <v>0</v>
      </c>
      <c r="O253" s="582">
        <f>HLOOKUP($J$7,'MR-Stat Data Sheet Bud'!$AS$8:$BD$1081,$AA253,FALSE)</f>
        <v>0</v>
      </c>
      <c r="P253" s="582">
        <f t="shared" si="63"/>
        <v>0</v>
      </c>
      <c r="Q253" s="583"/>
      <c r="S253" s="599"/>
      <c r="T253" s="582">
        <v>0</v>
      </c>
      <c r="U253" s="583"/>
      <c r="V253" s="480"/>
      <c r="W253" s="495"/>
      <c r="X253" s="480"/>
      <c r="Y253" s="480"/>
      <c r="Z253" s="495"/>
      <c r="AA253" s="472">
        <f t="shared" si="48"/>
        <v>245</v>
      </c>
      <c r="AB253" s="480"/>
      <c r="AC253" s="480"/>
      <c r="AD253" s="480"/>
      <c r="AE253" s="495"/>
      <c r="AF253" s="480"/>
      <c r="AG253" s="480"/>
    </row>
    <row r="254" spans="1:33" s="471" customFormat="1" hidden="1">
      <c r="A254" s="420">
        <f t="shared" si="49"/>
        <v>244</v>
      </c>
      <c r="B254" s="585">
        <f t="shared" si="57"/>
        <v>0</v>
      </c>
      <c r="C254" s="533">
        <f t="shared" si="58"/>
        <v>0</v>
      </c>
      <c r="D254" s="533">
        <f t="shared" si="59"/>
        <v>0</v>
      </c>
      <c r="E254" s="420"/>
      <c r="F254" s="420" t="str">
        <f t="shared" si="60"/>
        <v>Vacant</v>
      </c>
      <c r="G254" s="586">
        <f t="shared" si="61"/>
        <v>0</v>
      </c>
      <c r="H254" s="581"/>
      <c r="J254" s="582">
        <f>HLOOKUP($J$7,'MR-Stat Data Sheet Bud'!$U$8:$AF$1081,$AA254,FALSE)</f>
        <v>0</v>
      </c>
      <c r="K254" s="582">
        <f>HLOOKUP($J$7,'MR-Stat Data Sheet Bud'!$AS$8:$BD$1081,$AA254,FALSE)</f>
        <v>0</v>
      </c>
      <c r="L254" s="582">
        <f t="shared" si="62"/>
        <v>0</v>
      </c>
      <c r="N254" s="582">
        <f>HLOOKUP($J$7,'MR-Stat Data Sheet Bud'!$BE$8:$BP$1081,$AA254,FALSE)</f>
        <v>0</v>
      </c>
      <c r="O254" s="582">
        <f>HLOOKUP($J$7,'MR-Stat Data Sheet Bud'!$AS$8:$BD$1081,$AA254,FALSE)</f>
        <v>0</v>
      </c>
      <c r="P254" s="582">
        <f t="shared" si="63"/>
        <v>0</v>
      </c>
      <c r="Q254" s="583"/>
      <c r="S254" s="599"/>
      <c r="T254" s="582">
        <v>0</v>
      </c>
      <c r="U254" s="583"/>
      <c r="V254" s="480"/>
      <c r="W254" s="495"/>
      <c r="X254" s="480"/>
      <c r="Y254" s="480"/>
      <c r="Z254" s="495"/>
      <c r="AA254" s="472">
        <f t="shared" si="48"/>
        <v>246</v>
      </c>
      <c r="AB254" s="480"/>
      <c r="AC254" s="480"/>
      <c r="AD254" s="480"/>
      <c r="AE254" s="495"/>
      <c r="AF254" s="480"/>
      <c r="AG254" s="480"/>
    </row>
    <row r="255" spans="1:33" s="471" customFormat="1" hidden="1">
      <c r="A255" s="420">
        <f t="shared" si="49"/>
        <v>245</v>
      </c>
      <c r="B255" s="585">
        <f t="shared" si="57"/>
        <v>0</v>
      </c>
      <c r="C255" s="533">
        <f t="shared" si="58"/>
        <v>0</v>
      </c>
      <c r="D255" s="533">
        <f t="shared" si="59"/>
        <v>0</v>
      </c>
      <c r="E255" s="420"/>
      <c r="F255" s="420" t="str">
        <f t="shared" si="60"/>
        <v>Vacant</v>
      </c>
      <c r="G255" s="586">
        <f t="shared" si="61"/>
        <v>0</v>
      </c>
      <c r="H255" s="581"/>
      <c r="J255" s="582">
        <f>HLOOKUP($J$7,'MR-Stat Data Sheet Bud'!$U$8:$AF$1081,$AA255,FALSE)</f>
        <v>0</v>
      </c>
      <c r="K255" s="582">
        <f>HLOOKUP($J$7,'MR-Stat Data Sheet Bud'!$AS$8:$BD$1081,$AA255,FALSE)</f>
        <v>0</v>
      </c>
      <c r="L255" s="582">
        <f t="shared" si="62"/>
        <v>0</v>
      </c>
      <c r="N255" s="582">
        <f>HLOOKUP($J$7,'MR-Stat Data Sheet Bud'!$BE$8:$BP$1081,$AA255,FALSE)</f>
        <v>0</v>
      </c>
      <c r="O255" s="582">
        <f>HLOOKUP($J$7,'MR-Stat Data Sheet Bud'!$AS$8:$BD$1081,$AA255,FALSE)</f>
        <v>0</v>
      </c>
      <c r="P255" s="582">
        <f t="shared" si="63"/>
        <v>0</v>
      </c>
      <c r="Q255" s="583"/>
      <c r="S255" s="599"/>
      <c r="T255" s="582">
        <v>0</v>
      </c>
      <c r="U255" s="583"/>
      <c r="V255" s="480"/>
      <c r="W255" s="495"/>
      <c r="X255" s="480"/>
      <c r="Y255" s="480"/>
      <c r="Z255" s="495"/>
      <c r="AA255" s="472">
        <f t="shared" si="48"/>
        <v>247</v>
      </c>
      <c r="AB255" s="480"/>
      <c r="AC255" s="480"/>
      <c r="AD255" s="480"/>
      <c r="AE255" s="495"/>
      <c r="AF255" s="480"/>
      <c r="AG255" s="480"/>
    </row>
    <row r="256" spans="1:33" s="471" customFormat="1" hidden="1">
      <c r="A256" s="420">
        <f t="shared" si="49"/>
        <v>246</v>
      </c>
      <c r="B256" s="585">
        <f t="shared" si="57"/>
        <v>0</v>
      </c>
      <c r="C256" s="533">
        <f t="shared" si="58"/>
        <v>0</v>
      </c>
      <c r="D256" s="533">
        <f t="shared" si="59"/>
        <v>0</v>
      </c>
      <c r="E256" s="420"/>
      <c r="F256" s="420" t="str">
        <f t="shared" si="60"/>
        <v>Vacant</v>
      </c>
      <c r="G256" s="586">
        <f t="shared" si="61"/>
        <v>0</v>
      </c>
      <c r="H256" s="581"/>
      <c r="J256" s="582">
        <f>HLOOKUP($J$7,'MR-Stat Data Sheet Bud'!$U$8:$AF$1081,$AA256,FALSE)</f>
        <v>0</v>
      </c>
      <c r="K256" s="582">
        <f>HLOOKUP($J$7,'MR-Stat Data Sheet Bud'!$AS$8:$BD$1081,$AA256,FALSE)</f>
        <v>0</v>
      </c>
      <c r="L256" s="582">
        <f t="shared" si="62"/>
        <v>0</v>
      </c>
      <c r="N256" s="582">
        <f>HLOOKUP($J$7,'MR-Stat Data Sheet Bud'!$BE$8:$BP$1081,$AA256,FALSE)</f>
        <v>0</v>
      </c>
      <c r="O256" s="582">
        <f>HLOOKUP($J$7,'MR-Stat Data Sheet Bud'!$AS$8:$BD$1081,$AA256,FALSE)</f>
        <v>0</v>
      </c>
      <c r="P256" s="582">
        <f t="shared" si="63"/>
        <v>0</v>
      </c>
      <c r="Q256" s="583"/>
      <c r="S256" s="599"/>
      <c r="T256" s="582">
        <v>0</v>
      </c>
      <c r="U256" s="583"/>
      <c r="V256" s="480"/>
      <c r="W256" s="495"/>
      <c r="X256" s="480"/>
      <c r="Y256" s="480"/>
      <c r="Z256" s="495"/>
      <c r="AA256" s="472">
        <f t="shared" si="48"/>
        <v>248</v>
      </c>
      <c r="AB256" s="480"/>
      <c r="AC256" s="480"/>
      <c r="AD256" s="480"/>
      <c r="AE256" s="495"/>
      <c r="AF256" s="480"/>
      <c r="AG256" s="480"/>
    </row>
    <row r="257" spans="1:33" s="471" customFormat="1" hidden="1">
      <c r="A257" s="420">
        <f t="shared" si="49"/>
        <v>247</v>
      </c>
      <c r="B257" s="585">
        <f t="shared" si="57"/>
        <v>0</v>
      </c>
      <c r="C257" s="533">
        <f t="shared" si="58"/>
        <v>0</v>
      </c>
      <c r="D257" s="533">
        <f t="shared" si="59"/>
        <v>0</v>
      </c>
      <c r="E257" s="420"/>
      <c r="F257" s="420" t="str">
        <f t="shared" si="60"/>
        <v>Vacant</v>
      </c>
      <c r="G257" s="586">
        <f t="shared" si="61"/>
        <v>0</v>
      </c>
      <c r="H257" s="581"/>
      <c r="J257" s="582">
        <f>HLOOKUP($J$7,'MR-Stat Data Sheet Bud'!$U$8:$AF$1081,$AA257,FALSE)</f>
        <v>0</v>
      </c>
      <c r="K257" s="582">
        <f>HLOOKUP($J$7,'MR-Stat Data Sheet Bud'!$AS$8:$BD$1081,$AA257,FALSE)</f>
        <v>0</v>
      </c>
      <c r="L257" s="582">
        <f t="shared" si="62"/>
        <v>0</v>
      </c>
      <c r="N257" s="582">
        <f>HLOOKUP($J$7,'MR-Stat Data Sheet Bud'!$BE$8:$BP$1081,$AA257,FALSE)</f>
        <v>0</v>
      </c>
      <c r="O257" s="582">
        <f>HLOOKUP($J$7,'MR-Stat Data Sheet Bud'!$AS$8:$BD$1081,$AA257,FALSE)</f>
        <v>0</v>
      </c>
      <c r="P257" s="582">
        <f t="shared" si="63"/>
        <v>0</v>
      </c>
      <c r="Q257" s="583"/>
      <c r="S257" s="599"/>
      <c r="T257" s="582">
        <v>0</v>
      </c>
      <c r="U257" s="583"/>
      <c r="V257" s="480"/>
      <c r="W257" s="495"/>
      <c r="X257" s="480"/>
      <c r="Y257" s="480"/>
      <c r="Z257" s="495"/>
      <c r="AA257" s="472">
        <f t="shared" si="48"/>
        <v>249</v>
      </c>
      <c r="AB257" s="480"/>
      <c r="AC257" s="480"/>
      <c r="AD257" s="480"/>
      <c r="AE257" s="495"/>
      <c r="AF257" s="480"/>
      <c r="AG257" s="480"/>
    </row>
    <row r="258" spans="1:33" s="471" customFormat="1" hidden="1">
      <c r="A258" s="420">
        <f t="shared" si="49"/>
        <v>248</v>
      </c>
      <c r="B258" s="585">
        <f t="shared" si="57"/>
        <v>0</v>
      </c>
      <c r="C258" s="533">
        <f t="shared" si="58"/>
        <v>0</v>
      </c>
      <c r="D258" s="533">
        <f t="shared" si="59"/>
        <v>0</v>
      </c>
      <c r="E258" s="420"/>
      <c r="F258" s="420" t="str">
        <f t="shared" si="60"/>
        <v>Vacant</v>
      </c>
      <c r="G258" s="586">
        <f t="shared" si="61"/>
        <v>0</v>
      </c>
      <c r="H258" s="581"/>
      <c r="J258" s="582">
        <f>HLOOKUP($J$7,'MR-Stat Data Sheet Bud'!$U$8:$AF$1081,$AA258,FALSE)</f>
        <v>0</v>
      </c>
      <c r="K258" s="582">
        <f>HLOOKUP($J$7,'MR-Stat Data Sheet Bud'!$AS$8:$BD$1081,$AA258,FALSE)</f>
        <v>0</v>
      </c>
      <c r="L258" s="582">
        <f t="shared" si="62"/>
        <v>0</v>
      </c>
      <c r="N258" s="582">
        <f>HLOOKUP($J$7,'MR-Stat Data Sheet Bud'!$BE$8:$BP$1081,$AA258,FALSE)</f>
        <v>0</v>
      </c>
      <c r="O258" s="582">
        <f>HLOOKUP($J$7,'MR-Stat Data Sheet Bud'!$AS$8:$BD$1081,$AA258,FALSE)</f>
        <v>0</v>
      </c>
      <c r="P258" s="582">
        <f t="shared" si="63"/>
        <v>0</v>
      </c>
      <c r="Q258" s="583"/>
      <c r="S258" s="599"/>
      <c r="T258" s="582">
        <v>0</v>
      </c>
      <c r="U258" s="583"/>
      <c r="V258" s="480"/>
      <c r="W258" s="495"/>
      <c r="X258" s="480"/>
      <c r="Y258" s="480"/>
      <c r="Z258" s="495"/>
      <c r="AA258" s="472">
        <f t="shared" si="48"/>
        <v>250</v>
      </c>
      <c r="AB258" s="480"/>
      <c r="AC258" s="480"/>
      <c r="AD258" s="480"/>
      <c r="AE258" s="495"/>
      <c r="AF258" s="480"/>
      <c r="AG258" s="480"/>
    </row>
    <row r="259" spans="1:33" s="471" customFormat="1" hidden="1">
      <c r="A259" s="420">
        <f t="shared" si="49"/>
        <v>249</v>
      </c>
      <c r="B259" s="585">
        <f t="shared" si="57"/>
        <v>0</v>
      </c>
      <c r="C259" s="533">
        <f t="shared" si="58"/>
        <v>0</v>
      </c>
      <c r="D259" s="533">
        <f t="shared" si="59"/>
        <v>0</v>
      </c>
      <c r="E259" s="420"/>
      <c r="F259" s="420" t="str">
        <f t="shared" si="60"/>
        <v>Vacant</v>
      </c>
      <c r="G259" s="586">
        <f t="shared" si="61"/>
        <v>0</v>
      </c>
      <c r="H259" s="581"/>
      <c r="J259" s="582">
        <f>HLOOKUP($J$7,'MR-Stat Data Sheet Bud'!$U$8:$AF$1081,$AA259,FALSE)</f>
        <v>0</v>
      </c>
      <c r="K259" s="582">
        <f>HLOOKUP($J$7,'MR-Stat Data Sheet Bud'!$AS$8:$BD$1081,$AA259,FALSE)</f>
        <v>0</v>
      </c>
      <c r="L259" s="582">
        <f t="shared" si="62"/>
        <v>0</v>
      </c>
      <c r="N259" s="582">
        <f>HLOOKUP($J$7,'MR-Stat Data Sheet Bud'!$BE$8:$BP$1081,$AA259,FALSE)</f>
        <v>0</v>
      </c>
      <c r="O259" s="582">
        <f>HLOOKUP($J$7,'MR-Stat Data Sheet Bud'!$AS$8:$BD$1081,$AA259,FALSE)</f>
        <v>0</v>
      </c>
      <c r="P259" s="582">
        <f t="shared" si="63"/>
        <v>0</v>
      </c>
      <c r="Q259" s="583"/>
      <c r="S259" s="599"/>
      <c r="T259" s="582">
        <v>0</v>
      </c>
      <c r="U259" s="583"/>
      <c r="V259" s="480"/>
      <c r="W259" s="495"/>
      <c r="X259" s="480"/>
      <c r="Y259" s="480"/>
      <c r="Z259" s="495"/>
      <c r="AA259" s="472">
        <f t="shared" si="48"/>
        <v>251</v>
      </c>
      <c r="AB259" s="480"/>
      <c r="AC259" s="480"/>
      <c r="AD259" s="480"/>
      <c r="AE259" s="495"/>
      <c r="AF259" s="480"/>
      <c r="AG259" s="480"/>
    </row>
    <row r="260" spans="1:33" s="471" customFormat="1" hidden="1">
      <c r="A260" s="420">
        <f t="shared" si="49"/>
        <v>250</v>
      </c>
      <c r="B260" s="585">
        <f t="shared" si="57"/>
        <v>0</v>
      </c>
      <c r="C260" s="533">
        <f t="shared" si="58"/>
        <v>0</v>
      </c>
      <c r="D260" s="533">
        <f t="shared" si="59"/>
        <v>0</v>
      </c>
      <c r="E260" s="420"/>
      <c r="F260" s="420" t="str">
        <f t="shared" si="60"/>
        <v>Vacant</v>
      </c>
      <c r="G260" s="586">
        <f t="shared" si="61"/>
        <v>0</v>
      </c>
      <c r="H260" s="581"/>
      <c r="J260" s="582">
        <f>HLOOKUP($J$7,'MR-Stat Data Sheet Bud'!$U$8:$AF$1081,$AA260,FALSE)</f>
        <v>0</v>
      </c>
      <c r="K260" s="582">
        <f>HLOOKUP($J$7,'MR-Stat Data Sheet Bud'!$AS$8:$BD$1081,$AA260,FALSE)</f>
        <v>0</v>
      </c>
      <c r="L260" s="582">
        <f t="shared" si="62"/>
        <v>0</v>
      </c>
      <c r="N260" s="582">
        <f>HLOOKUP($J$7,'MR-Stat Data Sheet Bud'!$BE$8:$BP$1081,$AA260,FALSE)</f>
        <v>0</v>
      </c>
      <c r="O260" s="582">
        <f>HLOOKUP($J$7,'MR-Stat Data Sheet Bud'!$AS$8:$BD$1081,$AA260,FALSE)</f>
        <v>0</v>
      </c>
      <c r="P260" s="582">
        <f t="shared" si="63"/>
        <v>0</v>
      </c>
      <c r="Q260" s="583"/>
      <c r="S260" s="599"/>
      <c r="T260" s="582">
        <v>0</v>
      </c>
      <c r="U260" s="583"/>
      <c r="V260" s="480"/>
      <c r="W260" s="495"/>
      <c r="X260" s="480"/>
      <c r="Y260" s="480"/>
      <c r="Z260" s="495"/>
      <c r="AA260" s="472">
        <f t="shared" si="48"/>
        <v>252</v>
      </c>
      <c r="AB260" s="480"/>
      <c r="AC260" s="480"/>
      <c r="AD260" s="480"/>
      <c r="AE260" s="495"/>
      <c r="AF260" s="480"/>
      <c r="AG260" s="480"/>
    </row>
    <row r="261" spans="1:33" s="471" customFormat="1" hidden="1">
      <c r="A261" s="420">
        <f t="shared" si="49"/>
        <v>251</v>
      </c>
      <c r="B261" s="585">
        <f t="shared" si="57"/>
        <v>0</v>
      </c>
      <c r="C261" s="533">
        <f t="shared" si="58"/>
        <v>0</v>
      </c>
      <c r="D261" s="533">
        <f t="shared" si="59"/>
        <v>0</v>
      </c>
      <c r="E261" s="420"/>
      <c r="F261" s="420" t="str">
        <f t="shared" si="60"/>
        <v>Vacant</v>
      </c>
      <c r="G261" s="586">
        <f t="shared" si="61"/>
        <v>0</v>
      </c>
      <c r="H261" s="581"/>
      <c r="J261" s="582">
        <f>HLOOKUP($J$7,'MR-Stat Data Sheet Bud'!$U$8:$AF$1081,$AA261,FALSE)</f>
        <v>0</v>
      </c>
      <c r="K261" s="582">
        <f>HLOOKUP($J$7,'MR-Stat Data Sheet Bud'!$AS$8:$BD$1081,$AA261,FALSE)</f>
        <v>0</v>
      </c>
      <c r="L261" s="582">
        <f t="shared" si="62"/>
        <v>0</v>
      </c>
      <c r="N261" s="582">
        <f>HLOOKUP($J$7,'MR-Stat Data Sheet Bud'!$BE$8:$BP$1081,$AA261,FALSE)</f>
        <v>0</v>
      </c>
      <c r="O261" s="582">
        <f>HLOOKUP($J$7,'MR-Stat Data Sheet Bud'!$AS$8:$BD$1081,$AA261,FALSE)</f>
        <v>0</v>
      </c>
      <c r="P261" s="582">
        <f t="shared" si="63"/>
        <v>0</v>
      </c>
      <c r="Q261" s="583"/>
      <c r="S261" s="599"/>
      <c r="T261" s="582">
        <v>0</v>
      </c>
      <c r="U261" s="583"/>
      <c r="V261" s="480"/>
      <c r="W261" s="495"/>
      <c r="X261" s="480"/>
      <c r="Y261" s="480"/>
      <c r="Z261" s="495"/>
      <c r="AA261" s="472">
        <f t="shared" si="48"/>
        <v>253</v>
      </c>
      <c r="AB261" s="480"/>
      <c r="AC261" s="480"/>
      <c r="AD261" s="480"/>
      <c r="AE261" s="495"/>
      <c r="AF261" s="480"/>
      <c r="AG261" s="480"/>
    </row>
    <row r="262" spans="1:33" s="471" customFormat="1" hidden="1">
      <c r="A262" s="420">
        <f t="shared" si="49"/>
        <v>252</v>
      </c>
      <c r="B262" s="585">
        <f t="shared" si="57"/>
        <v>0</v>
      </c>
      <c r="C262" s="533">
        <f t="shared" si="58"/>
        <v>0</v>
      </c>
      <c r="D262" s="533">
        <f t="shared" si="59"/>
        <v>0</v>
      </c>
      <c r="E262" s="420"/>
      <c r="F262" s="420" t="str">
        <f t="shared" si="60"/>
        <v>Vacant</v>
      </c>
      <c r="G262" s="586">
        <f t="shared" si="61"/>
        <v>0</v>
      </c>
      <c r="H262" s="581"/>
      <c r="J262" s="582">
        <f>HLOOKUP($J$7,'MR-Stat Data Sheet Bud'!$U$8:$AF$1081,$AA262,FALSE)</f>
        <v>0</v>
      </c>
      <c r="K262" s="582">
        <f>HLOOKUP($J$7,'MR-Stat Data Sheet Bud'!$AS$8:$BD$1081,$AA262,FALSE)</f>
        <v>0</v>
      </c>
      <c r="L262" s="582">
        <f t="shared" si="62"/>
        <v>0</v>
      </c>
      <c r="N262" s="582">
        <f>HLOOKUP($J$7,'MR-Stat Data Sheet Bud'!$BE$8:$BP$1081,$AA262,FALSE)</f>
        <v>0</v>
      </c>
      <c r="O262" s="582">
        <f>HLOOKUP($J$7,'MR-Stat Data Sheet Bud'!$AS$8:$BD$1081,$AA262,FALSE)</f>
        <v>0</v>
      </c>
      <c r="P262" s="582">
        <f t="shared" si="63"/>
        <v>0</v>
      </c>
      <c r="Q262" s="583"/>
      <c r="S262" s="599"/>
      <c r="T262" s="582">
        <v>0</v>
      </c>
      <c r="U262" s="583"/>
      <c r="V262" s="480"/>
      <c r="W262" s="495"/>
      <c r="X262" s="480"/>
      <c r="Y262" s="480"/>
      <c r="Z262" s="495"/>
      <c r="AA262" s="472">
        <f t="shared" si="48"/>
        <v>254</v>
      </c>
      <c r="AB262" s="480"/>
      <c r="AC262" s="480"/>
      <c r="AD262" s="480"/>
      <c r="AE262" s="495"/>
      <c r="AF262" s="480"/>
      <c r="AG262" s="480"/>
    </row>
    <row r="263" spans="1:33" s="471" customFormat="1" hidden="1">
      <c r="A263" s="420">
        <f t="shared" si="49"/>
        <v>253</v>
      </c>
      <c r="B263" s="585">
        <f t="shared" si="57"/>
        <v>0</v>
      </c>
      <c r="C263" s="533">
        <f t="shared" si="58"/>
        <v>0</v>
      </c>
      <c r="D263" s="533">
        <f t="shared" si="59"/>
        <v>0</v>
      </c>
      <c r="E263" s="420"/>
      <c r="F263" s="420" t="str">
        <f t="shared" si="60"/>
        <v>Vacant</v>
      </c>
      <c r="G263" s="586">
        <f t="shared" si="61"/>
        <v>0</v>
      </c>
      <c r="H263" s="581"/>
      <c r="J263" s="582">
        <f>HLOOKUP($J$7,'MR-Stat Data Sheet Bud'!$U$8:$AF$1081,$AA263,FALSE)</f>
        <v>0</v>
      </c>
      <c r="K263" s="582">
        <f>HLOOKUP($J$7,'MR-Stat Data Sheet Bud'!$AS$8:$BD$1081,$AA263,FALSE)</f>
        <v>0</v>
      </c>
      <c r="L263" s="582">
        <f t="shared" si="62"/>
        <v>0</v>
      </c>
      <c r="N263" s="582">
        <f>HLOOKUP($J$7,'MR-Stat Data Sheet Bud'!$BE$8:$BP$1081,$AA263,FALSE)</f>
        <v>0</v>
      </c>
      <c r="O263" s="582">
        <f>HLOOKUP($J$7,'MR-Stat Data Sheet Bud'!$AS$8:$BD$1081,$AA263,FALSE)</f>
        <v>0</v>
      </c>
      <c r="P263" s="582">
        <f t="shared" si="63"/>
        <v>0</v>
      </c>
      <c r="Q263" s="583"/>
      <c r="S263" s="599"/>
      <c r="T263" s="582">
        <v>0</v>
      </c>
      <c r="U263" s="583"/>
      <c r="V263" s="480"/>
      <c r="W263" s="495"/>
      <c r="X263" s="480"/>
      <c r="Y263" s="480"/>
      <c r="Z263" s="495"/>
      <c r="AA263" s="472">
        <f t="shared" si="48"/>
        <v>255</v>
      </c>
      <c r="AB263" s="480"/>
      <c r="AC263" s="480"/>
      <c r="AD263" s="480"/>
      <c r="AE263" s="495"/>
      <c r="AF263" s="480"/>
      <c r="AG263" s="480"/>
    </row>
    <row r="264" spans="1:33" s="471" customFormat="1" hidden="1">
      <c r="A264" s="420">
        <f t="shared" si="49"/>
        <v>254</v>
      </c>
      <c r="B264" s="585">
        <f t="shared" si="57"/>
        <v>0</v>
      </c>
      <c r="C264" s="533">
        <f t="shared" si="58"/>
        <v>0</v>
      </c>
      <c r="D264" s="533">
        <f t="shared" si="59"/>
        <v>0</v>
      </c>
      <c r="E264" s="420"/>
      <c r="F264" s="420" t="str">
        <f t="shared" si="60"/>
        <v>Vacant</v>
      </c>
      <c r="G264" s="586">
        <f t="shared" si="61"/>
        <v>0</v>
      </c>
      <c r="H264" s="581"/>
      <c r="J264" s="582">
        <f>HLOOKUP($J$7,'MR-Stat Data Sheet Bud'!$U$8:$AF$1081,$AA264,FALSE)</f>
        <v>0</v>
      </c>
      <c r="K264" s="582">
        <f>HLOOKUP($J$7,'MR-Stat Data Sheet Bud'!$AS$8:$BD$1081,$AA264,FALSE)</f>
        <v>0</v>
      </c>
      <c r="L264" s="582">
        <f t="shared" si="62"/>
        <v>0</v>
      </c>
      <c r="N264" s="582">
        <f>HLOOKUP($J$7,'MR-Stat Data Sheet Bud'!$BE$8:$BP$1081,$AA264,FALSE)</f>
        <v>0</v>
      </c>
      <c r="O264" s="582">
        <f>HLOOKUP($J$7,'MR-Stat Data Sheet Bud'!$AS$8:$BD$1081,$AA264,FALSE)</f>
        <v>0</v>
      </c>
      <c r="P264" s="582">
        <f t="shared" si="63"/>
        <v>0</v>
      </c>
      <c r="Q264" s="583"/>
      <c r="S264" s="599"/>
      <c r="T264" s="582">
        <v>0</v>
      </c>
      <c r="U264" s="583"/>
      <c r="V264" s="480"/>
      <c r="W264" s="495"/>
      <c r="X264" s="480"/>
      <c r="Y264" s="480"/>
      <c r="Z264" s="495"/>
      <c r="AA264" s="472">
        <f t="shared" si="48"/>
        <v>256</v>
      </c>
      <c r="AB264" s="480"/>
      <c r="AC264" s="480"/>
      <c r="AD264" s="480"/>
      <c r="AE264" s="495"/>
      <c r="AF264" s="480"/>
      <c r="AG264" s="480"/>
    </row>
    <row r="265" spans="1:33" s="471" customFormat="1" hidden="1">
      <c r="A265" s="420">
        <f t="shared" si="49"/>
        <v>255</v>
      </c>
      <c r="B265" s="585">
        <f t="shared" si="57"/>
        <v>0</v>
      </c>
      <c r="C265" s="533">
        <f t="shared" si="58"/>
        <v>0</v>
      </c>
      <c r="D265" s="533">
        <f t="shared" si="59"/>
        <v>0</v>
      </c>
      <c r="E265" s="420"/>
      <c r="F265" s="420" t="str">
        <f t="shared" si="60"/>
        <v>Vacant</v>
      </c>
      <c r="G265" s="586">
        <f t="shared" si="61"/>
        <v>0</v>
      </c>
      <c r="H265" s="581"/>
      <c r="J265" s="582">
        <f>HLOOKUP($J$7,'MR-Stat Data Sheet Bud'!$U$8:$AF$1081,$AA265,FALSE)</f>
        <v>0</v>
      </c>
      <c r="K265" s="582">
        <f>HLOOKUP($J$7,'MR-Stat Data Sheet Bud'!$AS$8:$BD$1081,$AA265,FALSE)</f>
        <v>0</v>
      </c>
      <c r="L265" s="582">
        <f t="shared" si="62"/>
        <v>0</v>
      </c>
      <c r="N265" s="582">
        <f>HLOOKUP($J$7,'MR-Stat Data Sheet Bud'!$BE$8:$BP$1081,$AA265,FALSE)</f>
        <v>0</v>
      </c>
      <c r="O265" s="582">
        <f>HLOOKUP($J$7,'MR-Stat Data Sheet Bud'!$AS$8:$BD$1081,$AA265,FALSE)</f>
        <v>0</v>
      </c>
      <c r="P265" s="582">
        <f t="shared" si="63"/>
        <v>0</v>
      </c>
      <c r="Q265" s="583"/>
      <c r="S265" s="599"/>
      <c r="T265" s="582">
        <v>0</v>
      </c>
      <c r="U265" s="583"/>
      <c r="V265" s="480"/>
      <c r="W265" s="495"/>
      <c r="X265" s="480"/>
      <c r="Y265" s="480"/>
      <c r="Z265" s="495"/>
      <c r="AA265" s="472">
        <f t="shared" si="48"/>
        <v>257</v>
      </c>
      <c r="AB265" s="480"/>
      <c r="AC265" s="480"/>
      <c r="AD265" s="480"/>
      <c r="AE265" s="495"/>
      <c r="AF265" s="480"/>
      <c r="AG265" s="480"/>
    </row>
    <row r="266" spans="1:33" s="471" customFormat="1" hidden="1">
      <c r="A266" s="420">
        <f t="shared" si="49"/>
        <v>256</v>
      </c>
      <c r="B266" s="585">
        <f t="shared" si="57"/>
        <v>0</v>
      </c>
      <c r="C266" s="533">
        <f t="shared" si="58"/>
        <v>0</v>
      </c>
      <c r="D266" s="533">
        <f t="shared" si="59"/>
        <v>0</v>
      </c>
      <c r="E266" s="420"/>
      <c r="F266" s="420" t="str">
        <f t="shared" si="60"/>
        <v>Vacant</v>
      </c>
      <c r="G266" s="586">
        <f t="shared" si="61"/>
        <v>0</v>
      </c>
      <c r="H266" s="581"/>
      <c r="J266" s="582">
        <f>HLOOKUP($J$7,'MR-Stat Data Sheet Bud'!$U$8:$AF$1081,$AA266,FALSE)</f>
        <v>0</v>
      </c>
      <c r="K266" s="582">
        <f>HLOOKUP($J$7,'MR-Stat Data Sheet Bud'!$AS$8:$BD$1081,$AA266,FALSE)</f>
        <v>0</v>
      </c>
      <c r="L266" s="582">
        <f t="shared" si="62"/>
        <v>0</v>
      </c>
      <c r="N266" s="582">
        <f>HLOOKUP($J$7,'MR-Stat Data Sheet Bud'!$BE$8:$BP$1081,$AA266,FALSE)</f>
        <v>0</v>
      </c>
      <c r="O266" s="582">
        <f>HLOOKUP($J$7,'MR-Stat Data Sheet Bud'!$AS$8:$BD$1081,$AA266,FALSE)</f>
        <v>0</v>
      </c>
      <c r="P266" s="582">
        <f t="shared" si="63"/>
        <v>0</v>
      </c>
      <c r="Q266" s="583"/>
      <c r="S266" s="599"/>
      <c r="T266" s="582">
        <v>0</v>
      </c>
      <c r="U266" s="583"/>
      <c r="V266" s="480"/>
      <c r="W266" s="495"/>
      <c r="X266" s="480"/>
      <c r="Y266" s="480"/>
      <c r="Z266" s="495"/>
      <c r="AA266" s="472">
        <f t="shared" si="48"/>
        <v>258</v>
      </c>
      <c r="AB266" s="480"/>
      <c r="AC266" s="480"/>
      <c r="AD266" s="480"/>
      <c r="AE266" s="495"/>
      <c r="AF266" s="480"/>
      <c r="AG266" s="480"/>
    </row>
    <row r="267" spans="1:33" s="471" customFormat="1" hidden="1">
      <c r="A267" s="420">
        <f t="shared" si="49"/>
        <v>257</v>
      </c>
      <c r="B267" s="585">
        <f t="shared" si="57"/>
        <v>0</v>
      </c>
      <c r="C267" s="533">
        <f t="shared" si="58"/>
        <v>0</v>
      </c>
      <c r="D267" s="533">
        <f t="shared" si="59"/>
        <v>0</v>
      </c>
      <c r="E267" s="420"/>
      <c r="F267" s="420" t="str">
        <f t="shared" si="60"/>
        <v>Vacant</v>
      </c>
      <c r="G267" s="586">
        <f t="shared" si="61"/>
        <v>0</v>
      </c>
      <c r="H267" s="581"/>
      <c r="J267" s="582">
        <f>HLOOKUP($J$7,'MR-Stat Data Sheet Bud'!$U$8:$AF$1081,$AA267,FALSE)</f>
        <v>0</v>
      </c>
      <c r="K267" s="582">
        <f>HLOOKUP($J$7,'MR-Stat Data Sheet Bud'!$AS$8:$BD$1081,$AA267,FALSE)</f>
        <v>0</v>
      </c>
      <c r="L267" s="582">
        <f t="shared" si="62"/>
        <v>0</v>
      </c>
      <c r="N267" s="582">
        <f>HLOOKUP($J$7,'MR-Stat Data Sheet Bud'!$BE$8:$BP$1081,$AA267,FALSE)</f>
        <v>0</v>
      </c>
      <c r="O267" s="582">
        <f>HLOOKUP($J$7,'MR-Stat Data Sheet Bud'!$AS$8:$BD$1081,$AA267,FALSE)</f>
        <v>0</v>
      </c>
      <c r="P267" s="582">
        <f t="shared" si="63"/>
        <v>0</v>
      </c>
      <c r="Q267" s="583"/>
      <c r="S267" s="599"/>
      <c r="T267" s="582">
        <v>0</v>
      </c>
      <c r="U267" s="583"/>
      <c r="V267" s="480"/>
      <c r="W267" s="495"/>
      <c r="X267" s="480"/>
      <c r="Y267" s="480"/>
      <c r="Z267" s="495"/>
      <c r="AA267" s="472">
        <f t="shared" si="48"/>
        <v>259</v>
      </c>
      <c r="AB267" s="480"/>
      <c r="AC267" s="480"/>
      <c r="AD267" s="480"/>
      <c r="AE267" s="495"/>
      <c r="AF267" s="480"/>
      <c r="AG267" s="480"/>
    </row>
    <row r="268" spans="1:33" s="471" customFormat="1" hidden="1">
      <c r="A268" s="420">
        <f t="shared" si="49"/>
        <v>258</v>
      </c>
      <c r="B268" s="585">
        <f t="shared" si="57"/>
        <v>0</v>
      </c>
      <c r="C268" s="533">
        <f t="shared" si="58"/>
        <v>0</v>
      </c>
      <c r="D268" s="533">
        <f t="shared" si="59"/>
        <v>0</v>
      </c>
      <c r="E268" s="420"/>
      <c r="F268" s="420" t="str">
        <f t="shared" si="60"/>
        <v>Vacant</v>
      </c>
      <c r="G268" s="586">
        <f t="shared" si="61"/>
        <v>0</v>
      </c>
      <c r="H268" s="581"/>
      <c r="J268" s="582">
        <f>HLOOKUP($J$7,'MR-Stat Data Sheet Bud'!$U$8:$AF$1081,$AA268,FALSE)</f>
        <v>0</v>
      </c>
      <c r="K268" s="582">
        <f>HLOOKUP($J$7,'MR-Stat Data Sheet Bud'!$AS$8:$BD$1081,$AA268,FALSE)</f>
        <v>0</v>
      </c>
      <c r="L268" s="582">
        <f t="shared" si="62"/>
        <v>0</v>
      </c>
      <c r="N268" s="582">
        <f>HLOOKUP($J$7,'MR-Stat Data Sheet Bud'!$BE$8:$BP$1081,$AA268,FALSE)</f>
        <v>0</v>
      </c>
      <c r="O268" s="582">
        <f>HLOOKUP($J$7,'MR-Stat Data Sheet Bud'!$AS$8:$BD$1081,$AA268,FALSE)</f>
        <v>0</v>
      </c>
      <c r="P268" s="582">
        <f t="shared" si="63"/>
        <v>0</v>
      </c>
      <c r="Q268" s="583"/>
      <c r="S268" s="599"/>
      <c r="T268" s="582">
        <v>0</v>
      </c>
      <c r="U268" s="583"/>
      <c r="V268" s="480"/>
      <c r="W268" s="495"/>
      <c r="X268" s="480"/>
      <c r="Y268" s="480"/>
      <c r="Z268" s="495"/>
      <c r="AA268" s="472">
        <f t="shared" ref="AA268:AA331" si="64">1+AA267</f>
        <v>260</v>
      </c>
      <c r="AB268" s="480"/>
      <c r="AC268" s="480"/>
      <c r="AD268" s="480"/>
      <c r="AE268" s="495"/>
      <c r="AF268" s="480"/>
      <c r="AG268" s="480"/>
    </row>
    <row r="269" spans="1:33" s="471" customFormat="1" hidden="1">
      <c r="A269" s="420">
        <f t="shared" si="49"/>
        <v>259</v>
      </c>
      <c r="B269" s="585">
        <f t="shared" si="57"/>
        <v>0</v>
      </c>
      <c r="C269" s="533">
        <f t="shared" si="58"/>
        <v>0</v>
      </c>
      <c r="D269" s="533">
        <f t="shared" si="59"/>
        <v>0</v>
      </c>
      <c r="E269" s="420"/>
      <c r="F269" s="420" t="str">
        <f t="shared" si="60"/>
        <v>Vacant</v>
      </c>
      <c r="G269" s="586">
        <f t="shared" si="61"/>
        <v>0</v>
      </c>
      <c r="H269" s="581"/>
      <c r="J269" s="582">
        <f>HLOOKUP($J$7,'MR-Stat Data Sheet Bud'!$U$8:$AF$1081,$AA269,FALSE)</f>
        <v>0</v>
      </c>
      <c r="K269" s="582">
        <f>HLOOKUP($J$7,'MR-Stat Data Sheet Bud'!$AS$8:$BD$1081,$AA269,FALSE)</f>
        <v>0</v>
      </c>
      <c r="L269" s="582">
        <f t="shared" si="62"/>
        <v>0</v>
      </c>
      <c r="N269" s="582">
        <f>HLOOKUP($J$7,'MR-Stat Data Sheet Bud'!$BE$8:$BP$1081,$AA269,FALSE)</f>
        <v>0</v>
      </c>
      <c r="O269" s="582">
        <f>HLOOKUP($J$7,'MR-Stat Data Sheet Bud'!$AS$8:$BD$1081,$AA269,FALSE)</f>
        <v>0</v>
      </c>
      <c r="P269" s="582">
        <f t="shared" si="63"/>
        <v>0</v>
      </c>
      <c r="Q269" s="583"/>
      <c r="S269" s="599"/>
      <c r="T269" s="582">
        <v>0</v>
      </c>
      <c r="U269" s="583"/>
      <c r="V269" s="480"/>
      <c r="W269" s="495"/>
      <c r="X269" s="480"/>
      <c r="Y269" s="480"/>
      <c r="Z269" s="495"/>
      <c r="AA269" s="472">
        <f t="shared" si="64"/>
        <v>261</v>
      </c>
      <c r="AB269" s="480"/>
      <c r="AC269" s="480"/>
      <c r="AD269" s="480"/>
      <c r="AE269" s="495"/>
      <c r="AF269" s="480"/>
      <c r="AG269" s="480"/>
    </row>
    <row r="270" spans="1:33" s="471" customFormat="1" hidden="1">
      <c r="A270" s="420">
        <f t="shared" si="49"/>
        <v>260</v>
      </c>
      <c r="B270" s="585">
        <f t="shared" si="57"/>
        <v>0</v>
      </c>
      <c r="C270" s="533">
        <f t="shared" si="58"/>
        <v>0</v>
      </c>
      <c r="D270" s="533">
        <f t="shared" si="59"/>
        <v>0</v>
      </c>
      <c r="E270" s="420"/>
      <c r="F270" s="420" t="str">
        <f t="shared" si="60"/>
        <v>Vacant</v>
      </c>
      <c r="G270" s="586">
        <f t="shared" si="61"/>
        <v>0</v>
      </c>
      <c r="H270" s="581"/>
      <c r="J270" s="582">
        <f>HLOOKUP($J$7,'MR-Stat Data Sheet Bud'!$U$8:$AF$1081,$AA270,FALSE)</f>
        <v>0</v>
      </c>
      <c r="K270" s="582">
        <f>HLOOKUP($J$7,'MR-Stat Data Sheet Bud'!$AS$8:$BD$1081,$AA270,FALSE)</f>
        <v>0</v>
      </c>
      <c r="L270" s="582">
        <f t="shared" si="62"/>
        <v>0</v>
      </c>
      <c r="N270" s="582">
        <f>HLOOKUP($J$7,'MR-Stat Data Sheet Bud'!$BE$8:$BP$1081,$AA270,FALSE)</f>
        <v>0</v>
      </c>
      <c r="O270" s="582">
        <f>HLOOKUP($J$7,'MR-Stat Data Sheet Bud'!$AS$8:$BD$1081,$AA270,FALSE)</f>
        <v>0</v>
      </c>
      <c r="P270" s="582">
        <f t="shared" si="63"/>
        <v>0</v>
      </c>
      <c r="Q270" s="583"/>
      <c r="S270" s="599"/>
      <c r="T270" s="582">
        <v>0</v>
      </c>
      <c r="U270" s="583"/>
      <c r="V270" s="480"/>
      <c r="W270" s="495"/>
      <c r="X270" s="480"/>
      <c r="Y270" s="480"/>
      <c r="Z270" s="495"/>
      <c r="AA270" s="472">
        <f t="shared" si="64"/>
        <v>262</v>
      </c>
      <c r="AB270" s="480"/>
      <c r="AC270" s="480"/>
      <c r="AD270" s="480"/>
      <c r="AE270" s="495"/>
      <c r="AF270" s="480"/>
      <c r="AG270" s="480"/>
    </row>
    <row r="271" spans="1:33" s="471" customFormat="1" hidden="1">
      <c r="A271" s="420">
        <f t="shared" ref="A271:A330" si="65">+A270+1</f>
        <v>261</v>
      </c>
      <c r="B271" s="585">
        <f t="shared" si="57"/>
        <v>0</v>
      </c>
      <c r="C271" s="533">
        <f t="shared" si="58"/>
        <v>0</v>
      </c>
      <c r="D271" s="533">
        <f t="shared" si="59"/>
        <v>0</v>
      </c>
      <c r="E271" s="420"/>
      <c r="F271" s="420" t="str">
        <f t="shared" si="60"/>
        <v>Vacant</v>
      </c>
      <c r="G271" s="586">
        <f t="shared" si="61"/>
        <v>0</v>
      </c>
      <c r="H271" s="581"/>
      <c r="J271" s="582">
        <f>HLOOKUP($J$7,'MR-Stat Data Sheet Bud'!$U$8:$AF$1081,$AA271,FALSE)</f>
        <v>0</v>
      </c>
      <c r="K271" s="582">
        <f>HLOOKUP($J$7,'MR-Stat Data Sheet Bud'!$AS$8:$BD$1081,$AA271,FALSE)</f>
        <v>0</v>
      </c>
      <c r="L271" s="582">
        <f t="shared" si="62"/>
        <v>0</v>
      </c>
      <c r="N271" s="582">
        <f>HLOOKUP($J$7,'MR-Stat Data Sheet Bud'!$BE$8:$BP$1081,$AA271,FALSE)</f>
        <v>0</v>
      </c>
      <c r="O271" s="582">
        <f>HLOOKUP($J$7,'MR-Stat Data Sheet Bud'!$AS$8:$BD$1081,$AA271,FALSE)</f>
        <v>0</v>
      </c>
      <c r="P271" s="582">
        <f t="shared" si="63"/>
        <v>0</v>
      </c>
      <c r="Q271" s="583"/>
      <c r="S271" s="599"/>
      <c r="T271" s="582">
        <v>0</v>
      </c>
      <c r="U271" s="583"/>
      <c r="V271" s="480"/>
      <c r="W271" s="495"/>
      <c r="X271" s="480"/>
      <c r="Y271" s="480"/>
      <c r="Z271" s="495"/>
      <c r="AA271" s="472">
        <f t="shared" si="64"/>
        <v>263</v>
      </c>
      <c r="AB271" s="480"/>
      <c r="AC271" s="480"/>
      <c r="AD271" s="480"/>
      <c r="AE271" s="495"/>
      <c r="AF271" s="480"/>
      <c r="AG271" s="480"/>
    </row>
    <row r="272" spans="1:33" s="471" customFormat="1" hidden="1">
      <c r="A272" s="420">
        <f t="shared" si="65"/>
        <v>262</v>
      </c>
      <c r="B272" s="585">
        <f t="shared" si="57"/>
        <v>0</v>
      </c>
      <c r="C272" s="533">
        <f t="shared" si="58"/>
        <v>0</v>
      </c>
      <c r="D272" s="533">
        <f t="shared" si="59"/>
        <v>0</v>
      </c>
      <c r="E272" s="420"/>
      <c r="F272" s="420" t="str">
        <f t="shared" si="60"/>
        <v>Vacant</v>
      </c>
      <c r="G272" s="586">
        <f t="shared" si="61"/>
        <v>0</v>
      </c>
      <c r="H272" s="581"/>
      <c r="J272" s="582">
        <f>HLOOKUP($J$7,'MR-Stat Data Sheet Bud'!$U$8:$AF$1081,$AA272,FALSE)</f>
        <v>0</v>
      </c>
      <c r="K272" s="582">
        <f>HLOOKUP($J$7,'MR-Stat Data Sheet Bud'!$AS$8:$BD$1081,$AA272,FALSE)</f>
        <v>0</v>
      </c>
      <c r="L272" s="582">
        <f t="shared" si="62"/>
        <v>0</v>
      </c>
      <c r="N272" s="582">
        <f>HLOOKUP($J$7,'MR-Stat Data Sheet Bud'!$BE$8:$BP$1081,$AA272,FALSE)</f>
        <v>0</v>
      </c>
      <c r="O272" s="582">
        <f>HLOOKUP($J$7,'MR-Stat Data Sheet Bud'!$AS$8:$BD$1081,$AA272,FALSE)</f>
        <v>0</v>
      </c>
      <c r="P272" s="582">
        <f t="shared" si="63"/>
        <v>0</v>
      </c>
      <c r="Q272" s="583"/>
      <c r="S272" s="599"/>
      <c r="T272" s="582">
        <v>0</v>
      </c>
      <c r="U272" s="583"/>
      <c r="V272" s="480"/>
      <c r="W272" s="495"/>
      <c r="X272" s="480"/>
      <c r="Y272" s="480"/>
      <c r="Z272" s="495"/>
      <c r="AA272" s="472">
        <f t="shared" si="64"/>
        <v>264</v>
      </c>
      <c r="AB272" s="480"/>
      <c r="AC272" s="480"/>
      <c r="AD272" s="480"/>
      <c r="AE272" s="495"/>
      <c r="AF272" s="480"/>
      <c r="AG272" s="480"/>
    </row>
    <row r="273" spans="1:33" s="471" customFormat="1" hidden="1">
      <c r="A273" s="420">
        <f t="shared" si="65"/>
        <v>263</v>
      </c>
      <c r="B273" s="585">
        <f t="shared" si="57"/>
        <v>0</v>
      </c>
      <c r="C273" s="533">
        <f t="shared" si="58"/>
        <v>0</v>
      </c>
      <c r="D273" s="533">
        <f t="shared" si="59"/>
        <v>0</v>
      </c>
      <c r="E273" s="420"/>
      <c r="F273" s="420" t="str">
        <f t="shared" si="60"/>
        <v>Vacant</v>
      </c>
      <c r="G273" s="586">
        <f t="shared" si="61"/>
        <v>0</v>
      </c>
      <c r="H273" s="581"/>
      <c r="J273" s="582">
        <f>HLOOKUP($J$7,'MR-Stat Data Sheet Bud'!$U$8:$AF$1081,$AA273,FALSE)</f>
        <v>0</v>
      </c>
      <c r="K273" s="582">
        <f>HLOOKUP($J$7,'MR-Stat Data Sheet Bud'!$AS$8:$BD$1081,$AA273,FALSE)</f>
        <v>0</v>
      </c>
      <c r="L273" s="582">
        <f t="shared" si="62"/>
        <v>0</v>
      </c>
      <c r="N273" s="582">
        <f>HLOOKUP($J$7,'MR-Stat Data Sheet Bud'!$BE$8:$BP$1081,$AA273,FALSE)</f>
        <v>0</v>
      </c>
      <c r="O273" s="582">
        <f>HLOOKUP($J$7,'MR-Stat Data Sheet Bud'!$AS$8:$BD$1081,$AA273,FALSE)</f>
        <v>0</v>
      </c>
      <c r="P273" s="582">
        <f t="shared" si="63"/>
        <v>0</v>
      </c>
      <c r="Q273" s="583"/>
      <c r="S273" s="599"/>
      <c r="T273" s="582">
        <v>0</v>
      </c>
      <c r="U273" s="583"/>
      <c r="V273" s="480"/>
      <c r="W273" s="495"/>
      <c r="X273" s="480"/>
      <c r="Y273" s="480"/>
      <c r="Z273" s="495"/>
      <c r="AA273" s="472">
        <f t="shared" si="64"/>
        <v>265</v>
      </c>
      <c r="AB273" s="480"/>
      <c r="AC273" s="480"/>
      <c r="AD273" s="480"/>
      <c r="AE273" s="495"/>
      <c r="AF273" s="480"/>
      <c r="AG273" s="480"/>
    </row>
    <row r="274" spans="1:33" s="471" customFormat="1" hidden="1">
      <c r="A274" s="420">
        <f t="shared" si="65"/>
        <v>264</v>
      </c>
      <c r="B274" s="585">
        <f t="shared" ref="B274:B305" si="66">VLOOKUP($A274,Suite_Data,2,FALSE)</f>
        <v>0</v>
      </c>
      <c r="C274" s="533">
        <f t="shared" ref="C274:C305" si="67">VLOOKUP($A274,Suite_Data,3,FALSE)</f>
        <v>0</v>
      </c>
      <c r="D274" s="533">
        <f t="shared" ref="D274:D305" si="68">VLOOKUP($A274,Suite_Data,4,FALSE)</f>
        <v>0</v>
      </c>
      <c r="E274" s="420"/>
      <c r="F274" s="420" t="str">
        <f t="shared" ref="F274:F305" si="69">IF(HLOOKUP($J$7,Actual_Sqft,AA274,FALSE)&gt;0,"Occupied","Vacant")</f>
        <v>Vacant</v>
      </c>
      <c r="G274" s="586">
        <f t="shared" ref="G274:G305" si="70">VLOOKUP($A274,Suite_Data,6,FALSE)</f>
        <v>0</v>
      </c>
      <c r="H274" s="581"/>
      <c r="J274" s="582">
        <f>HLOOKUP($J$7,'MR-Stat Data Sheet Bud'!$U$8:$AF$1081,$AA274,FALSE)</f>
        <v>0</v>
      </c>
      <c r="K274" s="582">
        <f>HLOOKUP($J$7,'MR-Stat Data Sheet Bud'!$AS$8:$BD$1081,$AA274,FALSE)</f>
        <v>0</v>
      </c>
      <c r="L274" s="582">
        <f t="shared" ref="L274:L305" si="71">+J274-K274</f>
        <v>0</v>
      </c>
      <c r="N274" s="582">
        <f>HLOOKUP($J$7,'MR-Stat Data Sheet Bud'!$BE$8:$BP$1081,$AA274,FALSE)</f>
        <v>0</v>
      </c>
      <c r="O274" s="582">
        <f>HLOOKUP($J$7,'MR-Stat Data Sheet Bud'!$AS$8:$BD$1081,$AA274,FALSE)</f>
        <v>0</v>
      </c>
      <c r="P274" s="582">
        <f t="shared" ref="P274:P305" si="72">+N274-O274</f>
        <v>0</v>
      </c>
      <c r="Q274" s="583"/>
      <c r="S274" s="599"/>
      <c r="T274" s="582">
        <v>0</v>
      </c>
      <c r="U274" s="583"/>
      <c r="V274" s="480"/>
      <c r="W274" s="495"/>
      <c r="X274" s="480"/>
      <c r="Y274" s="480"/>
      <c r="Z274" s="495"/>
      <c r="AA274" s="472">
        <f t="shared" si="64"/>
        <v>266</v>
      </c>
      <c r="AB274" s="480"/>
      <c r="AC274" s="480"/>
      <c r="AD274" s="480"/>
      <c r="AE274" s="495"/>
      <c r="AF274" s="480"/>
      <c r="AG274" s="480"/>
    </row>
    <row r="275" spans="1:33" s="471" customFormat="1" hidden="1">
      <c r="A275" s="420">
        <f t="shared" si="65"/>
        <v>265</v>
      </c>
      <c r="B275" s="585">
        <f t="shared" si="66"/>
        <v>0</v>
      </c>
      <c r="C275" s="533">
        <f t="shared" si="67"/>
        <v>0</v>
      </c>
      <c r="D275" s="533">
        <f t="shared" si="68"/>
        <v>0</v>
      </c>
      <c r="E275" s="420"/>
      <c r="F275" s="420" t="str">
        <f t="shared" si="69"/>
        <v>Vacant</v>
      </c>
      <c r="G275" s="586">
        <f t="shared" si="70"/>
        <v>0</v>
      </c>
      <c r="H275" s="581"/>
      <c r="J275" s="582">
        <f>HLOOKUP($J$7,'MR-Stat Data Sheet Bud'!$U$8:$AF$1081,$AA275,FALSE)</f>
        <v>0</v>
      </c>
      <c r="K275" s="582">
        <f>HLOOKUP($J$7,'MR-Stat Data Sheet Bud'!$AS$8:$BD$1081,$AA275,FALSE)</f>
        <v>0</v>
      </c>
      <c r="L275" s="582">
        <f t="shared" si="71"/>
        <v>0</v>
      </c>
      <c r="N275" s="582">
        <f>HLOOKUP($J$7,'MR-Stat Data Sheet Bud'!$BE$8:$BP$1081,$AA275,FALSE)</f>
        <v>0</v>
      </c>
      <c r="O275" s="582">
        <f>HLOOKUP($J$7,'MR-Stat Data Sheet Bud'!$AS$8:$BD$1081,$AA275,FALSE)</f>
        <v>0</v>
      </c>
      <c r="P275" s="582">
        <f t="shared" si="72"/>
        <v>0</v>
      </c>
      <c r="Q275" s="583"/>
      <c r="S275" s="599"/>
      <c r="T275" s="582">
        <v>0</v>
      </c>
      <c r="U275" s="583"/>
      <c r="V275" s="480"/>
      <c r="W275" s="495"/>
      <c r="X275" s="480"/>
      <c r="Y275" s="480"/>
      <c r="Z275" s="495"/>
      <c r="AA275" s="472">
        <f t="shared" si="64"/>
        <v>267</v>
      </c>
      <c r="AB275" s="480"/>
      <c r="AC275" s="480"/>
      <c r="AD275" s="480"/>
      <c r="AE275" s="495"/>
      <c r="AF275" s="480"/>
      <c r="AG275" s="480"/>
    </row>
    <row r="276" spans="1:33" s="471" customFormat="1" hidden="1">
      <c r="A276" s="420">
        <f t="shared" si="65"/>
        <v>266</v>
      </c>
      <c r="B276" s="585">
        <f t="shared" si="66"/>
        <v>0</v>
      </c>
      <c r="C276" s="533">
        <f t="shared" si="67"/>
        <v>0</v>
      </c>
      <c r="D276" s="533">
        <f t="shared" si="68"/>
        <v>0</v>
      </c>
      <c r="E276" s="420"/>
      <c r="F276" s="420" t="str">
        <f t="shared" si="69"/>
        <v>Vacant</v>
      </c>
      <c r="G276" s="586">
        <f t="shared" si="70"/>
        <v>0</v>
      </c>
      <c r="H276" s="581"/>
      <c r="J276" s="582">
        <f>HLOOKUP($J$7,'MR-Stat Data Sheet Bud'!$U$8:$AF$1081,$AA276,FALSE)</f>
        <v>0</v>
      </c>
      <c r="K276" s="582">
        <f>HLOOKUP($J$7,'MR-Stat Data Sheet Bud'!$AS$8:$BD$1081,$AA276,FALSE)</f>
        <v>0</v>
      </c>
      <c r="L276" s="582">
        <f t="shared" si="71"/>
        <v>0</v>
      </c>
      <c r="N276" s="582">
        <f>HLOOKUP($J$7,'MR-Stat Data Sheet Bud'!$BE$8:$BP$1081,$AA276,FALSE)</f>
        <v>0</v>
      </c>
      <c r="O276" s="582">
        <f>HLOOKUP($J$7,'MR-Stat Data Sheet Bud'!$AS$8:$BD$1081,$AA276,FALSE)</f>
        <v>0</v>
      </c>
      <c r="P276" s="582">
        <f t="shared" si="72"/>
        <v>0</v>
      </c>
      <c r="Q276" s="583"/>
      <c r="S276" s="599"/>
      <c r="T276" s="582">
        <v>0</v>
      </c>
      <c r="U276" s="583"/>
      <c r="V276" s="480"/>
      <c r="W276" s="495"/>
      <c r="X276" s="480"/>
      <c r="Y276" s="480"/>
      <c r="Z276" s="495"/>
      <c r="AA276" s="472">
        <f t="shared" si="64"/>
        <v>268</v>
      </c>
      <c r="AB276" s="480"/>
      <c r="AC276" s="480"/>
      <c r="AD276" s="480"/>
      <c r="AE276" s="495"/>
      <c r="AF276" s="480"/>
      <c r="AG276" s="480"/>
    </row>
    <row r="277" spans="1:33" s="471" customFormat="1" hidden="1">
      <c r="A277" s="420">
        <f t="shared" si="65"/>
        <v>267</v>
      </c>
      <c r="B277" s="585">
        <f t="shared" si="66"/>
        <v>0</v>
      </c>
      <c r="C277" s="533">
        <f t="shared" si="67"/>
        <v>0</v>
      </c>
      <c r="D277" s="533">
        <f t="shared" si="68"/>
        <v>0</v>
      </c>
      <c r="E277" s="420"/>
      <c r="F277" s="420" t="str">
        <f t="shared" si="69"/>
        <v>Vacant</v>
      </c>
      <c r="G277" s="586">
        <f t="shared" si="70"/>
        <v>0</v>
      </c>
      <c r="H277" s="581"/>
      <c r="J277" s="582">
        <f>HLOOKUP($J$7,'MR-Stat Data Sheet Bud'!$U$8:$AF$1081,$AA277,FALSE)</f>
        <v>0</v>
      </c>
      <c r="K277" s="582">
        <f>HLOOKUP($J$7,'MR-Stat Data Sheet Bud'!$AS$8:$BD$1081,$AA277,FALSE)</f>
        <v>0</v>
      </c>
      <c r="L277" s="582">
        <f t="shared" si="71"/>
        <v>0</v>
      </c>
      <c r="N277" s="582">
        <f>HLOOKUP($J$7,'MR-Stat Data Sheet Bud'!$BE$8:$BP$1081,$AA277,FALSE)</f>
        <v>0</v>
      </c>
      <c r="O277" s="582">
        <f>HLOOKUP($J$7,'MR-Stat Data Sheet Bud'!$AS$8:$BD$1081,$AA277,FALSE)</f>
        <v>0</v>
      </c>
      <c r="P277" s="582">
        <f t="shared" si="72"/>
        <v>0</v>
      </c>
      <c r="Q277" s="583"/>
      <c r="S277" s="599"/>
      <c r="T277" s="582">
        <v>0</v>
      </c>
      <c r="U277" s="583"/>
      <c r="V277" s="480"/>
      <c r="W277" s="495"/>
      <c r="X277" s="480"/>
      <c r="Y277" s="480"/>
      <c r="Z277" s="495"/>
      <c r="AA277" s="472">
        <f t="shared" si="64"/>
        <v>269</v>
      </c>
      <c r="AB277" s="480"/>
      <c r="AC277" s="480"/>
      <c r="AD277" s="480"/>
      <c r="AE277" s="495"/>
      <c r="AF277" s="480"/>
      <c r="AG277" s="480"/>
    </row>
    <row r="278" spans="1:33" s="471" customFormat="1" hidden="1">
      <c r="A278" s="420">
        <f t="shared" si="65"/>
        <v>268</v>
      </c>
      <c r="B278" s="585">
        <f t="shared" si="66"/>
        <v>0</v>
      </c>
      <c r="C278" s="533">
        <f t="shared" si="67"/>
        <v>0</v>
      </c>
      <c r="D278" s="533">
        <f t="shared" si="68"/>
        <v>0</v>
      </c>
      <c r="E278" s="420"/>
      <c r="F278" s="420" t="str">
        <f t="shared" si="69"/>
        <v>Vacant</v>
      </c>
      <c r="G278" s="586">
        <f t="shared" si="70"/>
        <v>0</v>
      </c>
      <c r="H278" s="581"/>
      <c r="J278" s="582">
        <f>HLOOKUP($J$7,'MR-Stat Data Sheet Bud'!$U$8:$AF$1081,$AA278,FALSE)</f>
        <v>0</v>
      </c>
      <c r="K278" s="582">
        <f>HLOOKUP($J$7,'MR-Stat Data Sheet Bud'!$AS$8:$BD$1081,$AA278,FALSE)</f>
        <v>0</v>
      </c>
      <c r="L278" s="582">
        <f t="shared" si="71"/>
        <v>0</v>
      </c>
      <c r="N278" s="582">
        <f>HLOOKUP($J$7,'MR-Stat Data Sheet Bud'!$BE$8:$BP$1081,$AA278,FALSE)</f>
        <v>0</v>
      </c>
      <c r="O278" s="582">
        <f>HLOOKUP($J$7,'MR-Stat Data Sheet Bud'!$AS$8:$BD$1081,$AA278,FALSE)</f>
        <v>0</v>
      </c>
      <c r="P278" s="582">
        <f t="shared" si="72"/>
        <v>0</v>
      </c>
      <c r="Q278" s="583"/>
      <c r="S278" s="599"/>
      <c r="T278" s="582">
        <v>0</v>
      </c>
      <c r="U278" s="583"/>
      <c r="V278" s="480"/>
      <c r="W278" s="495"/>
      <c r="X278" s="480"/>
      <c r="Y278" s="480"/>
      <c r="Z278" s="495"/>
      <c r="AA278" s="472">
        <f t="shared" si="64"/>
        <v>270</v>
      </c>
      <c r="AB278" s="480"/>
      <c r="AC278" s="480"/>
      <c r="AD278" s="480"/>
      <c r="AE278" s="495"/>
      <c r="AF278" s="480"/>
      <c r="AG278" s="480"/>
    </row>
    <row r="279" spans="1:33" s="471" customFormat="1" hidden="1">
      <c r="A279" s="420">
        <f t="shared" si="65"/>
        <v>269</v>
      </c>
      <c r="B279" s="585">
        <f t="shared" si="66"/>
        <v>0</v>
      </c>
      <c r="C279" s="533">
        <f t="shared" si="67"/>
        <v>0</v>
      </c>
      <c r="D279" s="533">
        <f t="shared" si="68"/>
        <v>0</v>
      </c>
      <c r="E279" s="420"/>
      <c r="F279" s="420" t="str">
        <f t="shared" si="69"/>
        <v>Vacant</v>
      </c>
      <c r="G279" s="586">
        <f t="shared" si="70"/>
        <v>0</v>
      </c>
      <c r="H279" s="581"/>
      <c r="J279" s="582">
        <f>HLOOKUP($J$7,'MR-Stat Data Sheet Bud'!$U$8:$AF$1081,$AA279,FALSE)</f>
        <v>0</v>
      </c>
      <c r="K279" s="582">
        <f>HLOOKUP($J$7,'MR-Stat Data Sheet Bud'!$AS$8:$BD$1081,$AA279,FALSE)</f>
        <v>0</v>
      </c>
      <c r="L279" s="582">
        <f t="shared" si="71"/>
        <v>0</v>
      </c>
      <c r="N279" s="582">
        <f>HLOOKUP($J$7,'MR-Stat Data Sheet Bud'!$BE$8:$BP$1081,$AA279,FALSE)</f>
        <v>0</v>
      </c>
      <c r="O279" s="582">
        <f>HLOOKUP($J$7,'MR-Stat Data Sheet Bud'!$AS$8:$BD$1081,$AA279,FALSE)</f>
        <v>0</v>
      </c>
      <c r="P279" s="582">
        <f t="shared" si="72"/>
        <v>0</v>
      </c>
      <c r="Q279" s="583"/>
      <c r="S279" s="599"/>
      <c r="T279" s="582">
        <v>0</v>
      </c>
      <c r="U279" s="583"/>
      <c r="V279" s="480"/>
      <c r="W279" s="495"/>
      <c r="X279" s="480"/>
      <c r="Y279" s="480"/>
      <c r="Z279" s="495"/>
      <c r="AA279" s="472">
        <f t="shared" si="64"/>
        <v>271</v>
      </c>
      <c r="AB279" s="480"/>
      <c r="AC279" s="480"/>
      <c r="AD279" s="480"/>
      <c r="AE279" s="495"/>
      <c r="AF279" s="480"/>
      <c r="AG279" s="480"/>
    </row>
    <row r="280" spans="1:33" s="471" customFormat="1" hidden="1">
      <c r="A280" s="420">
        <f t="shared" si="65"/>
        <v>270</v>
      </c>
      <c r="B280" s="585">
        <f t="shared" si="66"/>
        <v>0</v>
      </c>
      <c r="C280" s="533">
        <f t="shared" si="67"/>
        <v>0</v>
      </c>
      <c r="D280" s="533">
        <f t="shared" si="68"/>
        <v>0</v>
      </c>
      <c r="E280" s="420"/>
      <c r="F280" s="420" t="str">
        <f t="shared" si="69"/>
        <v>Vacant</v>
      </c>
      <c r="G280" s="586">
        <f t="shared" si="70"/>
        <v>0</v>
      </c>
      <c r="H280" s="581"/>
      <c r="J280" s="582">
        <f>HLOOKUP($J$7,'MR-Stat Data Sheet Bud'!$U$8:$AF$1081,$AA280,FALSE)</f>
        <v>0</v>
      </c>
      <c r="K280" s="582">
        <f>HLOOKUP($J$7,'MR-Stat Data Sheet Bud'!$AS$8:$BD$1081,$AA280,FALSE)</f>
        <v>0</v>
      </c>
      <c r="L280" s="582">
        <f t="shared" si="71"/>
        <v>0</v>
      </c>
      <c r="N280" s="582">
        <f>HLOOKUP($J$7,'MR-Stat Data Sheet Bud'!$BE$8:$BP$1081,$AA280,FALSE)</f>
        <v>0</v>
      </c>
      <c r="O280" s="582">
        <f>HLOOKUP($J$7,'MR-Stat Data Sheet Bud'!$AS$8:$BD$1081,$AA280,FALSE)</f>
        <v>0</v>
      </c>
      <c r="P280" s="582">
        <f t="shared" si="72"/>
        <v>0</v>
      </c>
      <c r="Q280" s="583"/>
      <c r="S280" s="599"/>
      <c r="T280" s="582">
        <v>0</v>
      </c>
      <c r="U280" s="583"/>
      <c r="V280" s="480"/>
      <c r="W280" s="495"/>
      <c r="X280" s="480"/>
      <c r="Y280" s="480"/>
      <c r="Z280" s="495"/>
      <c r="AA280" s="472">
        <f t="shared" si="64"/>
        <v>272</v>
      </c>
      <c r="AB280" s="480"/>
      <c r="AC280" s="480"/>
      <c r="AD280" s="480"/>
      <c r="AE280" s="495"/>
      <c r="AF280" s="480"/>
      <c r="AG280" s="480"/>
    </row>
    <row r="281" spans="1:33" s="471" customFormat="1" hidden="1">
      <c r="A281" s="420">
        <f t="shared" si="65"/>
        <v>271</v>
      </c>
      <c r="B281" s="585">
        <f t="shared" si="66"/>
        <v>0</v>
      </c>
      <c r="C281" s="533">
        <f t="shared" si="67"/>
        <v>0</v>
      </c>
      <c r="D281" s="533">
        <f t="shared" si="68"/>
        <v>0</v>
      </c>
      <c r="E281" s="420"/>
      <c r="F281" s="420" t="str">
        <f t="shared" si="69"/>
        <v>Vacant</v>
      </c>
      <c r="G281" s="586">
        <f t="shared" si="70"/>
        <v>0</v>
      </c>
      <c r="H281" s="581"/>
      <c r="J281" s="582">
        <f>HLOOKUP($J$7,'MR-Stat Data Sheet Bud'!$U$8:$AF$1081,$AA281,FALSE)</f>
        <v>0</v>
      </c>
      <c r="K281" s="582">
        <f>HLOOKUP($J$7,'MR-Stat Data Sheet Bud'!$AS$8:$BD$1081,$AA281,FALSE)</f>
        <v>0</v>
      </c>
      <c r="L281" s="582">
        <f t="shared" si="71"/>
        <v>0</v>
      </c>
      <c r="N281" s="582">
        <f>HLOOKUP($J$7,'MR-Stat Data Sheet Bud'!$BE$8:$BP$1081,$AA281,FALSE)</f>
        <v>0</v>
      </c>
      <c r="O281" s="582">
        <f>HLOOKUP($J$7,'MR-Stat Data Sheet Bud'!$AS$8:$BD$1081,$AA281,FALSE)</f>
        <v>0</v>
      </c>
      <c r="P281" s="582">
        <f t="shared" si="72"/>
        <v>0</v>
      </c>
      <c r="Q281" s="583"/>
      <c r="S281" s="599"/>
      <c r="T281" s="582">
        <v>0</v>
      </c>
      <c r="U281" s="583"/>
      <c r="V281" s="480"/>
      <c r="W281" s="495"/>
      <c r="X281" s="480"/>
      <c r="Y281" s="480"/>
      <c r="Z281" s="495"/>
      <c r="AA281" s="472">
        <f t="shared" si="64"/>
        <v>273</v>
      </c>
      <c r="AB281" s="480"/>
      <c r="AC281" s="480"/>
      <c r="AD281" s="480"/>
      <c r="AE281" s="495"/>
      <c r="AF281" s="480"/>
      <c r="AG281" s="480"/>
    </row>
    <row r="282" spans="1:33" s="471" customFormat="1" hidden="1">
      <c r="A282" s="420">
        <f t="shared" si="65"/>
        <v>272</v>
      </c>
      <c r="B282" s="585">
        <f t="shared" si="66"/>
        <v>0</v>
      </c>
      <c r="C282" s="533">
        <f t="shared" si="67"/>
        <v>0</v>
      </c>
      <c r="D282" s="533">
        <f t="shared" si="68"/>
        <v>0</v>
      </c>
      <c r="E282" s="420"/>
      <c r="F282" s="420" t="str">
        <f t="shared" si="69"/>
        <v>Vacant</v>
      </c>
      <c r="G282" s="586">
        <f t="shared" si="70"/>
        <v>0</v>
      </c>
      <c r="H282" s="581"/>
      <c r="J282" s="582">
        <f>HLOOKUP($J$7,'MR-Stat Data Sheet Bud'!$U$8:$AF$1081,$AA282,FALSE)</f>
        <v>0</v>
      </c>
      <c r="K282" s="582">
        <f>HLOOKUP($J$7,'MR-Stat Data Sheet Bud'!$AS$8:$BD$1081,$AA282,FALSE)</f>
        <v>0</v>
      </c>
      <c r="L282" s="582">
        <f t="shared" si="71"/>
        <v>0</v>
      </c>
      <c r="N282" s="582">
        <f>HLOOKUP($J$7,'MR-Stat Data Sheet Bud'!$BE$8:$BP$1081,$AA282,FALSE)</f>
        <v>0</v>
      </c>
      <c r="O282" s="582">
        <f>HLOOKUP($J$7,'MR-Stat Data Sheet Bud'!$AS$8:$BD$1081,$AA282,FALSE)</f>
        <v>0</v>
      </c>
      <c r="P282" s="582">
        <f t="shared" si="72"/>
        <v>0</v>
      </c>
      <c r="Q282" s="583"/>
      <c r="S282" s="599"/>
      <c r="T282" s="582">
        <v>0</v>
      </c>
      <c r="U282" s="583"/>
      <c r="V282" s="480"/>
      <c r="W282" s="495"/>
      <c r="X282" s="480"/>
      <c r="Y282" s="480"/>
      <c r="Z282" s="495"/>
      <c r="AA282" s="472">
        <f t="shared" si="64"/>
        <v>274</v>
      </c>
      <c r="AB282" s="480"/>
      <c r="AC282" s="480"/>
      <c r="AD282" s="480"/>
      <c r="AE282" s="495"/>
      <c r="AF282" s="480"/>
      <c r="AG282" s="480"/>
    </row>
    <row r="283" spans="1:33" s="471" customFormat="1" hidden="1">
      <c r="A283" s="420">
        <f t="shared" si="65"/>
        <v>273</v>
      </c>
      <c r="B283" s="585">
        <f t="shared" si="66"/>
        <v>0</v>
      </c>
      <c r="C283" s="533">
        <f t="shared" si="67"/>
        <v>0</v>
      </c>
      <c r="D283" s="533">
        <f t="shared" si="68"/>
        <v>0</v>
      </c>
      <c r="E283" s="420"/>
      <c r="F283" s="420" t="str">
        <f t="shared" si="69"/>
        <v>Vacant</v>
      </c>
      <c r="G283" s="586">
        <f t="shared" si="70"/>
        <v>0</v>
      </c>
      <c r="H283" s="581"/>
      <c r="J283" s="582">
        <f>HLOOKUP($J$7,'MR-Stat Data Sheet Bud'!$U$8:$AF$1081,$AA283,FALSE)</f>
        <v>0</v>
      </c>
      <c r="K283" s="582">
        <f>HLOOKUP($J$7,'MR-Stat Data Sheet Bud'!$AS$8:$BD$1081,$AA283,FALSE)</f>
        <v>0</v>
      </c>
      <c r="L283" s="582">
        <f t="shared" si="71"/>
        <v>0</v>
      </c>
      <c r="N283" s="582">
        <f>HLOOKUP($J$7,'MR-Stat Data Sheet Bud'!$BE$8:$BP$1081,$AA283,FALSE)</f>
        <v>0</v>
      </c>
      <c r="O283" s="582">
        <f>HLOOKUP($J$7,'MR-Stat Data Sheet Bud'!$AS$8:$BD$1081,$AA283,FALSE)</f>
        <v>0</v>
      </c>
      <c r="P283" s="582">
        <f t="shared" si="72"/>
        <v>0</v>
      </c>
      <c r="Q283" s="583"/>
      <c r="S283" s="599"/>
      <c r="T283" s="582">
        <v>0</v>
      </c>
      <c r="U283" s="583"/>
      <c r="V283" s="480"/>
      <c r="W283" s="495"/>
      <c r="X283" s="480"/>
      <c r="Y283" s="480"/>
      <c r="Z283" s="495"/>
      <c r="AA283" s="472">
        <f t="shared" si="64"/>
        <v>275</v>
      </c>
      <c r="AB283" s="480"/>
      <c r="AC283" s="480"/>
      <c r="AD283" s="480"/>
      <c r="AE283" s="495"/>
      <c r="AF283" s="480"/>
      <c r="AG283" s="480"/>
    </row>
    <row r="284" spans="1:33" s="471" customFormat="1" hidden="1">
      <c r="A284" s="420">
        <f t="shared" si="65"/>
        <v>274</v>
      </c>
      <c r="B284" s="585">
        <f t="shared" si="66"/>
        <v>0</v>
      </c>
      <c r="C284" s="533">
        <f t="shared" si="67"/>
        <v>0</v>
      </c>
      <c r="D284" s="533">
        <f t="shared" si="68"/>
        <v>0</v>
      </c>
      <c r="E284" s="420"/>
      <c r="F284" s="420" t="str">
        <f t="shared" si="69"/>
        <v>Vacant</v>
      </c>
      <c r="G284" s="586">
        <f t="shared" si="70"/>
        <v>0</v>
      </c>
      <c r="H284" s="581"/>
      <c r="J284" s="582">
        <f>HLOOKUP($J$7,'MR-Stat Data Sheet Bud'!$U$8:$AF$1081,$AA284,FALSE)</f>
        <v>0</v>
      </c>
      <c r="K284" s="582">
        <f>HLOOKUP($J$7,'MR-Stat Data Sheet Bud'!$AS$8:$BD$1081,$AA284,FALSE)</f>
        <v>0</v>
      </c>
      <c r="L284" s="582">
        <f t="shared" si="71"/>
        <v>0</v>
      </c>
      <c r="N284" s="582">
        <f>HLOOKUP($J$7,'MR-Stat Data Sheet Bud'!$BE$8:$BP$1081,$AA284,FALSE)</f>
        <v>0</v>
      </c>
      <c r="O284" s="582">
        <f>HLOOKUP($J$7,'MR-Stat Data Sheet Bud'!$AS$8:$BD$1081,$AA284,FALSE)</f>
        <v>0</v>
      </c>
      <c r="P284" s="582">
        <f t="shared" si="72"/>
        <v>0</v>
      </c>
      <c r="Q284" s="583"/>
      <c r="S284" s="599"/>
      <c r="T284" s="582">
        <v>0</v>
      </c>
      <c r="U284" s="583"/>
      <c r="V284" s="480"/>
      <c r="W284" s="495"/>
      <c r="X284" s="480"/>
      <c r="Y284" s="480"/>
      <c r="Z284" s="495"/>
      <c r="AA284" s="472">
        <f t="shared" si="64"/>
        <v>276</v>
      </c>
      <c r="AB284" s="480"/>
      <c r="AC284" s="480"/>
      <c r="AD284" s="480"/>
      <c r="AE284" s="495"/>
      <c r="AF284" s="480"/>
      <c r="AG284" s="480"/>
    </row>
    <row r="285" spans="1:33" s="471" customFormat="1" hidden="1">
      <c r="A285" s="420">
        <f t="shared" si="65"/>
        <v>275</v>
      </c>
      <c r="B285" s="585">
        <f t="shared" si="66"/>
        <v>0</v>
      </c>
      <c r="C285" s="533">
        <f t="shared" si="67"/>
        <v>0</v>
      </c>
      <c r="D285" s="533">
        <f t="shared" si="68"/>
        <v>0</v>
      </c>
      <c r="E285" s="420"/>
      <c r="F285" s="420" t="str">
        <f t="shared" si="69"/>
        <v>Vacant</v>
      </c>
      <c r="G285" s="586">
        <f t="shared" si="70"/>
        <v>0</v>
      </c>
      <c r="H285" s="581"/>
      <c r="J285" s="582">
        <f>HLOOKUP($J$7,'MR-Stat Data Sheet Bud'!$U$8:$AF$1081,$AA285,FALSE)</f>
        <v>0</v>
      </c>
      <c r="K285" s="582">
        <f>HLOOKUP($J$7,'MR-Stat Data Sheet Bud'!$AS$8:$BD$1081,$AA285,FALSE)</f>
        <v>0</v>
      </c>
      <c r="L285" s="582">
        <f t="shared" si="71"/>
        <v>0</v>
      </c>
      <c r="N285" s="582">
        <f>HLOOKUP($J$7,'MR-Stat Data Sheet Bud'!$BE$8:$BP$1081,$AA285,FALSE)</f>
        <v>0</v>
      </c>
      <c r="O285" s="582">
        <f>HLOOKUP($J$7,'MR-Stat Data Sheet Bud'!$AS$8:$BD$1081,$AA285,FALSE)</f>
        <v>0</v>
      </c>
      <c r="P285" s="582">
        <f t="shared" si="72"/>
        <v>0</v>
      </c>
      <c r="Q285" s="583"/>
      <c r="S285" s="599"/>
      <c r="T285" s="582">
        <v>0</v>
      </c>
      <c r="U285" s="583"/>
      <c r="V285" s="480"/>
      <c r="W285" s="495"/>
      <c r="X285" s="480"/>
      <c r="Y285" s="480"/>
      <c r="Z285" s="495"/>
      <c r="AA285" s="472">
        <f t="shared" si="64"/>
        <v>277</v>
      </c>
      <c r="AB285" s="480"/>
      <c r="AC285" s="480"/>
      <c r="AD285" s="480"/>
      <c r="AE285" s="495"/>
      <c r="AF285" s="480"/>
      <c r="AG285" s="480"/>
    </row>
    <row r="286" spans="1:33" s="471" customFormat="1" hidden="1">
      <c r="A286" s="420">
        <f t="shared" si="65"/>
        <v>276</v>
      </c>
      <c r="B286" s="585">
        <f t="shared" si="66"/>
        <v>0</v>
      </c>
      <c r="C286" s="533">
        <f t="shared" si="67"/>
        <v>0</v>
      </c>
      <c r="D286" s="533">
        <f t="shared" si="68"/>
        <v>0</v>
      </c>
      <c r="E286" s="420"/>
      <c r="F286" s="420" t="str">
        <f t="shared" si="69"/>
        <v>Vacant</v>
      </c>
      <c r="G286" s="586">
        <f t="shared" si="70"/>
        <v>0</v>
      </c>
      <c r="H286" s="581"/>
      <c r="J286" s="582">
        <f>HLOOKUP($J$7,'MR-Stat Data Sheet Bud'!$U$8:$AF$1081,$AA286,FALSE)</f>
        <v>0</v>
      </c>
      <c r="K286" s="582">
        <f>HLOOKUP($J$7,'MR-Stat Data Sheet Bud'!$AS$8:$BD$1081,$AA286,FALSE)</f>
        <v>0</v>
      </c>
      <c r="L286" s="582">
        <f t="shared" si="71"/>
        <v>0</v>
      </c>
      <c r="N286" s="582">
        <f>HLOOKUP($J$7,'MR-Stat Data Sheet Bud'!$BE$8:$BP$1081,$AA286,FALSE)</f>
        <v>0</v>
      </c>
      <c r="O286" s="582">
        <f>HLOOKUP($J$7,'MR-Stat Data Sheet Bud'!$AS$8:$BD$1081,$AA286,FALSE)</f>
        <v>0</v>
      </c>
      <c r="P286" s="582">
        <f t="shared" si="72"/>
        <v>0</v>
      </c>
      <c r="Q286" s="583"/>
      <c r="S286" s="599"/>
      <c r="T286" s="582">
        <v>0</v>
      </c>
      <c r="U286" s="583"/>
      <c r="V286" s="480"/>
      <c r="W286" s="495"/>
      <c r="X286" s="480"/>
      <c r="Y286" s="480"/>
      <c r="Z286" s="495"/>
      <c r="AA286" s="472">
        <f t="shared" si="64"/>
        <v>278</v>
      </c>
      <c r="AB286" s="480"/>
      <c r="AC286" s="480"/>
      <c r="AD286" s="480"/>
      <c r="AE286" s="495"/>
      <c r="AF286" s="480"/>
      <c r="AG286" s="480"/>
    </row>
    <row r="287" spans="1:33" s="471" customFormat="1" hidden="1">
      <c r="A287" s="420">
        <f t="shared" si="65"/>
        <v>277</v>
      </c>
      <c r="B287" s="585">
        <f t="shared" si="66"/>
        <v>0</v>
      </c>
      <c r="C287" s="533">
        <f t="shared" si="67"/>
        <v>0</v>
      </c>
      <c r="D287" s="533">
        <f t="shared" si="68"/>
        <v>0</v>
      </c>
      <c r="E287" s="420"/>
      <c r="F287" s="420" t="str">
        <f t="shared" si="69"/>
        <v>Vacant</v>
      </c>
      <c r="G287" s="586">
        <f t="shared" si="70"/>
        <v>0</v>
      </c>
      <c r="H287" s="581"/>
      <c r="J287" s="582">
        <f>HLOOKUP($J$7,'MR-Stat Data Sheet Bud'!$U$8:$AF$1081,$AA287,FALSE)</f>
        <v>0</v>
      </c>
      <c r="K287" s="582">
        <f>HLOOKUP($J$7,'MR-Stat Data Sheet Bud'!$AS$8:$BD$1081,$AA287,FALSE)</f>
        <v>0</v>
      </c>
      <c r="L287" s="582">
        <f t="shared" si="71"/>
        <v>0</v>
      </c>
      <c r="N287" s="582">
        <f>HLOOKUP($J$7,'MR-Stat Data Sheet Bud'!$BE$8:$BP$1081,$AA287,FALSE)</f>
        <v>0</v>
      </c>
      <c r="O287" s="582">
        <f>HLOOKUP($J$7,'MR-Stat Data Sheet Bud'!$AS$8:$BD$1081,$AA287,FALSE)</f>
        <v>0</v>
      </c>
      <c r="P287" s="582">
        <f t="shared" si="72"/>
        <v>0</v>
      </c>
      <c r="Q287" s="583"/>
      <c r="S287" s="599"/>
      <c r="T287" s="582">
        <v>0</v>
      </c>
      <c r="U287" s="583"/>
      <c r="V287" s="480"/>
      <c r="W287" s="495"/>
      <c r="X287" s="480"/>
      <c r="Y287" s="480"/>
      <c r="Z287" s="495"/>
      <c r="AA287" s="472">
        <f t="shared" si="64"/>
        <v>279</v>
      </c>
      <c r="AB287" s="480"/>
      <c r="AC287" s="480"/>
      <c r="AD287" s="480"/>
      <c r="AE287" s="495"/>
      <c r="AF287" s="480"/>
      <c r="AG287" s="480"/>
    </row>
    <row r="288" spans="1:33" s="471" customFormat="1" hidden="1">
      <c r="A288" s="420">
        <f t="shared" si="65"/>
        <v>278</v>
      </c>
      <c r="B288" s="585">
        <f t="shared" si="66"/>
        <v>0</v>
      </c>
      <c r="C288" s="533">
        <f t="shared" si="67"/>
        <v>0</v>
      </c>
      <c r="D288" s="533">
        <f t="shared" si="68"/>
        <v>0</v>
      </c>
      <c r="E288" s="420"/>
      <c r="F288" s="420" t="str">
        <f t="shared" si="69"/>
        <v>Vacant</v>
      </c>
      <c r="G288" s="586">
        <f t="shared" si="70"/>
        <v>0</v>
      </c>
      <c r="H288" s="581"/>
      <c r="J288" s="582">
        <f>HLOOKUP($J$7,'MR-Stat Data Sheet Bud'!$U$8:$AF$1081,$AA288,FALSE)</f>
        <v>0</v>
      </c>
      <c r="K288" s="582">
        <f>HLOOKUP($J$7,'MR-Stat Data Sheet Bud'!$AS$8:$BD$1081,$AA288,FALSE)</f>
        <v>0</v>
      </c>
      <c r="L288" s="582">
        <f t="shared" si="71"/>
        <v>0</v>
      </c>
      <c r="N288" s="582">
        <f>HLOOKUP($J$7,'MR-Stat Data Sheet Bud'!$BE$8:$BP$1081,$AA288,FALSE)</f>
        <v>0</v>
      </c>
      <c r="O288" s="582">
        <f>HLOOKUP($J$7,'MR-Stat Data Sheet Bud'!$AS$8:$BD$1081,$AA288,FALSE)</f>
        <v>0</v>
      </c>
      <c r="P288" s="582">
        <f t="shared" si="72"/>
        <v>0</v>
      </c>
      <c r="Q288" s="583"/>
      <c r="S288" s="599"/>
      <c r="T288" s="582">
        <v>0</v>
      </c>
      <c r="U288" s="583"/>
      <c r="V288" s="480"/>
      <c r="W288" s="495"/>
      <c r="X288" s="480"/>
      <c r="Y288" s="480"/>
      <c r="Z288" s="495"/>
      <c r="AA288" s="472">
        <f t="shared" si="64"/>
        <v>280</v>
      </c>
      <c r="AB288" s="480"/>
      <c r="AC288" s="480"/>
      <c r="AD288" s="480"/>
      <c r="AE288" s="495"/>
      <c r="AF288" s="480"/>
      <c r="AG288" s="480"/>
    </row>
    <row r="289" spans="1:33" s="471" customFormat="1" hidden="1">
      <c r="A289" s="420">
        <f t="shared" si="65"/>
        <v>279</v>
      </c>
      <c r="B289" s="585">
        <f t="shared" si="66"/>
        <v>0</v>
      </c>
      <c r="C289" s="533">
        <f t="shared" si="67"/>
        <v>0</v>
      </c>
      <c r="D289" s="533">
        <f t="shared" si="68"/>
        <v>0</v>
      </c>
      <c r="E289" s="420"/>
      <c r="F289" s="420" t="str">
        <f t="shared" si="69"/>
        <v>Vacant</v>
      </c>
      <c r="G289" s="586">
        <f t="shared" si="70"/>
        <v>0</v>
      </c>
      <c r="H289" s="581"/>
      <c r="J289" s="582">
        <f>HLOOKUP($J$7,'MR-Stat Data Sheet Bud'!$U$8:$AF$1081,$AA289,FALSE)</f>
        <v>0</v>
      </c>
      <c r="K289" s="582">
        <f>HLOOKUP($J$7,'MR-Stat Data Sheet Bud'!$AS$8:$BD$1081,$AA289,FALSE)</f>
        <v>0</v>
      </c>
      <c r="L289" s="582">
        <f t="shared" si="71"/>
        <v>0</v>
      </c>
      <c r="N289" s="582">
        <f>HLOOKUP($J$7,'MR-Stat Data Sheet Bud'!$BE$8:$BP$1081,$AA289,FALSE)</f>
        <v>0</v>
      </c>
      <c r="O289" s="582">
        <f>HLOOKUP($J$7,'MR-Stat Data Sheet Bud'!$AS$8:$BD$1081,$AA289,FALSE)</f>
        <v>0</v>
      </c>
      <c r="P289" s="582">
        <f t="shared" si="72"/>
        <v>0</v>
      </c>
      <c r="Q289" s="583"/>
      <c r="S289" s="599"/>
      <c r="T289" s="582">
        <v>0</v>
      </c>
      <c r="U289" s="583"/>
      <c r="V289" s="480"/>
      <c r="W289" s="495"/>
      <c r="X289" s="480"/>
      <c r="Y289" s="480"/>
      <c r="Z289" s="495"/>
      <c r="AA289" s="472">
        <f t="shared" si="64"/>
        <v>281</v>
      </c>
      <c r="AB289" s="480"/>
      <c r="AC289" s="480"/>
      <c r="AD289" s="480"/>
      <c r="AE289" s="495"/>
      <c r="AF289" s="480"/>
      <c r="AG289" s="480"/>
    </row>
    <row r="290" spans="1:33" s="471" customFormat="1" hidden="1">
      <c r="A290" s="420">
        <f t="shared" si="65"/>
        <v>280</v>
      </c>
      <c r="B290" s="585">
        <f t="shared" si="66"/>
        <v>0</v>
      </c>
      <c r="C290" s="533">
        <f t="shared" si="67"/>
        <v>0</v>
      </c>
      <c r="D290" s="533">
        <f t="shared" si="68"/>
        <v>0</v>
      </c>
      <c r="E290" s="420"/>
      <c r="F290" s="420" t="str">
        <f t="shared" si="69"/>
        <v>Vacant</v>
      </c>
      <c r="G290" s="586">
        <f t="shared" si="70"/>
        <v>0</v>
      </c>
      <c r="H290" s="581"/>
      <c r="J290" s="582">
        <f>HLOOKUP($J$7,'MR-Stat Data Sheet Bud'!$U$8:$AF$1081,$AA290,FALSE)</f>
        <v>0</v>
      </c>
      <c r="K290" s="582">
        <f>HLOOKUP($J$7,'MR-Stat Data Sheet Bud'!$AS$8:$BD$1081,$AA290,FALSE)</f>
        <v>0</v>
      </c>
      <c r="L290" s="582">
        <f t="shared" si="71"/>
        <v>0</v>
      </c>
      <c r="N290" s="582">
        <f>HLOOKUP($J$7,'MR-Stat Data Sheet Bud'!$BE$8:$BP$1081,$AA290,FALSE)</f>
        <v>0</v>
      </c>
      <c r="O290" s="582">
        <f>HLOOKUP($J$7,'MR-Stat Data Sheet Bud'!$AS$8:$BD$1081,$AA290,FALSE)</f>
        <v>0</v>
      </c>
      <c r="P290" s="582">
        <f t="shared" si="72"/>
        <v>0</v>
      </c>
      <c r="Q290" s="583"/>
      <c r="S290" s="599"/>
      <c r="T290" s="582">
        <v>0</v>
      </c>
      <c r="U290" s="583"/>
      <c r="V290" s="480"/>
      <c r="W290" s="495"/>
      <c r="X290" s="480"/>
      <c r="Y290" s="480"/>
      <c r="Z290" s="495"/>
      <c r="AA290" s="472">
        <f t="shared" si="64"/>
        <v>282</v>
      </c>
      <c r="AB290" s="480"/>
      <c r="AC290" s="480"/>
      <c r="AD290" s="480"/>
      <c r="AE290" s="495"/>
      <c r="AF290" s="480"/>
      <c r="AG290" s="480"/>
    </row>
    <row r="291" spans="1:33" s="471" customFormat="1" hidden="1">
      <c r="A291" s="420">
        <f t="shared" si="65"/>
        <v>281</v>
      </c>
      <c r="B291" s="585">
        <f t="shared" si="66"/>
        <v>0</v>
      </c>
      <c r="C291" s="533">
        <f t="shared" si="67"/>
        <v>0</v>
      </c>
      <c r="D291" s="533">
        <f t="shared" si="68"/>
        <v>0</v>
      </c>
      <c r="E291" s="420"/>
      <c r="F291" s="420" t="str">
        <f t="shared" si="69"/>
        <v>Vacant</v>
      </c>
      <c r="G291" s="586">
        <f t="shared" si="70"/>
        <v>0</v>
      </c>
      <c r="H291" s="581"/>
      <c r="J291" s="582">
        <f>HLOOKUP($J$7,'MR-Stat Data Sheet Bud'!$U$8:$AF$1081,$AA291,FALSE)</f>
        <v>0</v>
      </c>
      <c r="K291" s="582">
        <f>HLOOKUP($J$7,'MR-Stat Data Sheet Bud'!$AS$8:$BD$1081,$AA291,FALSE)</f>
        <v>0</v>
      </c>
      <c r="L291" s="582">
        <f t="shared" si="71"/>
        <v>0</v>
      </c>
      <c r="N291" s="582">
        <f>HLOOKUP($J$7,'MR-Stat Data Sheet Bud'!$BE$8:$BP$1081,$AA291,FALSE)</f>
        <v>0</v>
      </c>
      <c r="O291" s="582">
        <f>HLOOKUP($J$7,'MR-Stat Data Sheet Bud'!$AS$8:$BD$1081,$AA291,FALSE)</f>
        <v>0</v>
      </c>
      <c r="P291" s="582">
        <f t="shared" si="72"/>
        <v>0</v>
      </c>
      <c r="Q291" s="583"/>
      <c r="S291" s="599"/>
      <c r="T291" s="582">
        <v>0</v>
      </c>
      <c r="U291" s="583"/>
      <c r="V291" s="480"/>
      <c r="W291" s="495"/>
      <c r="X291" s="480"/>
      <c r="Y291" s="480"/>
      <c r="Z291" s="495"/>
      <c r="AA291" s="472">
        <f t="shared" si="64"/>
        <v>283</v>
      </c>
      <c r="AB291" s="480"/>
      <c r="AC291" s="480"/>
      <c r="AD291" s="480"/>
      <c r="AE291" s="495"/>
      <c r="AF291" s="480"/>
      <c r="AG291" s="480"/>
    </row>
    <row r="292" spans="1:33" s="471" customFormat="1" hidden="1">
      <c r="A292" s="420">
        <f t="shared" si="65"/>
        <v>282</v>
      </c>
      <c r="B292" s="585">
        <f t="shared" si="66"/>
        <v>0</v>
      </c>
      <c r="C292" s="533">
        <f t="shared" si="67"/>
        <v>0</v>
      </c>
      <c r="D292" s="533">
        <f t="shared" si="68"/>
        <v>0</v>
      </c>
      <c r="E292" s="420"/>
      <c r="F292" s="420" t="str">
        <f t="shared" si="69"/>
        <v>Vacant</v>
      </c>
      <c r="G292" s="586">
        <f t="shared" si="70"/>
        <v>0</v>
      </c>
      <c r="H292" s="581"/>
      <c r="J292" s="582">
        <f>HLOOKUP($J$7,'MR-Stat Data Sheet Bud'!$U$8:$AF$1081,$AA292,FALSE)</f>
        <v>0</v>
      </c>
      <c r="K292" s="582">
        <f>HLOOKUP($J$7,'MR-Stat Data Sheet Bud'!$AS$8:$BD$1081,$AA292,FALSE)</f>
        <v>0</v>
      </c>
      <c r="L292" s="582">
        <f t="shared" si="71"/>
        <v>0</v>
      </c>
      <c r="N292" s="582">
        <f>HLOOKUP($J$7,'MR-Stat Data Sheet Bud'!$BE$8:$BP$1081,$AA292,FALSE)</f>
        <v>0</v>
      </c>
      <c r="O292" s="582">
        <f>HLOOKUP($J$7,'MR-Stat Data Sheet Bud'!$AS$8:$BD$1081,$AA292,FALSE)</f>
        <v>0</v>
      </c>
      <c r="P292" s="582">
        <f t="shared" si="72"/>
        <v>0</v>
      </c>
      <c r="Q292" s="583"/>
      <c r="S292" s="599"/>
      <c r="T292" s="582">
        <v>0</v>
      </c>
      <c r="U292" s="583"/>
      <c r="V292" s="480"/>
      <c r="W292" s="495"/>
      <c r="X292" s="480"/>
      <c r="Y292" s="480"/>
      <c r="Z292" s="495"/>
      <c r="AA292" s="472">
        <f t="shared" si="64"/>
        <v>284</v>
      </c>
      <c r="AB292" s="480"/>
      <c r="AC292" s="480"/>
      <c r="AD292" s="480"/>
      <c r="AE292" s="495"/>
      <c r="AF292" s="480"/>
      <c r="AG292" s="480"/>
    </row>
    <row r="293" spans="1:33" s="471" customFormat="1" hidden="1">
      <c r="A293" s="420">
        <f t="shared" si="65"/>
        <v>283</v>
      </c>
      <c r="B293" s="585">
        <f t="shared" si="66"/>
        <v>0</v>
      </c>
      <c r="C293" s="533">
        <f t="shared" si="67"/>
        <v>0</v>
      </c>
      <c r="D293" s="533">
        <f t="shared" si="68"/>
        <v>0</v>
      </c>
      <c r="E293" s="420"/>
      <c r="F293" s="420" t="str">
        <f t="shared" si="69"/>
        <v>Vacant</v>
      </c>
      <c r="G293" s="586">
        <f t="shared" si="70"/>
        <v>0</v>
      </c>
      <c r="H293" s="581"/>
      <c r="J293" s="582">
        <f>HLOOKUP($J$7,'MR-Stat Data Sheet Bud'!$U$8:$AF$1081,$AA293,FALSE)</f>
        <v>0</v>
      </c>
      <c r="K293" s="582">
        <f>HLOOKUP($J$7,'MR-Stat Data Sheet Bud'!$AS$8:$BD$1081,$AA293,FALSE)</f>
        <v>0</v>
      </c>
      <c r="L293" s="582">
        <f t="shared" si="71"/>
        <v>0</v>
      </c>
      <c r="N293" s="582">
        <f>HLOOKUP($J$7,'MR-Stat Data Sheet Bud'!$BE$8:$BP$1081,$AA293,FALSE)</f>
        <v>0</v>
      </c>
      <c r="O293" s="582">
        <f>HLOOKUP($J$7,'MR-Stat Data Sheet Bud'!$AS$8:$BD$1081,$AA293,FALSE)</f>
        <v>0</v>
      </c>
      <c r="P293" s="582">
        <f t="shared" si="72"/>
        <v>0</v>
      </c>
      <c r="Q293" s="583"/>
      <c r="S293" s="599"/>
      <c r="T293" s="582">
        <v>0</v>
      </c>
      <c r="U293" s="583"/>
      <c r="V293" s="480"/>
      <c r="W293" s="495"/>
      <c r="X293" s="480"/>
      <c r="Y293" s="480"/>
      <c r="Z293" s="495"/>
      <c r="AA293" s="472">
        <f t="shared" si="64"/>
        <v>285</v>
      </c>
      <c r="AB293" s="480"/>
      <c r="AC293" s="480"/>
      <c r="AD293" s="480"/>
      <c r="AE293" s="495"/>
      <c r="AF293" s="480"/>
      <c r="AG293" s="480"/>
    </row>
    <row r="294" spans="1:33" s="471" customFormat="1" hidden="1">
      <c r="A294" s="420">
        <f t="shared" si="65"/>
        <v>284</v>
      </c>
      <c r="B294" s="585">
        <f t="shared" si="66"/>
        <v>0</v>
      </c>
      <c r="C294" s="533">
        <f t="shared" si="67"/>
        <v>0</v>
      </c>
      <c r="D294" s="533">
        <f t="shared" si="68"/>
        <v>0</v>
      </c>
      <c r="E294" s="420"/>
      <c r="F294" s="420" t="str">
        <f t="shared" si="69"/>
        <v>Vacant</v>
      </c>
      <c r="G294" s="586">
        <f t="shared" si="70"/>
        <v>0</v>
      </c>
      <c r="H294" s="581"/>
      <c r="J294" s="582">
        <f>HLOOKUP($J$7,'MR-Stat Data Sheet Bud'!$U$8:$AF$1081,$AA294,FALSE)</f>
        <v>0</v>
      </c>
      <c r="K294" s="582">
        <f>HLOOKUP($J$7,'MR-Stat Data Sheet Bud'!$AS$8:$BD$1081,$AA294,FALSE)</f>
        <v>0</v>
      </c>
      <c r="L294" s="582">
        <f t="shared" si="71"/>
        <v>0</v>
      </c>
      <c r="N294" s="582">
        <f>HLOOKUP($J$7,'MR-Stat Data Sheet Bud'!$BE$8:$BP$1081,$AA294,FALSE)</f>
        <v>0</v>
      </c>
      <c r="O294" s="582">
        <f>HLOOKUP($J$7,'MR-Stat Data Sheet Bud'!$AS$8:$BD$1081,$AA294,FALSE)</f>
        <v>0</v>
      </c>
      <c r="P294" s="582">
        <f t="shared" si="72"/>
        <v>0</v>
      </c>
      <c r="Q294" s="583"/>
      <c r="S294" s="599"/>
      <c r="T294" s="582">
        <v>0</v>
      </c>
      <c r="U294" s="583"/>
      <c r="V294" s="480"/>
      <c r="W294" s="495"/>
      <c r="X294" s="480"/>
      <c r="Y294" s="480"/>
      <c r="Z294" s="495"/>
      <c r="AA294" s="472">
        <f t="shared" si="64"/>
        <v>286</v>
      </c>
      <c r="AB294" s="480"/>
      <c r="AC294" s="480"/>
      <c r="AD294" s="480"/>
      <c r="AE294" s="495"/>
      <c r="AF294" s="480"/>
      <c r="AG294" s="480"/>
    </row>
    <row r="295" spans="1:33" s="471" customFormat="1" hidden="1">
      <c r="A295" s="420">
        <f t="shared" si="65"/>
        <v>285</v>
      </c>
      <c r="B295" s="585">
        <f t="shared" si="66"/>
        <v>0</v>
      </c>
      <c r="C295" s="533">
        <f t="shared" si="67"/>
        <v>0</v>
      </c>
      <c r="D295" s="533">
        <f t="shared" si="68"/>
        <v>0</v>
      </c>
      <c r="E295" s="420"/>
      <c r="F295" s="420" t="str">
        <f t="shared" si="69"/>
        <v>Vacant</v>
      </c>
      <c r="G295" s="586">
        <f t="shared" si="70"/>
        <v>0</v>
      </c>
      <c r="H295" s="581"/>
      <c r="J295" s="582">
        <f>HLOOKUP($J$7,'MR-Stat Data Sheet Bud'!$U$8:$AF$1081,$AA295,FALSE)</f>
        <v>0</v>
      </c>
      <c r="K295" s="582">
        <f>HLOOKUP($J$7,'MR-Stat Data Sheet Bud'!$AS$8:$BD$1081,$AA295,FALSE)</f>
        <v>0</v>
      </c>
      <c r="L295" s="582">
        <f t="shared" si="71"/>
        <v>0</v>
      </c>
      <c r="N295" s="582">
        <f>HLOOKUP($J$7,'MR-Stat Data Sheet Bud'!$BE$8:$BP$1081,$AA295,FALSE)</f>
        <v>0</v>
      </c>
      <c r="O295" s="582">
        <f>HLOOKUP($J$7,'MR-Stat Data Sheet Bud'!$AS$8:$BD$1081,$AA295,FALSE)</f>
        <v>0</v>
      </c>
      <c r="P295" s="582">
        <f t="shared" si="72"/>
        <v>0</v>
      </c>
      <c r="Q295" s="583"/>
      <c r="S295" s="599"/>
      <c r="T295" s="582">
        <v>0</v>
      </c>
      <c r="U295" s="583"/>
      <c r="V295" s="480"/>
      <c r="W295" s="495"/>
      <c r="X295" s="480"/>
      <c r="Y295" s="480"/>
      <c r="Z295" s="495"/>
      <c r="AA295" s="472">
        <f t="shared" si="64"/>
        <v>287</v>
      </c>
      <c r="AB295" s="480"/>
      <c r="AC295" s="480"/>
      <c r="AD295" s="480"/>
      <c r="AE295" s="495"/>
      <c r="AF295" s="480"/>
      <c r="AG295" s="480"/>
    </row>
    <row r="296" spans="1:33" s="471" customFormat="1" hidden="1">
      <c r="A296" s="420">
        <f t="shared" si="65"/>
        <v>286</v>
      </c>
      <c r="B296" s="585">
        <f t="shared" si="66"/>
        <v>0</v>
      </c>
      <c r="C296" s="533">
        <f t="shared" si="67"/>
        <v>0</v>
      </c>
      <c r="D296" s="533">
        <f t="shared" si="68"/>
        <v>0</v>
      </c>
      <c r="E296" s="420"/>
      <c r="F296" s="420" t="str">
        <f t="shared" si="69"/>
        <v>Vacant</v>
      </c>
      <c r="G296" s="586">
        <f t="shared" si="70"/>
        <v>0</v>
      </c>
      <c r="H296" s="581"/>
      <c r="J296" s="582">
        <f>HLOOKUP($J$7,'MR-Stat Data Sheet Bud'!$U$8:$AF$1081,$AA296,FALSE)</f>
        <v>0</v>
      </c>
      <c r="K296" s="582">
        <f>HLOOKUP($J$7,'MR-Stat Data Sheet Bud'!$AS$8:$BD$1081,$AA296,FALSE)</f>
        <v>0</v>
      </c>
      <c r="L296" s="582">
        <f t="shared" si="71"/>
        <v>0</v>
      </c>
      <c r="N296" s="582">
        <f>HLOOKUP($J$7,'MR-Stat Data Sheet Bud'!$BE$8:$BP$1081,$AA296,FALSE)</f>
        <v>0</v>
      </c>
      <c r="O296" s="582">
        <f>HLOOKUP($J$7,'MR-Stat Data Sheet Bud'!$AS$8:$BD$1081,$AA296,FALSE)</f>
        <v>0</v>
      </c>
      <c r="P296" s="582">
        <f t="shared" si="72"/>
        <v>0</v>
      </c>
      <c r="Q296" s="583"/>
      <c r="S296" s="599"/>
      <c r="T296" s="582">
        <v>0</v>
      </c>
      <c r="U296" s="583"/>
      <c r="V296" s="480"/>
      <c r="W296" s="495"/>
      <c r="X296" s="480"/>
      <c r="Y296" s="480"/>
      <c r="Z296" s="495"/>
      <c r="AA296" s="472">
        <f t="shared" si="64"/>
        <v>288</v>
      </c>
      <c r="AB296" s="480"/>
      <c r="AC296" s="480"/>
      <c r="AD296" s="480"/>
      <c r="AE296" s="495"/>
      <c r="AF296" s="480"/>
      <c r="AG296" s="480"/>
    </row>
    <row r="297" spans="1:33" s="471" customFormat="1" hidden="1">
      <c r="A297" s="420">
        <f t="shared" si="65"/>
        <v>287</v>
      </c>
      <c r="B297" s="585">
        <f t="shared" si="66"/>
        <v>0</v>
      </c>
      <c r="C297" s="533">
        <f t="shared" si="67"/>
        <v>0</v>
      </c>
      <c r="D297" s="533">
        <f t="shared" si="68"/>
        <v>0</v>
      </c>
      <c r="E297" s="420"/>
      <c r="F297" s="420" t="str">
        <f t="shared" si="69"/>
        <v>Vacant</v>
      </c>
      <c r="G297" s="586">
        <f t="shared" si="70"/>
        <v>0</v>
      </c>
      <c r="H297" s="581"/>
      <c r="J297" s="582">
        <f>HLOOKUP($J$7,'MR-Stat Data Sheet Bud'!$U$8:$AF$1081,$AA297,FALSE)</f>
        <v>0</v>
      </c>
      <c r="K297" s="582">
        <f>HLOOKUP($J$7,'MR-Stat Data Sheet Bud'!$AS$8:$BD$1081,$AA297,FALSE)</f>
        <v>0</v>
      </c>
      <c r="L297" s="582">
        <f t="shared" si="71"/>
        <v>0</v>
      </c>
      <c r="N297" s="582">
        <f>HLOOKUP($J$7,'MR-Stat Data Sheet Bud'!$BE$8:$BP$1081,$AA297,FALSE)</f>
        <v>0</v>
      </c>
      <c r="O297" s="582">
        <f>HLOOKUP($J$7,'MR-Stat Data Sheet Bud'!$AS$8:$BD$1081,$AA297,FALSE)</f>
        <v>0</v>
      </c>
      <c r="P297" s="582">
        <f t="shared" si="72"/>
        <v>0</v>
      </c>
      <c r="Q297" s="583"/>
      <c r="S297" s="599"/>
      <c r="T297" s="582">
        <v>0</v>
      </c>
      <c r="U297" s="583"/>
      <c r="V297" s="480"/>
      <c r="W297" s="495"/>
      <c r="X297" s="480"/>
      <c r="Y297" s="480"/>
      <c r="Z297" s="495"/>
      <c r="AA297" s="472">
        <f t="shared" si="64"/>
        <v>289</v>
      </c>
      <c r="AB297" s="480"/>
      <c r="AC297" s="480"/>
      <c r="AD297" s="480"/>
      <c r="AE297" s="495"/>
      <c r="AF297" s="480"/>
      <c r="AG297" s="480"/>
    </row>
    <row r="298" spans="1:33" s="471" customFormat="1" hidden="1">
      <c r="A298" s="420">
        <f t="shared" si="65"/>
        <v>288</v>
      </c>
      <c r="B298" s="585">
        <f t="shared" si="66"/>
        <v>0</v>
      </c>
      <c r="C298" s="533">
        <f t="shared" si="67"/>
        <v>0</v>
      </c>
      <c r="D298" s="533">
        <f t="shared" si="68"/>
        <v>0</v>
      </c>
      <c r="E298" s="420"/>
      <c r="F298" s="420" t="str">
        <f t="shared" si="69"/>
        <v>Vacant</v>
      </c>
      <c r="G298" s="586">
        <f t="shared" si="70"/>
        <v>0</v>
      </c>
      <c r="H298" s="581"/>
      <c r="J298" s="582">
        <f>HLOOKUP($J$7,'MR-Stat Data Sheet Bud'!$U$8:$AF$1081,$AA298,FALSE)</f>
        <v>0</v>
      </c>
      <c r="K298" s="582">
        <f>HLOOKUP($J$7,'MR-Stat Data Sheet Bud'!$AS$8:$BD$1081,$AA298,FALSE)</f>
        <v>0</v>
      </c>
      <c r="L298" s="582">
        <f t="shared" si="71"/>
        <v>0</v>
      </c>
      <c r="N298" s="582">
        <f>HLOOKUP($J$7,'MR-Stat Data Sheet Bud'!$BE$8:$BP$1081,$AA298,FALSE)</f>
        <v>0</v>
      </c>
      <c r="O298" s="582">
        <f>HLOOKUP($J$7,'MR-Stat Data Sheet Bud'!$AS$8:$BD$1081,$AA298,FALSE)</f>
        <v>0</v>
      </c>
      <c r="P298" s="582">
        <f t="shared" si="72"/>
        <v>0</v>
      </c>
      <c r="Q298" s="583"/>
      <c r="S298" s="599"/>
      <c r="T298" s="582">
        <v>0</v>
      </c>
      <c r="U298" s="583"/>
      <c r="V298" s="480"/>
      <c r="W298" s="495"/>
      <c r="X298" s="480"/>
      <c r="Y298" s="480"/>
      <c r="Z298" s="495"/>
      <c r="AA298" s="472">
        <f t="shared" si="64"/>
        <v>290</v>
      </c>
      <c r="AB298" s="480"/>
      <c r="AC298" s="480"/>
      <c r="AD298" s="480"/>
      <c r="AE298" s="495"/>
      <c r="AF298" s="480"/>
      <c r="AG298" s="480"/>
    </row>
    <row r="299" spans="1:33" s="471" customFormat="1" hidden="1">
      <c r="A299" s="420">
        <f t="shared" si="65"/>
        <v>289</v>
      </c>
      <c r="B299" s="585">
        <f t="shared" si="66"/>
        <v>0</v>
      </c>
      <c r="C299" s="533">
        <f t="shared" si="67"/>
        <v>0</v>
      </c>
      <c r="D299" s="533">
        <f t="shared" si="68"/>
        <v>0</v>
      </c>
      <c r="E299" s="420"/>
      <c r="F299" s="420" t="str">
        <f t="shared" si="69"/>
        <v>Vacant</v>
      </c>
      <c r="G299" s="586">
        <f t="shared" si="70"/>
        <v>0</v>
      </c>
      <c r="H299" s="581"/>
      <c r="J299" s="582">
        <f>HLOOKUP($J$7,'MR-Stat Data Sheet Bud'!$U$8:$AF$1081,$AA299,FALSE)</f>
        <v>0</v>
      </c>
      <c r="K299" s="582">
        <f>HLOOKUP($J$7,'MR-Stat Data Sheet Bud'!$AS$8:$BD$1081,$AA299,FALSE)</f>
        <v>0</v>
      </c>
      <c r="L299" s="582">
        <f t="shared" si="71"/>
        <v>0</v>
      </c>
      <c r="N299" s="582">
        <f>HLOOKUP($J$7,'MR-Stat Data Sheet Bud'!$BE$8:$BP$1081,$AA299,FALSE)</f>
        <v>0</v>
      </c>
      <c r="O299" s="582">
        <f>HLOOKUP($J$7,'MR-Stat Data Sheet Bud'!$AS$8:$BD$1081,$AA299,FALSE)</f>
        <v>0</v>
      </c>
      <c r="P299" s="582">
        <f t="shared" si="72"/>
        <v>0</v>
      </c>
      <c r="Q299" s="583"/>
      <c r="S299" s="599"/>
      <c r="T299" s="582">
        <v>0</v>
      </c>
      <c r="U299" s="583"/>
      <c r="V299" s="480"/>
      <c r="W299" s="495"/>
      <c r="X299" s="480"/>
      <c r="Y299" s="480"/>
      <c r="Z299" s="495"/>
      <c r="AA299" s="472">
        <f t="shared" si="64"/>
        <v>291</v>
      </c>
      <c r="AB299" s="480"/>
      <c r="AC299" s="480"/>
      <c r="AD299" s="480"/>
      <c r="AE299" s="495"/>
      <c r="AF299" s="480"/>
      <c r="AG299" s="480"/>
    </row>
    <row r="300" spans="1:33" s="471" customFormat="1" hidden="1">
      <c r="A300" s="420">
        <f t="shared" si="65"/>
        <v>290</v>
      </c>
      <c r="B300" s="585">
        <f t="shared" si="66"/>
        <v>0</v>
      </c>
      <c r="C300" s="533">
        <f t="shared" si="67"/>
        <v>0</v>
      </c>
      <c r="D300" s="533">
        <f t="shared" si="68"/>
        <v>0</v>
      </c>
      <c r="E300" s="420"/>
      <c r="F300" s="420" t="str">
        <f t="shared" si="69"/>
        <v>Vacant</v>
      </c>
      <c r="G300" s="586">
        <f t="shared" si="70"/>
        <v>0</v>
      </c>
      <c r="H300" s="581"/>
      <c r="J300" s="582">
        <f>HLOOKUP($J$7,'MR-Stat Data Sheet Bud'!$U$8:$AF$1081,$AA300,FALSE)</f>
        <v>0</v>
      </c>
      <c r="K300" s="582">
        <f>HLOOKUP($J$7,'MR-Stat Data Sheet Bud'!$AS$8:$BD$1081,$AA300,FALSE)</f>
        <v>0</v>
      </c>
      <c r="L300" s="582">
        <f t="shared" si="71"/>
        <v>0</v>
      </c>
      <c r="N300" s="582">
        <f>HLOOKUP($J$7,'MR-Stat Data Sheet Bud'!$BE$8:$BP$1081,$AA300,FALSE)</f>
        <v>0</v>
      </c>
      <c r="O300" s="582">
        <f>HLOOKUP($J$7,'MR-Stat Data Sheet Bud'!$AS$8:$BD$1081,$AA300,FALSE)</f>
        <v>0</v>
      </c>
      <c r="P300" s="582">
        <f t="shared" si="72"/>
        <v>0</v>
      </c>
      <c r="Q300" s="583"/>
      <c r="S300" s="599"/>
      <c r="T300" s="582">
        <v>0</v>
      </c>
      <c r="U300" s="583"/>
      <c r="V300" s="480"/>
      <c r="W300" s="495"/>
      <c r="X300" s="480"/>
      <c r="Y300" s="480"/>
      <c r="Z300" s="495"/>
      <c r="AA300" s="472">
        <f t="shared" si="64"/>
        <v>292</v>
      </c>
      <c r="AB300" s="480"/>
      <c r="AC300" s="480"/>
      <c r="AD300" s="480"/>
      <c r="AE300" s="495"/>
      <c r="AF300" s="480"/>
      <c r="AG300" s="480"/>
    </row>
    <row r="301" spans="1:33" s="471" customFormat="1" hidden="1">
      <c r="A301" s="420">
        <f t="shared" si="65"/>
        <v>291</v>
      </c>
      <c r="B301" s="585">
        <f t="shared" si="66"/>
        <v>0</v>
      </c>
      <c r="C301" s="533">
        <f t="shared" si="67"/>
        <v>0</v>
      </c>
      <c r="D301" s="533">
        <f t="shared" si="68"/>
        <v>0</v>
      </c>
      <c r="E301" s="420"/>
      <c r="F301" s="420" t="str">
        <f t="shared" si="69"/>
        <v>Vacant</v>
      </c>
      <c r="G301" s="586">
        <f t="shared" si="70"/>
        <v>0</v>
      </c>
      <c r="H301" s="581"/>
      <c r="J301" s="582">
        <f>HLOOKUP($J$7,'MR-Stat Data Sheet Bud'!$U$8:$AF$1081,$AA301,FALSE)</f>
        <v>0</v>
      </c>
      <c r="K301" s="582">
        <f>HLOOKUP($J$7,'MR-Stat Data Sheet Bud'!$AS$8:$BD$1081,$AA301,FALSE)</f>
        <v>0</v>
      </c>
      <c r="L301" s="582">
        <f t="shared" si="71"/>
        <v>0</v>
      </c>
      <c r="N301" s="582">
        <f>HLOOKUP($J$7,'MR-Stat Data Sheet Bud'!$BE$8:$BP$1081,$AA301,FALSE)</f>
        <v>0</v>
      </c>
      <c r="O301" s="582">
        <f>HLOOKUP($J$7,'MR-Stat Data Sheet Bud'!$AS$8:$BD$1081,$AA301,FALSE)</f>
        <v>0</v>
      </c>
      <c r="P301" s="582">
        <f t="shared" si="72"/>
        <v>0</v>
      </c>
      <c r="Q301" s="583"/>
      <c r="S301" s="599"/>
      <c r="T301" s="582">
        <v>0</v>
      </c>
      <c r="U301" s="583"/>
      <c r="V301" s="480"/>
      <c r="W301" s="495"/>
      <c r="X301" s="480"/>
      <c r="Y301" s="480"/>
      <c r="Z301" s="495"/>
      <c r="AA301" s="472">
        <f t="shared" si="64"/>
        <v>293</v>
      </c>
      <c r="AB301" s="480"/>
      <c r="AC301" s="480"/>
      <c r="AD301" s="480"/>
      <c r="AE301" s="495"/>
      <c r="AF301" s="480"/>
      <c r="AG301" s="480"/>
    </row>
    <row r="302" spans="1:33" s="471" customFormat="1" hidden="1">
      <c r="A302" s="420">
        <f t="shared" si="65"/>
        <v>292</v>
      </c>
      <c r="B302" s="585">
        <f t="shared" si="66"/>
        <v>0</v>
      </c>
      <c r="C302" s="533">
        <f t="shared" si="67"/>
        <v>0</v>
      </c>
      <c r="D302" s="533">
        <f t="shared" si="68"/>
        <v>0</v>
      </c>
      <c r="E302" s="420"/>
      <c r="F302" s="420" t="str">
        <f t="shared" si="69"/>
        <v>Vacant</v>
      </c>
      <c r="G302" s="586">
        <f t="shared" si="70"/>
        <v>0</v>
      </c>
      <c r="H302" s="581"/>
      <c r="J302" s="582">
        <f>HLOOKUP($J$7,'MR-Stat Data Sheet Bud'!$U$8:$AF$1081,$AA302,FALSE)</f>
        <v>0</v>
      </c>
      <c r="K302" s="582">
        <f>HLOOKUP($J$7,'MR-Stat Data Sheet Bud'!$AS$8:$BD$1081,$AA302,FALSE)</f>
        <v>0</v>
      </c>
      <c r="L302" s="582">
        <f t="shared" si="71"/>
        <v>0</v>
      </c>
      <c r="N302" s="582">
        <f>HLOOKUP($J$7,'MR-Stat Data Sheet Bud'!$BE$8:$BP$1081,$AA302,FALSE)</f>
        <v>0</v>
      </c>
      <c r="O302" s="582">
        <f>HLOOKUP($J$7,'MR-Stat Data Sheet Bud'!$AS$8:$BD$1081,$AA302,FALSE)</f>
        <v>0</v>
      </c>
      <c r="P302" s="582">
        <f t="shared" si="72"/>
        <v>0</v>
      </c>
      <c r="Q302" s="583"/>
      <c r="S302" s="599"/>
      <c r="T302" s="582">
        <v>0</v>
      </c>
      <c r="U302" s="583"/>
      <c r="V302" s="480"/>
      <c r="W302" s="495"/>
      <c r="X302" s="480"/>
      <c r="Y302" s="480"/>
      <c r="Z302" s="495"/>
      <c r="AA302" s="472">
        <f t="shared" si="64"/>
        <v>294</v>
      </c>
      <c r="AB302" s="480"/>
      <c r="AC302" s="480"/>
      <c r="AD302" s="480"/>
      <c r="AE302" s="495"/>
      <c r="AF302" s="480"/>
      <c r="AG302" s="480"/>
    </row>
    <row r="303" spans="1:33" s="471" customFormat="1" hidden="1">
      <c r="A303" s="420">
        <f t="shared" si="65"/>
        <v>293</v>
      </c>
      <c r="B303" s="585">
        <f t="shared" si="66"/>
        <v>0</v>
      </c>
      <c r="C303" s="533">
        <f t="shared" si="67"/>
        <v>0</v>
      </c>
      <c r="D303" s="533">
        <f t="shared" si="68"/>
        <v>0</v>
      </c>
      <c r="E303" s="420"/>
      <c r="F303" s="420" t="str">
        <f t="shared" si="69"/>
        <v>Vacant</v>
      </c>
      <c r="G303" s="586">
        <f t="shared" si="70"/>
        <v>0</v>
      </c>
      <c r="H303" s="581"/>
      <c r="J303" s="582">
        <f>HLOOKUP($J$7,'MR-Stat Data Sheet Bud'!$U$8:$AF$1081,$AA303,FALSE)</f>
        <v>0</v>
      </c>
      <c r="K303" s="582">
        <f>HLOOKUP($J$7,'MR-Stat Data Sheet Bud'!$AS$8:$BD$1081,$AA303,FALSE)</f>
        <v>0</v>
      </c>
      <c r="L303" s="582">
        <f t="shared" si="71"/>
        <v>0</v>
      </c>
      <c r="N303" s="582">
        <f>HLOOKUP($J$7,'MR-Stat Data Sheet Bud'!$BE$8:$BP$1081,$AA303,FALSE)</f>
        <v>0</v>
      </c>
      <c r="O303" s="582">
        <f>HLOOKUP($J$7,'MR-Stat Data Sheet Bud'!$AS$8:$BD$1081,$AA303,FALSE)</f>
        <v>0</v>
      </c>
      <c r="P303" s="582">
        <f t="shared" si="72"/>
        <v>0</v>
      </c>
      <c r="Q303" s="583"/>
      <c r="S303" s="599"/>
      <c r="T303" s="582">
        <v>0</v>
      </c>
      <c r="U303" s="583"/>
      <c r="V303" s="480"/>
      <c r="W303" s="495"/>
      <c r="X303" s="480"/>
      <c r="Y303" s="480"/>
      <c r="Z303" s="495"/>
      <c r="AA303" s="472">
        <f t="shared" si="64"/>
        <v>295</v>
      </c>
      <c r="AB303" s="480"/>
      <c r="AC303" s="480"/>
      <c r="AD303" s="480"/>
      <c r="AE303" s="495"/>
      <c r="AF303" s="480"/>
      <c r="AG303" s="480"/>
    </row>
    <row r="304" spans="1:33" s="471" customFormat="1" hidden="1">
      <c r="A304" s="420">
        <f t="shared" si="65"/>
        <v>294</v>
      </c>
      <c r="B304" s="585">
        <f t="shared" si="66"/>
        <v>0</v>
      </c>
      <c r="C304" s="533">
        <f t="shared" si="67"/>
        <v>0</v>
      </c>
      <c r="D304" s="533">
        <f t="shared" si="68"/>
        <v>0</v>
      </c>
      <c r="E304" s="420"/>
      <c r="F304" s="420" t="str">
        <f t="shared" si="69"/>
        <v>Vacant</v>
      </c>
      <c r="G304" s="586">
        <f t="shared" si="70"/>
        <v>0</v>
      </c>
      <c r="H304" s="581"/>
      <c r="J304" s="582">
        <f>HLOOKUP($J$7,'MR-Stat Data Sheet Bud'!$U$8:$AF$1081,$AA304,FALSE)</f>
        <v>0</v>
      </c>
      <c r="K304" s="582">
        <f>HLOOKUP($J$7,'MR-Stat Data Sheet Bud'!$AS$8:$BD$1081,$AA304,FALSE)</f>
        <v>0</v>
      </c>
      <c r="L304" s="582">
        <f t="shared" si="71"/>
        <v>0</v>
      </c>
      <c r="N304" s="582">
        <f>HLOOKUP($J$7,'MR-Stat Data Sheet Bud'!$BE$8:$BP$1081,$AA304,FALSE)</f>
        <v>0</v>
      </c>
      <c r="O304" s="582">
        <f>HLOOKUP($J$7,'MR-Stat Data Sheet Bud'!$AS$8:$BD$1081,$AA304,FALSE)</f>
        <v>0</v>
      </c>
      <c r="P304" s="582">
        <f t="shared" si="72"/>
        <v>0</v>
      </c>
      <c r="Q304" s="583"/>
      <c r="S304" s="599"/>
      <c r="T304" s="582">
        <v>0</v>
      </c>
      <c r="U304" s="583"/>
      <c r="V304" s="480"/>
      <c r="W304" s="495"/>
      <c r="X304" s="480"/>
      <c r="Y304" s="480"/>
      <c r="Z304" s="495"/>
      <c r="AA304" s="472">
        <f t="shared" si="64"/>
        <v>296</v>
      </c>
      <c r="AB304" s="480"/>
      <c r="AC304" s="480"/>
      <c r="AD304" s="480"/>
      <c r="AE304" s="495"/>
      <c r="AF304" s="480"/>
      <c r="AG304" s="480"/>
    </row>
    <row r="305" spans="1:33" s="471" customFormat="1" hidden="1">
      <c r="A305" s="420">
        <f t="shared" si="65"/>
        <v>295</v>
      </c>
      <c r="B305" s="585">
        <f t="shared" si="66"/>
        <v>0</v>
      </c>
      <c r="C305" s="533">
        <f t="shared" si="67"/>
        <v>0</v>
      </c>
      <c r="D305" s="533">
        <f t="shared" si="68"/>
        <v>0</v>
      </c>
      <c r="E305" s="420"/>
      <c r="F305" s="420" t="str">
        <f t="shared" si="69"/>
        <v>Vacant</v>
      </c>
      <c r="G305" s="586">
        <f t="shared" si="70"/>
        <v>0</v>
      </c>
      <c r="H305" s="581"/>
      <c r="J305" s="582">
        <f>HLOOKUP($J$7,'MR-Stat Data Sheet Bud'!$U$8:$AF$1081,$AA305,FALSE)</f>
        <v>0</v>
      </c>
      <c r="K305" s="582">
        <f>HLOOKUP($J$7,'MR-Stat Data Sheet Bud'!$AS$8:$BD$1081,$AA305,FALSE)</f>
        <v>0</v>
      </c>
      <c r="L305" s="582">
        <f t="shared" si="71"/>
        <v>0</v>
      </c>
      <c r="N305" s="582">
        <f>HLOOKUP($J$7,'MR-Stat Data Sheet Bud'!$BE$8:$BP$1081,$AA305,FALSE)</f>
        <v>0</v>
      </c>
      <c r="O305" s="582">
        <f>HLOOKUP($J$7,'MR-Stat Data Sheet Bud'!$AS$8:$BD$1081,$AA305,FALSE)</f>
        <v>0</v>
      </c>
      <c r="P305" s="582">
        <f t="shared" si="72"/>
        <v>0</v>
      </c>
      <c r="Q305" s="583"/>
      <c r="S305" s="599"/>
      <c r="T305" s="582">
        <v>0</v>
      </c>
      <c r="U305" s="583"/>
      <c r="V305" s="480"/>
      <c r="W305" s="495"/>
      <c r="X305" s="480"/>
      <c r="Y305" s="480"/>
      <c r="Z305" s="495"/>
      <c r="AA305" s="472">
        <f t="shared" si="64"/>
        <v>297</v>
      </c>
      <c r="AB305" s="480"/>
      <c r="AC305" s="480"/>
      <c r="AD305" s="480"/>
      <c r="AE305" s="495"/>
      <c r="AF305" s="480"/>
      <c r="AG305" s="480"/>
    </row>
    <row r="306" spans="1:33" s="471" customFormat="1" hidden="1">
      <c r="A306" s="420">
        <f t="shared" si="65"/>
        <v>296</v>
      </c>
      <c r="B306" s="585">
        <f t="shared" ref="B306:B329" si="73">VLOOKUP($A306,Suite_Data,2,FALSE)</f>
        <v>0</v>
      </c>
      <c r="C306" s="533">
        <f t="shared" ref="C306:C328" si="74">VLOOKUP($A306,Suite_Data,3,FALSE)</f>
        <v>0</v>
      </c>
      <c r="D306" s="533">
        <f t="shared" ref="D306:D328" si="75">VLOOKUP($A306,Suite_Data,4,FALSE)</f>
        <v>0</v>
      </c>
      <c r="E306" s="420"/>
      <c r="F306" s="420" t="str">
        <f t="shared" ref="F306:F328" si="76">IF(HLOOKUP($J$7,Actual_Sqft,AA306,FALSE)&gt;0,"Occupied","Vacant")</f>
        <v>Vacant</v>
      </c>
      <c r="G306" s="586">
        <f t="shared" ref="G306:G328" si="77">VLOOKUP($A306,Suite_Data,6,FALSE)</f>
        <v>0</v>
      </c>
      <c r="H306" s="581"/>
      <c r="J306" s="582">
        <f>HLOOKUP($J$7,'MR-Stat Data Sheet Bud'!$U$8:$AF$1081,$AA306,FALSE)</f>
        <v>0</v>
      </c>
      <c r="K306" s="582">
        <f>HLOOKUP($J$7,'MR-Stat Data Sheet Bud'!$AS$8:$BD$1081,$AA306,FALSE)</f>
        <v>0</v>
      </c>
      <c r="L306" s="582">
        <f t="shared" ref="L306:L329" si="78">+J306-K306</f>
        <v>0</v>
      </c>
      <c r="N306" s="582">
        <f>HLOOKUP($J$7,'MR-Stat Data Sheet Bud'!$BE$8:$BP$1081,$AA306,FALSE)</f>
        <v>0</v>
      </c>
      <c r="O306" s="582">
        <f>HLOOKUP($J$7,'MR-Stat Data Sheet Bud'!$AS$8:$BD$1081,$AA306,FALSE)</f>
        <v>0</v>
      </c>
      <c r="P306" s="582">
        <f t="shared" ref="P306:P329" si="79">+N306-O306</f>
        <v>0</v>
      </c>
      <c r="Q306" s="583"/>
      <c r="S306" s="599"/>
      <c r="T306" s="582">
        <v>0</v>
      </c>
      <c r="U306" s="583"/>
      <c r="V306" s="480"/>
      <c r="W306" s="495"/>
      <c r="X306" s="480"/>
      <c r="Y306" s="480"/>
      <c r="Z306" s="495"/>
      <c r="AA306" s="472">
        <f t="shared" si="64"/>
        <v>298</v>
      </c>
      <c r="AB306" s="480"/>
      <c r="AC306" s="480"/>
      <c r="AD306" s="480"/>
      <c r="AE306" s="495"/>
      <c r="AF306" s="480"/>
      <c r="AG306" s="480"/>
    </row>
    <row r="307" spans="1:33" s="471" customFormat="1" hidden="1">
      <c r="A307" s="420">
        <f t="shared" si="65"/>
        <v>297</v>
      </c>
      <c r="B307" s="585">
        <f t="shared" si="73"/>
        <v>0</v>
      </c>
      <c r="C307" s="533">
        <f t="shared" si="74"/>
        <v>0</v>
      </c>
      <c r="D307" s="533">
        <f t="shared" si="75"/>
        <v>0</v>
      </c>
      <c r="E307" s="420"/>
      <c r="F307" s="420" t="str">
        <f t="shared" si="76"/>
        <v>Vacant</v>
      </c>
      <c r="G307" s="586">
        <f t="shared" si="77"/>
        <v>0</v>
      </c>
      <c r="H307" s="581"/>
      <c r="J307" s="582">
        <f>HLOOKUP($J$7,'MR-Stat Data Sheet Bud'!$U$8:$AF$1081,$AA307,FALSE)</f>
        <v>0</v>
      </c>
      <c r="K307" s="582">
        <f>HLOOKUP($J$7,'MR-Stat Data Sheet Bud'!$AS$8:$BD$1081,$AA307,FALSE)</f>
        <v>0</v>
      </c>
      <c r="L307" s="582">
        <f t="shared" si="78"/>
        <v>0</v>
      </c>
      <c r="N307" s="582">
        <f>HLOOKUP($J$7,'MR-Stat Data Sheet Bud'!$BE$8:$BP$1081,$AA307,FALSE)</f>
        <v>0</v>
      </c>
      <c r="O307" s="582">
        <f>HLOOKUP($J$7,'MR-Stat Data Sheet Bud'!$AS$8:$BD$1081,$AA307,FALSE)</f>
        <v>0</v>
      </c>
      <c r="P307" s="582">
        <f t="shared" si="79"/>
        <v>0</v>
      </c>
      <c r="Q307" s="583"/>
      <c r="S307" s="599"/>
      <c r="T307" s="582">
        <v>0</v>
      </c>
      <c r="U307" s="583"/>
      <c r="V307" s="480"/>
      <c r="W307" s="495"/>
      <c r="X307" s="480"/>
      <c r="Y307" s="480"/>
      <c r="Z307" s="495"/>
      <c r="AA307" s="472">
        <f t="shared" si="64"/>
        <v>299</v>
      </c>
      <c r="AB307" s="480"/>
      <c r="AC307" s="480"/>
      <c r="AD307" s="480"/>
      <c r="AE307" s="495"/>
      <c r="AF307" s="480"/>
      <c r="AG307" s="480"/>
    </row>
    <row r="308" spans="1:33" s="471" customFormat="1" hidden="1">
      <c r="A308" s="420">
        <f t="shared" si="65"/>
        <v>298</v>
      </c>
      <c r="B308" s="585">
        <f t="shared" si="73"/>
        <v>0</v>
      </c>
      <c r="C308" s="533">
        <f t="shared" si="74"/>
        <v>0</v>
      </c>
      <c r="D308" s="533">
        <f t="shared" si="75"/>
        <v>0</v>
      </c>
      <c r="E308" s="420"/>
      <c r="F308" s="420" t="str">
        <f t="shared" si="76"/>
        <v>Vacant</v>
      </c>
      <c r="G308" s="586">
        <f t="shared" si="77"/>
        <v>0</v>
      </c>
      <c r="H308" s="581"/>
      <c r="J308" s="582">
        <f>HLOOKUP($J$7,'MR-Stat Data Sheet Bud'!$U$8:$AF$1081,$AA308,FALSE)</f>
        <v>0</v>
      </c>
      <c r="K308" s="582">
        <f>HLOOKUP($J$7,'MR-Stat Data Sheet Bud'!$AS$8:$BD$1081,$AA308,FALSE)</f>
        <v>0</v>
      </c>
      <c r="L308" s="582">
        <f t="shared" si="78"/>
        <v>0</v>
      </c>
      <c r="N308" s="582">
        <f>HLOOKUP($J$7,'MR-Stat Data Sheet Bud'!$BE$8:$BP$1081,$AA308,FALSE)</f>
        <v>0</v>
      </c>
      <c r="O308" s="582">
        <f>HLOOKUP($J$7,'MR-Stat Data Sheet Bud'!$AS$8:$BD$1081,$AA308,FALSE)</f>
        <v>0</v>
      </c>
      <c r="P308" s="582">
        <f t="shared" si="79"/>
        <v>0</v>
      </c>
      <c r="Q308" s="583"/>
      <c r="S308" s="599"/>
      <c r="T308" s="582">
        <v>0</v>
      </c>
      <c r="U308" s="583"/>
      <c r="V308" s="480"/>
      <c r="W308" s="495"/>
      <c r="X308" s="480"/>
      <c r="Y308" s="480"/>
      <c r="Z308" s="495"/>
      <c r="AA308" s="472">
        <f t="shared" si="64"/>
        <v>300</v>
      </c>
      <c r="AB308" s="480"/>
      <c r="AC308" s="480"/>
      <c r="AD308" s="480"/>
      <c r="AE308" s="495"/>
      <c r="AF308" s="480"/>
      <c r="AG308" s="480"/>
    </row>
    <row r="309" spans="1:33" s="471" customFormat="1" hidden="1">
      <c r="A309" s="420">
        <f t="shared" si="65"/>
        <v>299</v>
      </c>
      <c r="B309" s="585">
        <f t="shared" si="73"/>
        <v>0</v>
      </c>
      <c r="C309" s="533">
        <f t="shared" si="74"/>
        <v>0</v>
      </c>
      <c r="D309" s="533">
        <f t="shared" si="75"/>
        <v>0</v>
      </c>
      <c r="E309" s="420"/>
      <c r="F309" s="420" t="str">
        <f t="shared" si="76"/>
        <v>Vacant</v>
      </c>
      <c r="G309" s="586">
        <f t="shared" si="77"/>
        <v>0</v>
      </c>
      <c r="H309" s="581"/>
      <c r="J309" s="582">
        <f>HLOOKUP($J$7,'MR-Stat Data Sheet Bud'!$U$8:$AF$1081,$AA309,FALSE)</f>
        <v>0</v>
      </c>
      <c r="K309" s="582">
        <f>HLOOKUP($J$7,'MR-Stat Data Sheet Bud'!$AS$8:$BD$1081,$AA309,FALSE)</f>
        <v>0</v>
      </c>
      <c r="L309" s="582">
        <f t="shared" si="78"/>
        <v>0</v>
      </c>
      <c r="N309" s="582">
        <f>HLOOKUP($J$7,'MR-Stat Data Sheet Bud'!$BE$8:$BP$1081,$AA309,FALSE)</f>
        <v>0</v>
      </c>
      <c r="O309" s="582">
        <f>HLOOKUP($J$7,'MR-Stat Data Sheet Bud'!$AS$8:$BD$1081,$AA309,FALSE)</f>
        <v>0</v>
      </c>
      <c r="P309" s="582">
        <f t="shared" si="79"/>
        <v>0</v>
      </c>
      <c r="Q309" s="583"/>
      <c r="S309" s="599"/>
      <c r="T309" s="582">
        <v>0</v>
      </c>
      <c r="U309" s="583"/>
      <c r="V309" s="480"/>
      <c r="W309" s="495"/>
      <c r="X309" s="480"/>
      <c r="Y309" s="480"/>
      <c r="Z309" s="495"/>
      <c r="AA309" s="472">
        <f t="shared" si="64"/>
        <v>301</v>
      </c>
      <c r="AB309" s="480"/>
      <c r="AC309" s="480"/>
      <c r="AD309" s="480"/>
      <c r="AE309" s="495"/>
      <c r="AF309" s="480"/>
      <c r="AG309" s="480"/>
    </row>
    <row r="310" spans="1:33" s="471" customFormat="1" hidden="1">
      <c r="A310" s="420">
        <f t="shared" si="65"/>
        <v>300</v>
      </c>
      <c r="B310" s="585">
        <f t="shared" si="73"/>
        <v>0</v>
      </c>
      <c r="C310" s="533">
        <f t="shared" si="74"/>
        <v>0</v>
      </c>
      <c r="D310" s="533">
        <f t="shared" si="75"/>
        <v>0</v>
      </c>
      <c r="E310" s="420"/>
      <c r="F310" s="420" t="str">
        <f t="shared" si="76"/>
        <v>Vacant</v>
      </c>
      <c r="G310" s="586">
        <f t="shared" si="77"/>
        <v>0</v>
      </c>
      <c r="H310" s="581"/>
      <c r="J310" s="582">
        <f>HLOOKUP($J$7,'MR-Stat Data Sheet Bud'!$U$8:$AF$1081,$AA310,FALSE)</f>
        <v>0</v>
      </c>
      <c r="K310" s="582">
        <f>HLOOKUP($J$7,'MR-Stat Data Sheet Bud'!$AS$8:$BD$1081,$AA310,FALSE)</f>
        <v>0</v>
      </c>
      <c r="L310" s="582">
        <f t="shared" si="78"/>
        <v>0</v>
      </c>
      <c r="N310" s="582">
        <f>HLOOKUP($J$7,'MR-Stat Data Sheet Bud'!$BE$8:$BP$1081,$AA310,FALSE)</f>
        <v>0</v>
      </c>
      <c r="O310" s="582">
        <f>HLOOKUP($J$7,'MR-Stat Data Sheet Bud'!$AS$8:$BD$1081,$AA310,FALSE)</f>
        <v>0</v>
      </c>
      <c r="P310" s="582">
        <f t="shared" si="79"/>
        <v>0</v>
      </c>
      <c r="Q310" s="583"/>
      <c r="S310" s="599"/>
      <c r="T310" s="582">
        <v>0</v>
      </c>
      <c r="U310" s="583"/>
      <c r="V310" s="480"/>
      <c r="W310" s="495"/>
      <c r="X310" s="480"/>
      <c r="Y310" s="480"/>
      <c r="Z310" s="495"/>
      <c r="AA310" s="472">
        <f t="shared" si="64"/>
        <v>302</v>
      </c>
      <c r="AB310" s="480"/>
      <c r="AC310" s="480"/>
      <c r="AD310" s="480"/>
      <c r="AE310" s="495"/>
      <c r="AF310" s="480"/>
      <c r="AG310" s="480"/>
    </row>
    <row r="311" spans="1:33" s="471" customFormat="1" hidden="1">
      <c r="A311" s="420">
        <f t="shared" si="65"/>
        <v>301</v>
      </c>
      <c r="B311" s="585">
        <f t="shared" si="73"/>
        <v>0</v>
      </c>
      <c r="C311" s="533">
        <f t="shared" si="74"/>
        <v>0</v>
      </c>
      <c r="D311" s="533">
        <f t="shared" si="75"/>
        <v>0</v>
      </c>
      <c r="E311" s="420"/>
      <c r="F311" s="420" t="str">
        <f t="shared" si="76"/>
        <v>Vacant</v>
      </c>
      <c r="G311" s="586">
        <f t="shared" si="77"/>
        <v>0</v>
      </c>
      <c r="H311" s="581"/>
      <c r="J311" s="582">
        <f>HLOOKUP($J$7,'MR-Stat Data Sheet Bud'!$U$8:$AF$1081,$AA311,FALSE)</f>
        <v>0</v>
      </c>
      <c r="K311" s="582">
        <f>HLOOKUP($J$7,'MR-Stat Data Sheet Bud'!$AS$8:$BD$1081,$AA311,FALSE)</f>
        <v>0</v>
      </c>
      <c r="L311" s="582">
        <f t="shared" si="78"/>
        <v>0</v>
      </c>
      <c r="N311" s="582">
        <f>HLOOKUP($J$7,'MR-Stat Data Sheet Bud'!$BE$8:$BP$1081,$AA311,FALSE)</f>
        <v>0</v>
      </c>
      <c r="O311" s="582">
        <f>HLOOKUP($J$7,'MR-Stat Data Sheet Bud'!$AS$8:$BD$1081,$AA311,FALSE)</f>
        <v>0</v>
      </c>
      <c r="P311" s="582">
        <f t="shared" si="79"/>
        <v>0</v>
      </c>
      <c r="Q311" s="583"/>
      <c r="S311" s="599"/>
      <c r="T311" s="582">
        <v>0</v>
      </c>
      <c r="U311" s="583"/>
      <c r="V311" s="480"/>
      <c r="W311" s="495"/>
      <c r="X311" s="480"/>
      <c r="Y311" s="480"/>
      <c r="Z311" s="495"/>
      <c r="AA311" s="472">
        <f t="shared" si="64"/>
        <v>303</v>
      </c>
      <c r="AB311" s="480"/>
      <c r="AC311" s="480"/>
      <c r="AD311" s="480"/>
      <c r="AE311" s="495"/>
      <c r="AF311" s="480"/>
      <c r="AG311" s="480"/>
    </row>
    <row r="312" spans="1:33" s="471" customFormat="1" hidden="1">
      <c r="A312" s="420">
        <f t="shared" si="65"/>
        <v>302</v>
      </c>
      <c r="B312" s="585">
        <f t="shared" si="73"/>
        <v>0</v>
      </c>
      <c r="C312" s="533">
        <f t="shared" si="74"/>
        <v>0</v>
      </c>
      <c r="D312" s="533">
        <f t="shared" si="75"/>
        <v>0</v>
      </c>
      <c r="E312" s="420"/>
      <c r="F312" s="420" t="str">
        <f t="shared" si="76"/>
        <v>Vacant</v>
      </c>
      <c r="G312" s="586">
        <f t="shared" si="77"/>
        <v>0</v>
      </c>
      <c r="H312" s="581"/>
      <c r="J312" s="582">
        <f>HLOOKUP($J$7,'MR-Stat Data Sheet Bud'!$U$8:$AF$1081,$AA312,FALSE)</f>
        <v>0</v>
      </c>
      <c r="K312" s="582">
        <f>HLOOKUP($J$7,'MR-Stat Data Sheet Bud'!$AS$8:$BD$1081,$AA312,FALSE)</f>
        <v>0</v>
      </c>
      <c r="L312" s="582">
        <f t="shared" si="78"/>
        <v>0</v>
      </c>
      <c r="N312" s="582">
        <f>HLOOKUP($J$7,'MR-Stat Data Sheet Bud'!$BE$8:$BP$1081,$AA312,FALSE)</f>
        <v>0</v>
      </c>
      <c r="O312" s="582">
        <f>HLOOKUP($J$7,'MR-Stat Data Sheet Bud'!$AS$8:$BD$1081,$AA312,FALSE)</f>
        <v>0</v>
      </c>
      <c r="P312" s="582">
        <f t="shared" si="79"/>
        <v>0</v>
      </c>
      <c r="Q312" s="583"/>
      <c r="S312" s="599"/>
      <c r="T312" s="582">
        <v>0</v>
      </c>
      <c r="U312" s="583"/>
      <c r="V312" s="480"/>
      <c r="W312" s="495"/>
      <c r="X312" s="480"/>
      <c r="Y312" s="480"/>
      <c r="Z312" s="495"/>
      <c r="AA312" s="472">
        <f t="shared" si="64"/>
        <v>304</v>
      </c>
      <c r="AB312" s="480"/>
      <c r="AC312" s="480"/>
      <c r="AD312" s="480"/>
      <c r="AE312" s="495"/>
      <c r="AF312" s="480"/>
      <c r="AG312" s="480"/>
    </row>
    <row r="313" spans="1:33" s="471" customFormat="1" hidden="1">
      <c r="A313" s="420">
        <f t="shared" si="65"/>
        <v>303</v>
      </c>
      <c r="B313" s="585">
        <f t="shared" si="73"/>
        <v>0</v>
      </c>
      <c r="C313" s="533">
        <f t="shared" si="74"/>
        <v>0</v>
      </c>
      <c r="D313" s="533">
        <f t="shared" si="75"/>
        <v>0</v>
      </c>
      <c r="E313" s="420"/>
      <c r="F313" s="420" t="str">
        <f t="shared" si="76"/>
        <v>Vacant</v>
      </c>
      <c r="G313" s="586">
        <f t="shared" si="77"/>
        <v>0</v>
      </c>
      <c r="H313" s="581"/>
      <c r="J313" s="582">
        <f>HLOOKUP($J$7,'MR-Stat Data Sheet Bud'!$U$8:$AF$1081,$AA313,FALSE)</f>
        <v>0</v>
      </c>
      <c r="K313" s="582">
        <f>HLOOKUP($J$7,'MR-Stat Data Sheet Bud'!$AS$8:$BD$1081,$AA313,FALSE)</f>
        <v>0</v>
      </c>
      <c r="L313" s="582">
        <f t="shared" si="78"/>
        <v>0</v>
      </c>
      <c r="N313" s="582">
        <f>HLOOKUP($J$7,'MR-Stat Data Sheet Bud'!$BE$8:$BP$1081,$AA313,FALSE)</f>
        <v>0</v>
      </c>
      <c r="O313" s="582">
        <f>HLOOKUP($J$7,'MR-Stat Data Sheet Bud'!$AS$8:$BD$1081,$AA313,FALSE)</f>
        <v>0</v>
      </c>
      <c r="P313" s="582">
        <f t="shared" si="79"/>
        <v>0</v>
      </c>
      <c r="Q313" s="583"/>
      <c r="S313" s="599"/>
      <c r="T313" s="582">
        <v>0</v>
      </c>
      <c r="U313" s="583"/>
      <c r="V313" s="480"/>
      <c r="W313" s="495"/>
      <c r="X313" s="480"/>
      <c r="Y313" s="480"/>
      <c r="Z313" s="495"/>
      <c r="AA313" s="472">
        <f t="shared" si="64"/>
        <v>305</v>
      </c>
      <c r="AB313" s="480"/>
      <c r="AC313" s="480"/>
      <c r="AD313" s="480"/>
      <c r="AE313" s="495"/>
      <c r="AF313" s="480"/>
      <c r="AG313" s="480"/>
    </row>
    <row r="314" spans="1:33" s="471" customFormat="1" hidden="1">
      <c r="A314" s="420">
        <f t="shared" si="65"/>
        <v>304</v>
      </c>
      <c r="B314" s="585">
        <f t="shared" si="73"/>
        <v>0</v>
      </c>
      <c r="C314" s="533">
        <f t="shared" si="74"/>
        <v>0</v>
      </c>
      <c r="D314" s="533">
        <f t="shared" si="75"/>
        <v>0</v>
      </c>
      <c r="E314" s="420"/>
      <c r="F314" s="420" t="str">
        <f t="shared" si="76"/>
        <v>Vacant</v>
      </c>
      <c r="G314" s="586">
        <f t="shared" si="77"/>
        <v>0</v>
      </c>
      <c r="H314" s="581"/>
      <c r="J314" s="582">
        <f>HLOOKUP($J$7,'MR-Stat Data Sheet Bud'!$U$8:$AF$1081,$AA314,FALSE)</f>
        <v>0</v>
      </c>
      <c r="K314" s="582">
        <f>HLOOKUP($J$7,'MR-Stat Data Sheet Bud'!$AS$8:$BD$1081,$AA314,FALSE)</f>
        <v>0</v>
      </c>
      <c r="L314" s="582">
        <f t="shared" si="78"/>
        <v>0</v>
      </c>
      <c r="N314" s="582">
        <f>HLOOKUP($J$7,'MR-Stat Data Sheet Bud'!$BE$8:$BP$1081,$AA314,FALSE)</f>
        <v>0</v>
      </c>
      <c r="O314" s="582">
        <f>HLOOKUP($J$7,'MR-Stat Data Sheet Bud'!$AS$8:$BD$1081,$AA314,FALSE)</f>
        <v>0</v>
      </c>
      <c r="P314" s="582">
        <f t="shared" si="79"/>
        <v>0</v>
      </c>
      <c r="Q314" s="583"/>
      <c r="S314" s="599"/>
      <c r="T314" s="582">
        <v>0</v>
      </c>
      <c r="U314" s="583"/>
      <c r="V314" s="480"/>
      <c r="W314" s="495"/>
      <c r="X314" s="480"/>
      <c r="Y314" s="480"/>
      <c r="Z314" s="495"/>
      <c r="AA314" s="472">
        <f t="shared" si="64"/>
        <v>306</v>
      </c>
      <c r="AB314" s="480"/>
      <c r="AC314" s="480"/>
      <c r="AD314" s="480"/>
      <c r="AE314" s="495"/>
      <c r="AF314" s="480"/>
      <c r="AG314" s="480"/>
    </row>
    <row r="315" spans="1:33" s="471" customFormat="1" hidden="1">
      <c r="A315" s="420">
        <f t="shared" si="65"/>
        <v>305</v>
      </c>
      <c r="B315" s="585">
        <f t="shared" si="73"/>
        <v>0</v>
      </c>
      <c r="C315" s="533">
        <f t="shared" si="74"/>
        <v>0</v>
      </c>
      <c r="D315" s="533">
        <f t="shared" si="75"/>
        <v>0</v>
      </c>
      <c r="E315" s="420"/>
      <c r="F315" s="420" t="str">
        <f t="shared" si="76"/>
        <v>Vacant</v>
      </c>
      <c r="G315" s="586">
        <f t="shared" si="77"/>
        <v>0</v>
      </c>
      <c r="H315" s="581"/>
      <c r="J315" s="582">
        <f>HLOOKUP($J$7,'MR-Stat Data Sheet Bud'!$U$8:$AF$1081,$AA315,FALSE)</f>
        <v>0</v>
      </c>
      <c r="K315" s="582">
        <f>HLOOKUP($J$7,'MR-Stat Data Sheet Bud'!$AS$8:$BD$1081,$AA315,FALSE)</f>
        <v>0</v>
      </c>
      <c r="L315" s="582">
        <f t="shared" si="78"/>
        <v>0</v>
      </c>
      <c r="N315" s="582">
        <f>HLOOKUP($J$7,'MR-Stat Data Sheet Bud'!$BE$8:$BP$1081,$AA315,FALSE)</f>
        <v>0</v>
      </c>
      <c r="O315" s="582">
        <f>HLOOKUP($J$7,'MR-Stat Data Sheet Bud'!$AS$8:$BD$1081,$AA315,FALSE)</f>
        <v>0</v>
      </c>
      <c r="P315" s="582">
        <f t="shared" si="79"/>
        <v>0</v>
      </c>
      <c r="Q315" s="583"/>
      <c r="S315" s="599"/>
      <c r="T315" s="582">
        <v>0</v>
      </c>
      <c r="U315" s="583"/>
      <c r="V315" s="480"/>
      <c r="W315" s="495"/>
      <c r="X315" s="480"/>
      <c r="Y315" s="480"/>
      <c r="Z315" s="495"/>
      <c r="AA315" s="472">
        <f t="shared" si="64"/>
        <v>307</v>
      </c>
      <c r="AB315" s="480"/>
      <c r="AC315" s="480"/>
      <c r="AD315" s="480"/>
      <c r="AE315" s="495"/>
      <c r="AF315" s="480"/>
      <c r="AG315" s="480"/>
    </row>
    <row r="316" spans="1:33" s="471" customFormat="1" hidden="1">
      <c r="A316" s="420">
        <f t="shared" si="65"/>
        <v>306</v>
      </c>
      <c r="B316" s="585">
        <f t="shared" si="73"/>
        <v>0</v>
      </c>
      <c r="C316" s="533">
        <f t="shared" si="74"/>
        <v>0</v>
      </c>
      <c r="D316" s="533">
        <f t="shared" si="75"/>
        <v>0</v>
      </c>
      <c r="E316" s="420"/>
      <c r="F316" s="420" t="str">
        <f t="shared" si="76"/>
        <v>Vacant</v>
      </c>
      <c r="G316" s="586">
        <f t="shared" si="77"/>
        <v>0</v>
      </c>
      <c r="H316" s="581"/>
      <c r="J316" s="582">
        <f>HLOOKUP($J$7,'MR-Stat Data Sheet Bud'!$U$8:$AF$1081,$AA316,FALSE)</f>
        <v>0</v>
      </c>
      <c r="K316" s="582">
        <f>HLOOKUP($J$7,'MR-Stat Data Sheet Bud'!$AS$8:$BD$1081,$AA316,FALSE)</f>
        <v>0</v>
      </c>
      <c r="L316" s="582">
        <f t="shared" si="78"/>
        <v>0</v>
      </c>
      <c r="N316" s="582">
        <f>HLOOKUP($J$7,'MR-Stat Data Sheet Bud'!$BE$8:$BP$1081,$AA316,FALSE)</f>
        <v>0</v>
      </c>
      <c r="O316" s="582">
        <f>HLOOKUP($J$7,'MR-Stat Data Sheet Bud'!$AS$8:$BD$1081,$AA316,FALSE)</f>
        <v>0</v>
      </c>
      <c r="P316" s="582">
        <f t="shared" si="79"/>
        <v>0</v>
      </c>
      <c r="Q316" s="583"/>
      <c r="S316" s="599"/>
      <c r="T316" s="582">
        <v>0</v>
      </c>
      <c r="U316" s="583"/>
      <c r="V316" s="480"/>
      <c r="W316" s="495"/>
      <c r="X316" s="480"/>
      <c r="Y316" s="480"/>
      <c r="Z316" s="495"/>
      <c r="AA316" s="472">
        <f t="shared" si="64"/>
        <v>308</v>
      </c>
      <c r="AB316" s="480"/>
      <c r="AC316" s="480"/>
      <c r="AD316" s="480"/>
      <c r="AE316" s="495"/>
      <c r="AF316" s="480"/>
      <c r="AG316" s="480"/>
    </row>
    <row r="317" spans="1:33" s="471" customFormat="1" hidden="1">
      <c r="A317" s="420">
        <f t="shared" si="65"/>
        <v>307</v>
      </c>
      <c r="B317" s="585">
        <f t="shared" si="73"/>
        <v>0</v>
      </c>
      <c r="C317" s="533">
        <f t="shared" si="74"/>
        <v>0</v>
      </c>
      <c r="D317" s="533">
        <f t="shared" si="75"/>
        <v>0</v>
      </c>
      <c r="E317" s="420"/>
      <c r="F317" s="420" t="str">
        <f t="shared" si="76"/>
        <v>Vacant</v>
      </c>
      <c r="G317" s="586">
        <f t="shared" si="77"/>
        <v>0</v>
      </c>
      <c r="H317" s="581"/>
      <c r="J317" s="582">
        <f>HLOOKUP($J$7,'MR-Stat Data Sheet Bud'!$U$8:$AF$1081,$AA317,FALSE)</f>
        <v>0</v>
      </c>
      <c r="K317" s="582">
        <f>HLOOKUP($J$7,'MR-Stat Data Sheet Bud'!$AS$8:$BD$1081,$AA317,FALSE)</f>
        <v>0</v>
      </c>
      <c r="L317" s="582">
        <f t="shared" si="78"/>
        <v>0</v>
      </c>
      <c r="N317" s="582">
        <f>HLOOKUP($J$7,'MR-Stat Data Sheet Bud'!$BE$8:$BP$1081,$AA317,FALSE)</f>
        <v>0</v>
      </c>
      <c r="O317" s="582">
        <f>HLOOKUP($J$7,'MR-Stat Data Sheet Bud'!$AS$8:$BD$1081,$AA317,FALSE)</f>
        <v>0</v>
      </c>
      <c r="P317" s="582">
        <f t="shared" si="79"/>
        <v>0</v>
      </c>
      <c r="Q317" s="583"/>
      <c r="S317" s="599"/>
      <c r="T317" s="582">
        <v>0</v>
      </c>
      <c r="U317" s="583"/>
      <c r="V317" s="480"/>
      <c r="W317" s="495"/>
      <c r="X317" s="480"/>
      <c r="Y317" s="480"/>
      <c r="Z317" s="495"/>
      <c r="AA317" s="472">
        <f t="shared" si="64"/>
        <v>309</v>
      </c>
      <c r="AB317" s="480"/>
      <c r="AC317" s="480"/>
      <c r="AD317" s="480"/>
      <c r="AE317" s="495"/>
      <c r="AF317" s="480"/>
      <c r="AG317" s="480"/>
    </row>
    <row r="318" spans="1:33" s="471" customFormat="1" hidden="1">
      <c r="A318" s="420">
        <f t="shared" si="65"/>
        <v>308</v>
      </c>
      <c r="B318" s="585">
        <f t="shared" si="73"/>
        <v>0</v>
      </c>
      <c r="C318" s="533">
        <f t="shared" si="74"/>
        <v>0</v>
      </c>
      <c r="D318" s="533">
        <f t="shared" si="75"/>
        <v>0</v>
      </c>
      <c r="E318" s="420"/>
      <c r="F318" s="420" t="str">
        <f t="shared" si="76"/>
        <v>Vacant</v>
      </c>
      <c r="G318" s="586">
        <f t="shared" si="77"/>
        <v>0</v>
      </c>
      <c r="H318" s="581"/>
      <c r="J318" s="582">
        <f>HLOOKUP($J$7,'MR-Stat Data Sheet Bud'!$U$8:$AF$1081,$AA318,FALSE)</f>
        <v>0</v>
      </c>
      <c r="K318" s="582">
        <f>HLOOKUP($J$7,'MR-Stat Data Sheet Bud'!$AS$8:$BD$1081,$AA318,FALSE)</f>
        <v>0</v>
      </c>
      <c r="L318" s="582">
        <f t="shared" si="78"/>
        <v>0</v>
      </c>
      <c r="N318" s="582">
        <f>HLOOKUP($J$7,'MR-Stat Data Sheet Bud'!$BE$8:$BP$1081,$AA318,FALSE)</f>
        <v>0</v>
      </c>
      <c r="O318" s="582">
        <f>HLOOKUP($J$7,'MR-Stat Data Sheet Bud'!$AS$8:$BD$1081,$AA318,FALSE)</f>
        <v>0</v>
      </c>
      <c r="P318" s="582">
        <f t="shared" si="79"/>
        <v>0</v>
      </c>
      <c r="Q318" s="583"/>
      <c r="S318" s="599"/>
      <c r="T318" s="582">
        <v>0</v>
      </c>
      <c r="U318" s="583"/>
      <c r="V318" s="480"/>
      <c r="W318" s="495"/>
      <c r="X318" s="480"/>
      <c r="Y318" s="480"/>
      <c r="Z318" s="495"/>
      <c r="AA318" s="472">
        <f t="shared" si="64"/>
        <v>310</v>
      </c>
      <c r="AB318" s="480"/>
      <c r="AC318" s="480"/>
      <c r="AD318" s="480"/>
      <c r="AE318" s="495"/>
      <c r="AF318" s="480"/>
      <c r="AG318" s="480"/>
    </row>
    <row r="319" spans="1:33" s="471" customFormat="1" hidden="1">
      <c r="A319" s="420">
        <f t="shared" si="65"/>
        <v>309</v>
      </c>
      <c r="B319" s="585">
        <f t="shared" si="73"/>
        <v>0</v>
      </c>
      <c r="C319" s="533">
        <f t="shared" si="74"/>
        <v>0</v>
      </c>
      <c r="D319" s="533">
        <f t="shared" si="75"/>
        <v>0</v>
      </c>
      <c r="E319" s="420"/>
      <c r="F319" s="420" t="str">
        <f t="shared" si="76"/>
        <v>Vacant</v>
      </c>
      <c r="G319" s="586">
        <f t="shared" si="77"/>
        <v>0</v>
      </c>
      <c r="H319" s="581"/>
      <c r="J319" s="582">
        <f>HLOOKUP($J$7,'MR-Stat Data Sheet Bud'!$U$8:$AF$1081,$AA319,FALSE)</f>
        <v>0</v>
      </c>
      <c r="K319" s="582">
        <f>HLOOKUP($J$7,'MR-Stat Data Sheet Bud'!$AS$8:$BD$1081,$AA319,FALSE)</f>
        <v>0</v>
      </c>
      <c r="L319" s="582">
        <f t="shared" si="78"/>
        <v>0</v>
      </c>
      <c r="N319" s="582">
        <f>HLOOKUP($J$7,'MR-Stat Data Sheet Bud'!$BE$8:$BP$1081,$AA319,FALSE)</f>
        <v>0</v>
      </c>
      <c r="O319" s="582">
        <f>HLOOKUP($J$7,'MR-Stat Data Sheet Bud'!$AS$8:$BD$1081,$AA319,FALSE)</f>
        <v>0</v>
      </c>
      <c r="P319" s="582">
        <f t="shared" si="79"/>
        <v>0</v>
      </c>
      <c r="Q319" s="583"/>
      <c r="S319" s="599"/>
      <c r="T319" s="582">
        <v>0</v>
      </c>
      <c r="U319" s="583"/>
      <c r="V319" s="480"/>
      <c r="W319" s="495"/>
      <c r="X319" s="480"/>
      <c r="Y319" s="480"/>
      <c r="Z319" s="495"/>
      <c r="AA319" s="472">
        <f t="shared" si="64"/>
        <v>311</v>
      </c>
      <c r="AB319" s="480"/>
      <c r="AC319" s="480"/>
      <c r="AD319" s="480"/>
      <c r="AE319" s="495"/>
      <c r="AF319" s="480"/>
      <c r="AG319" s="480"/>
    </row>
    <row r="320" spans="1:33" s="471" customFormat="1" hidden="1">
      <c r="A320" s="420">
        <f t="shared" si="65"/>
        <v>310</v>
      </c>
      <c r="B320" s="585">
        <f t="shared" si="73"/>
        <v>0</v>
      </c>
      <c r="C320" s="533">
        <f t="shared" si="74"/>
        <v>0</v>
      </c>
      <c r="D320" s="533">
        <f t="shared" si="75"/>
        <v>0</v>
      </c>
      <c r="E320" s="420"/>
      <c r="F320" s="420" t="str">
        <f t="shared" si="76"/>
        <v>Vacant</v>
      </c>
      <c r="G320" s="586">
        <f t="shared" si="77"/>
        <v>0</v>
      </c>
      <c r="H320" s="581"/>
      <c r="J320" s="582">
        <f>HLOOKUP($J$7,'MR-Stat Data Sheet Bud'!$U$8:$AF$1081,$AA320,FALSE)</f>
        <v>0</v>
      </c>
      <c r="K320" s="582">
        <f>HLOOKUP($J$7,'MR-Stat Data Sheet Bud'!$AS$8:$BD$1081,$AA320,FALSE)</f>
        <v>0</v>
      </c>
      <c r="L320" s="582">
        <f t="shared" si="78"/>
        <v>0</v>
      </c>
      <c r="N320" s="582">
        <f>HLOOKUP($J$7,'MR-Stat Data Sheet Bud'!$BE$8:$BP$1081,$AA320,FALSE)</f>
        <v>0</v>
      </c>
      <c r="O320" s="582">
        <f>HLOOKUP($J$7,'MR-Stat Data Sheet Bud'!$AS$8:$BD$1081,$AA320,FALSE)</f>
        <v>0</v>
      </c>
      <c r="P320" s="582">
        <f t="shared" si="79"/>
        <v>0</v>
      </c>
      <c r="Q320" s="583"/>
      <c r="S320" s="599"/>
      <c r="T320" s="582">
        <v>0</v>
      </c>
      <c r="U320" s="583"/>
      <c r="V320" s="480"/>
      <c r="W320" s="495"/>
      <c r="X320" s="480"/>
      <c r="Y320" s="480"/>
      <c r="Z320" s="495"/>
      <c r="AA320" s="472">
        <f t="shared" si="64"/>
        <v>312</v>
      </c>
      <c r="AB320" s="480"/>
      <c r="AC320" s="480"/>
      <c r="AD320" s="480"/>
      <c r="AE320" s="495"/>
      <c r="AF320" s="480"/>
      <c r="AG320" s="480"/>
    </row>
    <row r="321" spans="1:33" s="471" customFormat="1" hidden="1">
      <c r="A321" s="420">
        <f t="shared" si="65"/>
        <v>311</v>
      </c>
      <c r="B321" s="585">
        <f t="shared" si="73"/>
        <v>0</v>
      </c>
      <c r="C321" s="533">
        <f t="shared" si="74"/>
        <v>0</v>
      </c>
      <c r="D321" s="533">
        <f t="shared" si="75"/>
        <v>0</v>
      </c>
      <c r="E321" s="420"/>
      <c r="F321" s="420" t="str">
        <f t="shared" si="76"/>
        <v>Vacant</v>
      </c>
      <c r="G321" s="586">
        <f t="shared" si="77"/>
        <v>0</v>
      </c>
      <c r="H321" s="581"/>
      <c r="J321" s="582">
        <f>HLOOKUP($J$7,'MR-Stat Data Sheet Bud'!$U$8:$AF$1081,$AA321,FALSE)</f>
        <v>0</v>
      </c>
      <c r="K321" s="582">
        <f>HLOOKUP($J$7,'MR-Stat Data Sheet Bud'!$AS$8:$BD$1081,$AA321,FALSE)</f>
        <v>0</v>
      </c>
      <c r="L321" s="582">
        <f t="shared" si="78"/>
        <v>0</v>
      </c>
      <c r="N321" s="582">
        <f>HLOOKUP($J$7,'MR-Stat Data Sheet Bud'!$BE$8:$BP$1081,$AA321,FALSE)</f>
        <v>0</v>
      </c>
      <c r="O321" s="582">
        <f>HLOOKUP($J$7,'MR-Stat Data Sheet Bud'!$AS$8:$BD$1081,$AA321,FALSE)</f>
        <v>0</v>
      </c>
      <c r="P321" s="582">
        <f t="shared" si="79"/>
        <v>0</v>
      </c>
      <c r="Q321" s="583"/>
      <c r="S321" s="599"/>
      <c r="T321" s="582">
        <v>0</v>
      </c>
      <c r="U321" s="583"/>
      <c r="V321" s="480"/>
      <c r="W321" s="495"/>
      <c r="X321" s="480"/>
      <c r="Y321" s="480"/>
      <c r="Z321" s="495"/>
      <c r="AA321" s="472">
        <f t="shared" si="64"/>
        <v>313</v>
      </c>
      <c r="AB321" s="480"/>
      <c r="AC321" s="480"/>
      <c r="AD321" s="480"/>
      <c r="AE321" s="495"/>
      <c r="AF321" s="480"/>
      <c r="AG321" s="480"/>
    </row>
    <row r="322" spans="1:33" s="471" customFormat="1" hidden="1">
      <c r="A322" s="420">
        <f t="shared" si="65"/>
        <v>312</v>
      </c>
      <c r="B322" s="585">
        <f t="shared" si="73"/>
        <v>0</v>
      </c>
      <c r="C322" s="533">
        <f t="shared" si="74"/>
        <v>0</v>
      </c>
      <c r="D322" s="533">
        <f t="shared" si="75"/>
        <v>0</v>
      </c>
      <c r="E322" s="420"/>
      <c r="F322" s="420" t="str">
        <f t="shared" si="76"/>
        <v>Vacant</v>
      </c>
      <c r="G322" s="586">
        <f t="shared" si="77"/>
        <v>0</v>
      </c>
      <c r="H322" s="581"/>
      <c r="J322" s="582">
        <f>HLOOKUP($J$7,'MR-Stat Data Sheet Bud'!$U$8:$AF$1081,$AA322,FALSE)</f>
        <v>0</v>
      </c>
      <c r="K322" s="582">
        <f>HLOOKUP($J$7,'MR-Stat Data Sheet Bud'!$AS$8:$BD$1081,$AA322,FALSE)</f>
        <v>0</v>
      </c>
      <c r="L322" s="582">
        <f t="shared" si="78"/>
        <v>0</v>
      </c>
      <c r="N322" s="582">
        <f>HLOOKUP($J$7,'MR-Stat Data Sheet Bud'!$BE$8:$BP$1081,$AA322,FALSE)</f>
        <v>0</v>
      </c>
      <c r="O322" s="582">
        <f>HLOOKUP($J$7,'MR-Stat Data Sheet Bud'!$AS$8:$BD$1081,$AA322,FALSE)</f>
        <v>0</v>
      </c>
      <c r="P322" s="582">
        <f t="shared" si="79"/>
        <v>0</v>
      </c>
      <c r="Q322" s="583"/>
      <c r="S322" s="599"/>
      <c r="T322" s="582">
        <v>0</v>
      </c>
      <c r="U322" s="583"/>
      <c r="V322" s="480"/>
      <c r="W322" s="495"/>
      <c r="X322" s="480"/>
      <c r="Y322" s="480"/>
      <c r="Z322" s="495"/>
      <c r="AA322" s="472">
        <f t="shared" si="64"/>
        <v>314</v>
      </c>
      <c r="AB322" s="480"/>
      <c r="AC322" s="480"/>
      <c r="AD322" s="480"/>
      <c r="AE322" s="495"/>
      <c r="AF322" s="480"/>
      <c r="AG322" s="480"/>
    </row>
    <row r="323" spans="1:33" s="471" customFormat="1" hidden="1">
      <c r="A323" s="420">
        <f t="shared" si="65"/>
        <v>313</v>
      </c>
      <c r="B323" s="585">
        <f t="shared" si="73"/>
        <v>0</v>
      </c>
      <c r="C323" s="533">
        <f t="shared" si="74"/>
        <v>0</v>
      </c>
      <c r="D323" s="533">
        <f t="shared" si="75"/>
        <v>0</v>
      </c>
      <c r="E323" s="420"/>
      <c r="F323" s="420" t="str">
        <f t="shared" si="76"/>
        <v>Vacant</v>
      </c>
      <c r="G323" s="586">
        <f t="shared" si="77"/>
        <v>0</v>
      </c>
      <c r="H323" s="581"/>
      <c r="J323" s="582">
        <f>HLOOKUP($J$7,'MR-Stat Data Sheet Bud'!$U$8:$AF$1081,$AA323,FALSE)</f>
        <v>0</v>
      </c>
      <c r="K323" s="582">
        <f>HLOOKUP($J$7,'MR-Stat Data Sheet Bud'!$AS$8:$BD$1081,$AA323,FALSE)</f>
        <v>0</v>
      </c>
      <c r="L323" s="582">
        <f t="shared" si="78"/>
        <v>0</v>
      </c>
      <c r="N323" s="582">
        <f>HLOOKUP($J$7,'MR-Stat Data Sheet Bud'!$BE$8:$BP$1081,$AA323,FALSE)</f>
        <v>0</v>
      </c>
      <c r="O323" s="582">
        <f>HLOOKUP($J$7,'MR-Stat Data Sheet Bud'!$AS$8:$BD$1081,$AA323,FALSE)</f>
        <v>0</v>
      </c>
      <c r="P323" s="582">
        <f t="shared" si="79"/>
        <v>0</v>
      </c>
      <c r="Q323" s="583"/>
      <c r="S323" s="599"/>
      <c r="T323" s="582">
        <v>0</v>
      </c>
      <c r="U323" s="583"/>
      <c r="V323" s="480"/>
      <c r="W323" s="495"/>
      <c r="X323" s="480"/>
      <c r="Y323" s="480"/>
      <c r="Z323" s="495"/>
      <c r="AA323" s="472">
        <f t="shared" si="64"/>
        <v>315</v>
      </c>
      <c r="AB323" s="480"/>
      <c r="AC323" s="480"/>
      <c r="AD323" s="480"/>
      <c r="AE323" s="495"/>
      <c r="AF323" s="480"/>
      <c r="AG323" s="480"/>
    </row>
    <row r="324" spans="1:33" s="471" customFormat="1" hidden="1">
      <c r="A324" s="420">
        <f t="shared" si="65"/>
        <v>314</v>
      </c>
      <c r="B324" s="585">
        <f t="shared" si="73"/>
        <v>0</v>
      </c>
      <c r="C324" s="533">
        <f t="shared" si="74"/>
        <v>0</v>
      </c>
      <c r="D324" s="533">
        <f t="shared" si="75"/>
        <v>0</v>
      </c>
      <c r="E324" s="420"/>
      <c r="F324" s="420" t="str">
        <f t="shared" si="76"/>
        <v>Vacant</v>
      </c>
      <c r="G324" s="586">
        <f t="shared" si="77"/>
        <v>0</v>
      </c>
      <c r="H324" s="581"/>
      <c r="J324" s="582">
        <f>HLOOKUP($J$7,'MR-Stat Data Sheet Bud'!$U$8:$AF$1081,$AA324,FALSE)</f>
        <v>0</v>
      </c>
      <c r="K324" s="582">
        <f>HLOOKUP($J$7,'MR-Stat Data Sheet Bud'!$AS$8:$BD$1081,$AA324,FALSE)</f>
        <v>0</v>
      </c>
      <c r="L324" s="582">
        <f t="shared" si="78"/>
        <v>0</v>
      </c>
      <c r="N324" s="582">
        <f>HLOOKUP($J$7,'MR-Stat Data Sheet Bud'!$BE$8:$BP$1081,$AA324,FALSE)</f>
        <v>0</v>
      </c>
      <c r="O324" s="582">
        <f>HLOOKUP($J$7,'MR-Stat Data Sheet Bud'!$AS$8:$BD$1081,$AA324,FALSE)</f>
        <v>0</v>
      </c>
      <c r="P324" s="582">
        <f t="shared" si="79"/>
        <v>0</v>
      </c>
      <c r="Q324" s="583"/>
      <c r="S324" s="599"/>
      <c r="T324" s="582">
        <v>0</v>
      </c>
      <c r="U324" s="583"/>
      <c r="V324" s="480"/>
      <c r="W324" s="495"/>
      <c r="X324" s="480"/>
      <c r="Y324" s="480"/>
      <c r="Z324" s="495"/>
      <c r="AA324" s="472">
        <f t="shared" si="64"/>
        <v>316</v>
      </c>
      <c r="AB324" s="480"/>
      <c r="AC324" s="480"/>
      <c r="AD324" s="480"/>
      <c r="AE324" s="495"/>
      <c r="AF324" s="480"/>
      <c r="AG324" s="480"/>
    </row>
    <row r="325" spans="1:33" s="471" customFormat="1" hidden="1">
      <c r="A325" s="420">
        <f t="shared" si="65"/>
        <v>315</v>
      </c>
      <c r="B325" s="585">
        <f t="shared" si="73"/>
        <v>0</v>
      </c>
      <c r="C325" s="533">
        <f t="shared" si="74"/>
        <v>0</v>
      </c>
      <c r="D325" s="533">
        <f t="shared" si="75"/>
        <v>0</v>
      </c>
      <c r="E325" s="420"/>
      <c r="F325" s="420" t="str">
        <f t="shared" si="76"/>
        <v>Vacant</v>
      </c>
      <c r="G325" s="586">
        <f t="shared" si="77"/>
        <v>0</v>
      </c>
      <c r="H325" s="581"/>
      <c r="J325" s="582">
        <f>HLOOKUP($J$7,'MR-Stat Data Sheet Bud'!$U$8:$AF$1081,$AA325,FALSE)</f>
        <v>0</v>
      </c>
      <c r="K325" s="582">
        <f>HLOOKUP($J$7,'MR-Stat Data Sheet Bud'!$AS$8:$BD$1081,$AA325,FALSE)</f>
        <v>0</v>
      </c>
      <c r="L325" s="582">
        <f t="shared" si="78"/>
        <v>0</v>
      </c>
      <c r="N325" s="582">
        <f>HLOOKUP($J$7,'MR-Stat Data Sheet Bud'!$BE$8:$BP$1081,$AA325,FALSE)</f>
        <v>0</v>
      </c>
      <c r="O325" s="582">
        <f>HLOOKUP($J$7,'MR-Stat Data Sheet Bud'!$AS$8:$BD$1081,$AA325,FALSE)</f>
        <v>0</v>
      </c>
      <c r="P325" s="582">
        <f t="shared" si="79"/>
        <v>0</v>
      </c>
      <c r="Q325" s="583"/>
      <c r="S325" s="599"/>
      <c r="T325" s="582">
        <v>0</v>
      </c>
      <c r="U325" s="583"/>
      <c r="V325" s="480"/>
      <c r="W325" s="495"/>
      <c r="X325" s="480"/>
      <c r="Y325" s="480"/>
      <c r="Z325" s="495"/>
      <c r="AA325" s="472">
        <f t="shared" si="64"/>
        <v>317</v>
      </c>
      <c r="AB325" s="480"/>
      <c r="AC325" s="480"/>
      <c r="AD325" s="480"/>
      <c r="AE325" s="495"/>
      <c r="AF325" s="480"/>
      <c r="AG325" s="480"/>
    </row>
    <row r="326" spans="1:33" s="471" customFormat="1" hidden="1">
      <c r="A326" s="420">
        <f t="shared" si="65"/>
        <v>316</v>
      </c>
      <c r="B326" s="585">
        <f t="shared" si="73"/>
        <v>0</v>
      </c>
      <c r="C326" s="533">
        <f t="shared" si="74"/>
        <v>0</v>
      </c>
      <c r="D326" s="533">
        <f t="shared" si="75"/>
        <v>0</v>
      </c>
      <c r="E326" s="420"/>
      <c r="F326" s="420" t="str">
        <f t="shared" si="76"/>
        <v>Vacant</v>
      </c>
      <c r="G326" s="586">
        <f t="shared" si="77"/>
        <v>0</v>
      </c>
      <c r="H326" s="581"/>
      <c r="J326" s="582">
        <f>HLOOKUP($J$7,'MR-Stat Data Sheet Bud'!$U$8:$AF$1081,$AA326,FALSE)</f>
        <v>0</v>
      </c>
      <c r="K326" s="582">
        <f>HLOOKUP($J$7,'MR-Stat Data Sheet Bud'!$AS$8:$BD$1081,$AA326,FALSE)</f>
        <v>0</v>
      </c>
      <c r="L326" s="582">
        <f t="shared" si="78"/>
        <v>0</v>
      </c>
      <c r="N326" s="582">
        <f>HLOOKUP($J$7,'MR-Stat Data Sheet Bud'!$BE$8:$BP$1081,$AA326,FALSE)</f>
        <v>0</v>
      </c>
      <c r="O326" s="582">
        <f>HLOOKUP($J$7,'MR-Stat Data Sheet Bud'!$AS$8:$BD$1081,$AA326,FALSE)</f>
        <v>0</v>
      </c>
      <c r="P326" s="582">
        <f t="shared" si="79"/>
        <v>0</v>
      </c>
      <c r="Q326" s="583"/>
      <c r="S326" s="599"/>
      <c r="T326" s="582">
        <v>0</v>
      </c>
      <c r="U326" s="583"/>
      <c r="V326" s="480"/>
      <c r="W326" s="495"/>
      <c r="X326" s="480"/>
      <c r="Y326" s="480"/>
      <c r="Z326" s="495"/>
      <c r="AA326" s="472">
        <f t="shared" si="64"/>
        <v>318</v>
      </c>
      <c r="AB326" s="480"/>
      <c r="AC326" s="480"/>
      <c r="AD326" s="480"/>
      <c r="AE326" s="495"/>
      <c r="AF326" s="480"/>
      <c r="AG326" s="480"/>
    </row>
    <row r="327" spans="1:33" s="471" customFormat="1" hidden="1">
      <c r="A327" s="420">
        <f t="shared" si="65"/>
        <v>317</v>
      </c>
      <c r="B327" s="585">
        <f t="shared" si="73"/>
        <v>0</v>
      </c>
      <c r="C327" s="533">
        <f t="shared" si="74"/>
        <v>0</v>
      </c>
      <c r="D327" s="533">
        <f t="shared" si="75"/>
        <v>0</v>
      </c>
      <c r="E327" s="420"/>
      <c r="F327" s="420" t="str">
        <f t="shared" si="76"/>
        <v>Vacant</v>
      </c>
      <c r="G327" s="586">
        <f t="shared" si="77"/>
        <v>0</v>
      </c>
      <c r="H327" s="581"/>
      <c r="J327" s="582">
        <f>HLOOKUP($J$7,'MR-Stat Data Sheet Bud'!$U$8:$AF$1081,$AA327,FALSE)</f>
        <v>0</v>
      </c>
      <c r="K327" s="582">
        <f>HLOOKUP($J$7,'MR-Stat Data Sheet Bud'!$AS$8:$BD$1081,$AA327,FALSE)</f>
        <v>0</v>
      </c>
      <c r="L327" s="582">
        <f t="shared" si="78"/>
        <v>0</v>
      </c>
      <c r="N327" s="582">
        <f>HLOOKUP($J$7,'MR-Stat Data Sheet Bud'!$BE$8:$BP$1081,$AA327,FALSE)</f>
        <v>0</v>
      </c>
      <c r="O327" s="582">
        <f>HLOOKUP($J$7,'MR-Stat Data Sheet Bud'!$AS$8:$BD$1081,$AA327,FALSE)</f>
        <v>0</v>
      </c>
      <c r="P327" s="582">
        <f t="shared" si="79"/>
        <v>0</v>
      </c>
      <c r="Q327" s="583"/>
      <c r="S327" s="599"/>
      <c r="T327" s="582">
        <v>0</v>
      </c>
      <c r="U327" s="583"/>
      <c r="V327" s="480"/>
      <c r="W327" s="495"/>
      <c r="X327" s="480"/>
      <c r="Y327" s="480"/>
      <c r="Z327" s="495"/>
      <c r="AA327" s="472">
        <f t="shared" si="64"/>
        <v>319</v>
      </c>
      <c r="AB327" s="480"/>
      <c r="AC327" s="480"/>
      <c r="AD327" s="480"/>
      <c r="AE327" s="495"/>
      <c r="AF327" s="480"/>
      <c r="AG327" s="480"/>
    </row>
    <row r="328" spans="1:33" s="471" customFormat="1" hidden="1">
      <c r="A328" s="420">
        <f t="shared" si="65"/>
        <v>318</v>
      </c>
      <c r="B328" s="585">
        <f t="shared" si="73"/>
        <v>0</v>
      </c>
      <c r="C328" s="533">
        <f t="shared" si="74"/>
        <v>0</v>
      </c>
      <c r="D328" s="533">
        <f t="shared" si="75"/>
        <v>0</v>
      </c>
      <c r="E328" s="420" t="s">
        <v>250</v>
      </c>
      <c r="F328" s="420" t="str">
        <f t="shared" si="76"/>
        <v>Vacant</v>
      </c>
      <c r="G328" s="586">
        <f t="shared" si="77"/>
        <v>0</v>
      </c>
      <c r="H328" s="581"/>
      <c r="J328" s="582">
        <f>HLOOKUP($J$7,'MR-Stat Data Sheet Bud'!$U$8:$AF$1081,$AA328,FALSE)</f>
        <v>0</v>
      </c>
      <c r="K328" s="582">
        <f>HLOOKUP($J$7,'MR-Stat Data Sheet Bud'!$AS$8:$BD$1081,$AA328,FALSE)</f>
        <v>0</v>
      </c>
      <c r="L328" s="582">
        <f t="shared" si="78"/>
        <v>0</v>
      </c>
      <c r="N328" s="582">
        <f>HLOOKUP($J$7,'MR-Stat Data Sheet Bud'!$BE$8:$BP$1081,$AA328,FALSE)</f>
        <v>0</v>
      </c>
      <c r="O328" s="582">
        <f>HLOOKUP($J$7,'MR-Stat Data Sheet Bud'!$AS$8:$BD$1081,$AA328,FALSE)</f>
        <v>0</v>
      </c>
      <c r="P328" s="582">
        <f t="shared" si="79"/>
        <v>0</v>
      </c>
      <c r="Q328" s="583"/>
      <c r="S328" s="482" t="e">
        <f>VLOOKUP($G328,'MR-Stat Data Sheet Bud'!$F$8:$CB$1081,75,FALSE)</f>
        <v>#N/A</v>
      </c>
      <c r="T328" s="582">
        <v>0</v>
      </c>
      <c r="U328" s="583"/>
      <c r="V328" s="480"/>
      <c r="W328" s="480"/>
      <c r="X328" s="480"/>
      <c r="Y328" s="480"/>
      <c r="Z328" s="480"/>
      <c r="AA328" s="472">
        <f t="shared" si="64"/>
        <v>320</v>
      </c>
      <c r="AB328" s="480"/>
      <c r="AC328" s="480"/>
      <c r="AD328" s="480"/>
      <c r="AE328" s="480"/>
      <c r="AF328" s="480"/>
      <c r="AG328" s="480"/>
    </row>
    <row r="329" spans="1:33" s="471" customFormat="1">
      <c r="A329" s="420">
        <f t="shared" si="65"/>
        <v>319</v>
      </c>
      <c r="B329" s="580" t="str">
        <f t="shared" si="73"/>
        <v>Rounding</v>
      </c>
      <c r="C329" s="533"/>
      <c r="D329" s="533"/>
      <c r="E329" s="420"/>
      <c r="F329" s="420"/>
      <c r="G329" s="420" t="s">
        <v>242</v>
      </c>
      <c r="H329" s="600">
        <v>0</v>
      </c>
      <c r="J329" s="582">
        <f>HLOOKUP($J$7,'MR-Stat Data Sheet Bud'!$U$8:$AF$1081,$AA329,FALSE)</f>
        <v>0</v>
      </c>
      <c r="K329" s="582">
        <f>HLOOKUP($J$7,'MR-Stat Data Sheet Bud'!$AS$8:$BD$1081,$AA329,FALSE)</f>
        <v>1</v>
      </c>
      <c r="L329" s="582">
        <f t="shared" si="78"/>
        <v>-1</v>
      </c>
      <c r="N329" s="582"/>
      <c r="O329" s="582">
        <v>8</v>
      </c>
      <c r="P329" s="582">
        <f t="shared" si="79"/>
        <v>-8</v>
      </c>
      <c r="Q329" s="583"/>
      <c r="S329" s="582">
        <f>VLOOKUP($G329,'MR-Stat Data Sheet Bud'!$F$8:$CB$1081,75,FALSE)</f>
        <v>7</v>
      </c>
      <c r="T329" s="582">
        <v>0</v>
      </c>
      <c r="U329" s="583"/>
      <c r="V329" s="480"/>
      <c r="W329" s="480"/>
      <c r="X329" s="480"/>
      <c r="Y329" s="480"/>
      <c r="Z329" s="480"/>
      <c r="AA329" s="472">
        <f t="shared" si="64"/>
        <v>321</v>
      </c>
      <c r="AB329" s="480"/>
      <c r="AC329" s="480"/>
      <c r="AD329" s="480"/>
      <c r="AE329" s="480"/>
      <c r="AF329" s="480"/>
      <c r="AG329" s="480"/>
    </row>
    <row r="330" spans="1:33" s="471" customFormat="1" ht="13">
      <c r="A330" s="420">
        <f t="shared" si="65"/>
        <v>320</v>
      </c>
      <c r="B330" s="580"/>
      <c r="C330" s="601"/>
      <c r="D330" s="601"/>
      <c r="E330" s="586"/>
      <c r="F330" s="586"/>
      <c r="G330" s="602" t="s">
        <v>119</v>
      </c>
      <c r="H330" s="594">
        <f>SUM(H146:H329)</f>
        <v>51097</v>
      </c>
      <c r="J330" s="595">
        <f>SUM(J146:J329)</f>
        <v>107368.16</v>
      </c>
      <c r="K330" s="595">
        <f>SUM(K146:K329)</f>
        <v>107369</v>
      </c>
      <c r="L330" s="595">
        <f>SUM(L146:L329)</f>
        <v>-0.84000000000014552</v>
      </c>
      <c r="M330" s="596"/>
      <c r="N330" s="595">
        <f>SUM(N146:N329)</f>
        <v>1276644.18</v>
      </c>
      <c r="O330" s="595">
        <f>SUM(O146:O329)</f>
        <v>1276655</v>
      </c>
      <c r="P330" s="595">
        <f>SUM(P146:P329)</f>
        <v>-10.820000000006985</v>
      </c>
      <c r="Q330" s="583"/>
      <c r="S330" s="594">
        <f>SUM(S146:S149)+S329</f>
        <v>1276654</v>
      </c>
      <c r="T330" s="595">
        <f>SUM(T146:T329)</f>
        <v>0</v>
      </c>
      <c r="U330" s="583"/>
      <c r="V330" s="502"/>
      <c r="W330" s="502"/>
      <c r="X330" s="502"/>
      <c r="Y330" s="502"/>
      <c r="Z330" s="502"/>
      <c r="AA330" s="472">
        <f t="shared" si="64"/>
        <v>322</v>
      </c>
      <c r="AB330" s="502"/>
      <c r="AC330" s="502"/>
      <c r="AD330" s="502"/>
      <c r="AE330" s="502"/>
      <c r="AF330" s="502"/>
      <c r="AG330" s="502"/>
    </row>
    <row r="331" spans="1:33" s="471" customFormat="1">
      <c r="A331" s="420"/>
      <c r="C331" s="533"/>
      <c r="D331" s="533"/>
      <c r="E331" s="420"/>
      <c r="F331" s="420"/>
      <c r="G331" s="420"/>
      <c r="H331" s="600"/>
      <c r="J331" s="582"/>
      <c r="K331" s="582"/>
      <c r="L331" s="582"/>
      <c r="N331" s="582"/>
      <c r="O331" s="582"/>
      <c r="P331" s="582"/>
      <c r="Q331" s="583"/>
      <c r="T331" s="582"/>
      <c r="U331" s="583"/>
      <c r="V331" s="480"/>
      <c r="W331" s="480"/>
      <c r="X331" s="480"/>
      <c r="Y331" s="480"/>
      <c r="Z331" s="480"/>
      <c r="AA331" s="472">
        <f t="shared" si="64"/>
        <v>323</v>
      </c>
      <c r="AB331" s="480"/>
      <c r="AC331" s="480"/>
      <c r="AD331" s="480"/>
      <c r="AE331" s="480"/>
      <c r="AF331" s="480"/>
      <c r="AG331" s="480"/>
    </row>
    <row r="332" spans="1:33" s="471" customFormat="1" ht="13.5" thickBot="1">
      <c r="A332" s="420"/>
      <c r="C332" s="592"/>
      <c r="D332" s="592"/>
      <c r="E332" s="421"/>
      <c r="F332" s="421"/>
      <c r="G332" s="593" t="s">
        <v>147</v>
      </c>
      <c r="H332" s="603">
        <f>+H143+H330</f>
        <v>64353</v>
      </c>
      <c r="J332" s="604">
        <f>+J143+J330</f>
        <v>155250.63010000001</v>
      </c>
      <c r="K332" s="604">
        <f>+K143+K330</f>
        <v>168532</v>
      </c>
      <c r="L332" s="604">
        <f>+L143+L330</f>
        <v>-13281.369899999998</v>
      </c>
      <c r="M332" s="596"/>
      <c r="N332" s="604">
        <f>+N143+N330</f>
        <v>1939528.5811999999</v>
      </c>
      <c r="O332" s="604">
        <f>+O143+O330</f>
        <v>1997827</v>
      </c>
      <c r="P332" s="604">
        <f>+P143+P330</f>
        <v>-58298.418800000043</v>
      </c>
      <c r="Q332" s="583"/>
      <c r="S332" s="604">
        <f>+S143+S330</f>
        <v>1997826</v>
      </c>
      <c r="T332" s="604">
        <f>+T143+T330</f>
        <v>-53194.439999999995</v>
      </c>
      <c r="U332" s="583"/>
      <c r="V332" s="605"/>
      <c r="W332" s="605"/>
      <c r="X332" s="605"/>
      <c r="Y332" s="605"/>
      <c r="Z332" s="605"/>
      <c r="AA332" s="472">
        <f t="shared" ref="AA332:AA395" si="80">1+AA331</f>
        <v>324</v>
      </c>
      <c r="AB332" s="605"/>
      <c r="AC332" s="605"/>
      <c r="AD332" s="605"/>
      <c r="AE332" s="605"/>
      <c r="AF332" s="605"/>
      <c r="AG332" s="605"/>
    </row>
    <row r="333" spans="1:33" s="471" customFormat="1" ht="13" thickTop="1">
      <c r="A333" s="420"/>
      <c r="C333" s="533"/>
      <c r="D333" s="533"/>
      <c r="E333" s="420"/>
      <c r="F333" s="420"/>
      <c r="G333" s="420"/>
      <c r="J333" s="582"/>
      <c r="K333" s="582"/>
      <c r="L333" s="582"/>
      <c r="N333" s="582"/>
      <c r="O333" s="582"/>
      <c r="P333" s="582"/>
      <c r="Q333" s="583"/>
      <c r="T333" s="582"/>
      <c r="U333" s="583"/>
      <c r="V333" s="482"/>
      <c r="W333" s="482"/>
      <c r="Z333" s="482"/>
      <c r="AA333" s="472">
        <f t="shared" si="80"/>
        <v>325</v>
      </c>
      <c r="AD333" s="482"/>
      <c r="AE333" s="482"/>
    </row>
    <row r="334" spans="1:33" s="471" customFormat="1">
      <c r="A334" s="420"/>
      <c r="U334" s="583"/>
      <c r="AA334" s="472">
        <f t="shared" si="80"/>
        <v>326</v>
      </c>
    </row>
    <row r="335" spans="1:33" s="471" customFormat="1">
      <c r="A335" s="420"/>
      <c r="H335" s="590" t="s">
        <v>259</v>
      </c>
      <c r="J335" s="606">
        <f>+'Stats Page Bud'!B25</f>
        <v>0.90947495473747741</v>
      </c>
      <c r="K335" s="606">
        <f>+'Stats Page Bud'!C25</f>
        <v>1</v>
      </c>
      <c r="L335" s="606">
        <f>+'Stats Page Bud'!D25</f>
        <v>-9.0525045262522585E-2</v>
      </c>
      <c r="N335" s="606">
        <f>+'Stats Page Bud'!F25</f>
        <v>0.95473747736873871</v>
      </c>
      <c r="O335" s="606">
        <f>+'Stats Page Bud'!G25</f>
        <v>1</v>
      </c>
      <c r="P335" s="606">
        <f>+'Stats Page Bud'!H25</f>
        <v>-4.5262522631261293E-2</v>
      </c>
      <c r="S335" s="606">
        <f>+'Stats Page Bud'!K25</f>
        <v>1</v>
      </c>
      <c r="U335" s="583"/>
      <c r="AA335" s="472">
        <f t="shared" si="80"/>
        <v>327</v>
      </c>
    </row>
    <row r="336" spans="1:33" s="471" customFormat="1">
      <c r="A336" s="420"/>
      <c r="H336" s="590" t="s">
        <v>260</v>
      </c>
      <c r="J336" s="642">
        <f>+'Stats Page Bud'!B29</f>
        <v>50.123560152621103</v>
      </c>
      <c r="K336" s="642">
        <f>+'Stats Page Bud'!C29</f>
        <v>55.367833433916715</v>
      </c>
      <c r="L336" s="606">
        <f>+'Stats Page Bud'!D29</f>
        <v>-9.4716967525103196E-2</v>
      </c>
      <c r="M336" s="643"/>
      <c r="N336" s="642">
        <f>+'Stats Page Bud'!F29</f>
        <v>52.377086061946912</v>
      </c>
      <c r="O336" s="642">
        <f>+'Stats Page Bud'!G29</f>
        <v>54.403439951719974</v>
      </c>
      <c r="P336" s="606">
        <f>+'Stats Page Bud'!H29</f>
        <v>-3.7246797106420822E-2</v>
      </c>
      <c r="Q336" s="643"/>
      <c r="R336" s="643"/>
      <c r="S336" s="642">
        <f>+'Stats Page Bud'!K29</f>
        <v>54.403439951719974</v>
      </c>
      <c r="U336" s="583"/>
      <c r="AA336" s="472">
        <f t="shared" si="80"/>
        <v>328</v>
      </c>
    </row>
    <row r="337" spans="8:27" s="471" customFormat="1">
      <c r="H337" s="590" t="s">
        <v>261</v>
      </c>
      <c r="J337" s="606">
        <f>+'Stats Page Bud'!B27</f>
        <v>0.98135285068295186</v>
      </c>
      <c r="K337" s="606">
        <f>+'Stats Page Bud'!C27</f>
        <v>1</v>
      </c>
      <c r="L337" s="606">
        <f>+'Stats Page Bud'!D27</f>
        <v>-1.8647149317048139E-2</v>
      </c>
      <c r="N337" s="606">
        <f>+'Stats Page Bud'!F27</f>
        <v>0.99067642534147593</v>
      </c>
      <c r="O337" s="606">
        <f>+'Stats Page Bud'!G27</f>
        <v>1</v>
      </c>
      <c r="P337" s="606">
        <f>+'Stats Page Bud'!H27</f>
        <v>-9.3235746585240697E-3</v>
      </c>
      <c r="S337" s="606">
        <f>+'Stats Page Bud'!K27</f>
        <v>1</v>
      </c>
      <c r="U337" s="583"/>
      <c r="AA337" s="472">
        <f t="shared" si="80"/>
        <v>329</v>
      </c>
    </row>
    <row r="338" spans="8:27" s="471" customFormat="1">
      <c r="H338" s="590"/>
      <c r="U338" s="583"/>
      <c r="AA338" s="472">
        <f t="shared" si="80"/>
        <v>330</v>
      </c>
    </row>
    <row r="339" spans="8:27" s="471" customFormat="1">
      <c r="H339" s="590"/>
      <c r="U339" s="583"/>
      <c r="AA339" s="472">
        <f t="shared" si="80"/>
        <v>331</v>
      </c>
    </row>
    <row r="340" spans="8:27" s="412" customFormat="1">
      <c r="H340" s="554"/>
      <c r="U340" s="607"/>
      <c r="AA340" s="472">
        <f t="shared" si="80"/>
        <v>332</v>
      </c>
    </row>
    <row r="341" spans="8:27" s="412" customFormat="1">
      <c r="H341" s="554"/>
      <c r="U341" s="607"/>
      <c r="AA341" s="472">
        <f t="shared" si="80"/>
        <v>333</v>
      </c>
    </row>
    <row r="342" spans="8:27" s="412" customFormat="1">
      <c r="U342" s="607"/>
      <c r="AA342" s="472">
        <f t="shared" si="80"/>
        <v>334</v>
      </c>
    </row>
    <row r="343" spans="8:27" s="412" customFormat="1">
      <c r="U343" s="607"/>
      <c r="AA343" s="472">
        <f t="shared" si="80"/>
        <v>335</v>
      </c>
    </row>
    <row r="344" spans="8:27" s="412" customFormat="1">
      <c r="U344" s="607"/>
      <c r="AA344" s="472">
        <f t="shared" si="80"/>
        <v>336</v>
      </c>
    </row>
    <row r="345" spans="8:27" s="412" customFormat="1">
      <c r="U345" s="607"/>
      <c r="AA345" s="472">
        <f t="shared" si="80"/>
        <v>337</v>
      </c>
    </row>
    <row r="346" spans="8:27" s="412" customFormat="1">
      <c r="U346" s="607"/>
      <c r="AA346" s="472">
        <f t="shared" si="80"/>
        <v>338</v>
      </c>
    </row>
    <row r="347" spans="8:27" s="412" customFormat="1">
      <c r="U347" s="607"/>
      <c r="AA347" s="472">
        <f t="shared" si="80"/>
        <v>339</v>
      </c>
    </row>
    <row r="348" spans="8:27" s="412" customFormat="1">
      <c r="U348" s="607"/>
      <c r="AA348" s="472">
        <f t="shared" si="80"/>
        <v>340</v>
      </c>
    </row>
    <row r="349" spans="8:27" s="412" customFormat="1">
      <c r="U349" s="607"/>
      <c r="AA349" s="472">
        <f t="shared" si="80"/>
        <v>341</v>
      </c>
    </row>
    <row r="350" spans="8:27" s="412" customFormat="1">
      <c r="U350" s="607"/>
      <c r="AA350" s="472">
        <f t="shared" si="80"/>
        <v>342</v>
      </c>
    </row>
    <row r="351" spans="8:27" s="412" customFormat="1">
      <c r="U351" s="607"/>
      <c r="AA351" s="472">
        <f t="shared" si="80"/>
        <v>343</v>
      </c>
    </row>
    <row r="352" spans="8:27" s="412" customFormat="1">
      <c r="U352" s="607"/>
      <c r="AA352" s="472">
        <f t="shared" si="80"/>
        <v>344</v>
      </c>
    </row>
    <row r="353" spans="21:27" s="412" customFormat="1">
      <c r="U353" s="607"/>
      <c r="AA353" s="472">
        <f t="shared" si="80"/>
        <v>345</v>
      </c>
    </row>
    <row r="354" spans="21:27" s="412" customFormat="1">
      <c r="U354" s="607"/>
      <c r="AA354" s="472">
        <f t="shared" si="80"/>
        <v>346</v>
      </c>
    </row>
    <row r="355" spans="21:27" s="412" customFormat="1">
      <c r="U355" s="607"/>
      <c r="AA355" s="472">
        <f t="shared" si="80"/>
        <v>347</v>
      </c>
    </row>
    <row r="356" spans="21:27" s="412" customFormat="1">
      <c r="U356" s="607"/>
      <c r="AA356" s="472">
        <f t="shared" si="80"/>
        <v>348</v>
      </c>
    </row>
    <row r="357" spans="21:27" s="412" customFormat="1">
      <c r="U357" s="607"/>
      <c r="AA357" s="472">
        <f t="shared" si="80"/>
        <v>349</v>
      </c>
    </row>
    <row r="358" spans="21:27" s="412" customFormat="1">
      <c r="U358" s="607"/>
      <c r="AA358" s="472">
        <f t="shared" si="80"/>
        <v>350</v>
      </c>
    </row>
    <row r="359" spans="21:27" s="412" customFormat="1">
      <c r="U359" s="607"/>
      <c r="AA359" s="472">
        <f t="shared" si="80"/>
        <v>351</v>
      </c>
    </row>
    <row r="360" spans="21:27" s="412" customFormat="1">
      <c r="U360" s="607"/>
      <c r="AA360" s="472">
        <f t="shared" si="80"/>
        <v>352</v>
      </c>
    </row>
    <row r="361" spans="21:27" s="412" customFormat="1">
      <c r="U361" s="607"/>
      <c r="AA361" s="472">
        <f t="shared" si="80"/>
        <v>353</v>
      </c>
    </row>
    <row r="362" spans="21:27">
      <c r="U362" s="102"/>
      <c r="AA362" s="472">
        <f t="shared" si="80"/>
        <v>354</v>
      </c>
    </row>
    <row r="363" spans="21:27">
      <c r="U363" s="102"/>
      <c r="AA363" s="472">
        <f t="shared" si="80"/>
        <v>355</v>
      </c>
    </row>
    <row r="364" spans="21:27">
      <c r="U364" s="102"/>
      <c r="AA364" s="472">
        <f t="shared" si="80"/>
        <v>356</v>
      </c>
    </row>
    <row r="365" spans="21:27">
      <c r="U365" s="102"/>
      <c r="AA365" s="472">
        <f t="shared" si="80"/>
        <v>357</v>
      </c>
    </row>
    <row r="366" spans="21:27">
      <c r="U366" s="102"/>
      <c r="AA366" s="472">
        <f t="shared" si="80"/>
        <v>358</v>
      </c>
    </row>
    <row r="367" spans="21:27">
      <c r="U367" s="102"/>
      <c r="AA367" s="472">
        <f t="shared" si="80"/>
        <v>359</v>
      </c>
    </row>
    <row r="368" spans="21:27">
      <c r="U368" s="102"/>
      <c r="AA368" s="472">
        <f t="shared" si="80"/>
        <v>360</v>
      </c>
    </row>
    <row r="369" spans="21:27">
      <c r="U369" s="102"/>
      <c r="AA369" s="472">
        <f t="shared" si="80"/>
        <v>361</v>
      </c>
    </row>
    <row r="370" spans="21:27">
      <c r="U370" s="102"/>
      <c r="AA370" s="472">
        <f t="shared" si="80"/>
        <v>362</v>
      </c>
    </row>
    <row r="371" spans="21:27">
      <c r="U371" s="102"/>
      <c r="AA371" s="472">
        <f t="shared" si="80"/>
        <v>363</v>
      </c>
    </row>
    <row r="372" spans="21:27">
      <c r="U372" s="102"/>
      <c r="AA372" s="472">
        <f t="shared" si="80"/>
        <v>364</v>
      </c>
    </row>
    <row r="373" spans="21:27">
      <c r="U373" s="102"/>
      <c r="AA373" s="472">
        <f t="shared" si="80"/>
        <v>365</v>
      </c>
    </row>
    <row r="374" spans="21:27">
      <c r="U374" s="102"/>
      <c r="AA374" s="472">
        <f t="shared" si="80"/>
        <v>366</v>
      </c>
    </row>
    <row r="375" spans="21:27">
      <c r="U375" s="102"/>
      <c r="AA375" s="472">
        <f t="shared" si="80"/>
        <v>367</v>
      </c>
    </row>
    <row r="376" spans="21:27">
      <c r="U376" s="102"/>
      <c r="AA376" s="472">
        <f t="shared" si="80"/>
        <v>368</v>
      </c>
    </row>
    <row r="377" spans="21:27">
      <c r="U377" s="102"/>
      <c r="AA377" s="472">
        <f t="shared" si="80"/>
        <v>369</v>
      </c>
    </row>
    <row r="378" spans="21:27">
      <c r="U378" s="102"/>
      <c r="AA378" s="472">
        <f t="shared" si="80"/>
        <v>370</v>
      </c>
    </row>
    <row r="379" spans="21:27">
      <c r="U379" s="102"/>
      <c r="AA379" s="472">
        <f t="shared" si="80"/>
        <v>371</v>
      </c>
    </row>
    <row r="380" spans="21:27">
      <c r="U380" s="102"/>
      <c r="AA380" s="472">
        <f t="shared" si="80"/>
        <v>372</v>
      </c>
    </row>
    <row r="381" spans="21:27">
      <c r="U381" s="102"/>
      <c r="AA381" s="472">
        <f t="shared" si="80"/>
        <v>373</v>
      </c>
    </row>
    <row r="382" spans="21:27">
      <c r="U382" s="102"/>
      <c r="AA382" s="472">
        <f t="shared" si="80"/>
        <v>374</v>
      </c>
    </row>
    <row r="383" spans="21:27">
      <c r="U383" s="102"/>
      <c r="AA383" s="472">
        <f t="shared" si="80"/>
        <v>375</v>
      </c>
    </row>
    <row r="384" spans="21:27">
      <c r="U384" s="102"/>
      <c r="AA384" s="472">
        <f t="shared" si="80"/>
        <v>376</v>
      </c>
    </row>
    <row r="385" spans="21:27">
      <c r="U385" s="102"/>
      <c r="AA385" s="472">
        <f t="shared" si="80"/>
        <v>377</v>
      </c>
    </row>
    <row r="386" spans="21:27">
      <c r="U386" s="102"/>
      <c r="AA386" s="472">
        <f t="shared" si="80"/>
        <v>378</v>
      </c>
    </row>
    <row r="387" spans="21:27">
      <c r="U387" s="102"/>
      <c r="AA387" s="472">
        <f t="shared" si="80"/>
        <v>379</v>
      </c>
    </row>
    <row r="388" spans="21:27">
      <c r="U388" s="102"/>
      <c r="AA388" s="472">
        <f t="shared" si="80"/>
        <v>380</v>
      </c>
    </row>
    <row r="389" spans="21:27">
      <c r="U389" s="102"/>
      <c r="AA389" s="472">
        <f t="shared" si="80"/>
        <v>381</v>
      </c>
    </row>
    <row r="390" spans="21:27">
      <c r="U390" s="102"/>
      <c r="AA390" s="472">
        <f t="shared" si="80"/>
        <v>382</v>
      </c>
    </row>
    <row r="391" spans="21:27">
      <c r="U391" s="102"/>
      <c r="AA391" s="472">
        <f t="shared" si="80"/>
        <v>383</v>
      </c>
    </row>
    <row r="392" spans="21:27">
      <c r="U392" s="102"/>
      <c r="AA392" s="472">
        <f t="shared" si="80"/>
        <v>384</v>
      </c>
    </row>
    <row r="393" spans="21:27">
      <c r="U393" s="102"/>
      <c r="AA393" s="472">
        <f t="shared" si="80"/>
        <v>385</v>
      </c>
    </row>
    <row r="394" spans="21:27">
      <c r="U394" s="102"/>
      <c r="AA394" s="472">
        <f t="shared" si="80"/>
        <v>386</v>
      </c>
    </row>
    <row r="395" spans="21:27">
      <c r="U395" s="102"/>
      <c r="AA395" s="472">
        <f t="shared" si="80"/>
        <v>387</v>
      </c>
    </row>
    <row r="396" spans="21:27">
      <c r="U396" s="102"/>
      <c r="AA396" s="472">
        <f t="shared" ref="AA396:AA462" si="81">1+AA395</f>
        <v>388</v>
      </c>
    </row>
    <row r="397" spans="21:27">
      <c r="U397" s="102"/>
      <c r="AA397" s="472">
        <f t="shared" si="81"/>
        <v>389</v>
      </c>
    </row>
    <row r="398" spans="21:27">
      <c r="U398" s="102"/>
      <c r="AA398" s="472">
        <f t="shared" si="81"/>
        <v>390</v>
      </c>
    </row>
    <row r="399" spans="21:27">
      <c r="U399" s="102"/>
      <c r="AA399" s="472">
        <f t="shared" si="81"/>
        <v>391</v>
      </c>
    </row>
    <row r="400" spans="21:27">
      <c r="U400" s="102"/>
      <c r="AA400" s="472">
        <f t="shared" si="81"/>
        <v>392</v>
      </c>
    </row>
    <row r="401" spans="21:27">
      <c r="U401" s="102"/>
      <c r="AA401" s="472">
        <f t="shared" si="81"/>
        <v>393</v>
      </c>
    </row>
    <row r="402" spans="21:27">
      <c r="U402" s="102"/>
      <c r="AA402" s="472">
        <f t="shared" si="81"/>
        <v>394</v>
      </c>
    </row>
    <row r="403" spans="21:27">
      <c r="U403" s="102"/>
      <c r="AA403" s="472">
        <f t="shared" si="81"/>
        <v>395</v>
      </c>
    </row>
    <row r="404" spans="21:27">
      <c r="U404" s="102"/>
      <c r="AA404" s="472">
        <f t="shared" si="81"/>
        <v>396</v>
      </c>
    </row>
    <row r="405" spans="21:27">
      <c r="U405" s="102"/>
      <c r="AA405" s="472">
        <f t="shared" si="81"/>
        <v>397</v>
      </c>
    </row>
    <row r="406" spans="21:27">
      <c r="U406" s="102"/>
      <c r="AA406" s="472">
        <f t="shared" si="81"/>
        <v>398</v>
      </c>
    </row>
    <row r="407" spans="21:27">
      <c r="U407" s="102"/>
      <c r="AA407" s="472">
        <f t="shared" si="81"/>
        <v>399</v>
      </c>
    </row>
    <row r="408" spans="21:27">
      <c r="U408" s="102"/>
      <c r="AA408" s="472">
        <f t="shared" si="81"/>
        <v>400</v>
      </c>
    </row>
    <row r="409" spans="21:27">
      <c r="U409" s="102"/>
      <c r="AA409" s="472">
        <f t="shared" si="81"/>
        <v>401</v>
      </c>
    </row>
    <row r="410" spans="21:27">
      <c r="U410" s="102"/>
      <c r="AA410" s="472">
        <f t="shared" si="81"/>
        <v>402</v>
      </c>
    </row>
    <row r="411" spans="21:27">
      <c r="U411" s="102"/>
      <c r="AA411" s="472">
        <f t="shared" si="81"/>
        <v>403</v>
      </c>
    </row>
    <row r="412" spans="21:27">
      <c r="U412" s="102"/>
      <c r="AA412" s="472">
        <f t="shared" si="81"/>
        <v>404</v>
      </c>
    </row>
    <row r="413" spans="21:27">
      <c r="U413" s="102"/>
      <c r="AA413" s="472">
        <f t="shared" si="81"/>
        <v>405</v>
      </c>
    </row>
    <row r="414" spans="21:27">
      <c r="U414" s="102"/>
      <c r="AA414" s="472">
        <f t="shared" si="81"/>
        <v>406</v>
      </c>
    </row>
    <row r="415" spans="21:27">
      <c r="U415" s="102"/>
      <c r="AA415" s="472">
        <f t="shared" si="81"/>
        <v>407</v>
      </c>
    </row>
    <row r="416" spans="21:27">
      <c r="U416" s="102"/>
      <c r="AA416" s="472">
        <f t="shared" si="81"/>
        <v>408</v>
      </c>
    </row>
    <row r="417" spans="21:27">
      <c r="U417" s="102"/>
      <c r="AA417" s="472">
        <f t="shared" si="81"/>
        <v>409</v>
      </c>
    </row>
    <row r="418" spans="21:27">
      <c r="U418" s="102"/>
      <c r="AA418" s="472">
        <f t="shared" si="81"/>
        <v>410</v>
      </c>
    </row>
    <row r="419" spans="21:27">
      <c r="U419" s="102"/>
      <c r="AA419" s="472">
        <f t="shared" si="81"/>
        <v>411</v>
      </c>
    </row>
    <row r="420" spans="21:27">
      <c r="U420" s="102"/>
      <c r="AA420" s="472">
        <f t="shared" si="81"/>
        <v>412</v>
      </c>
    </row>
    <row r="421" spans="21:27">
      <c r="U421" s="102"/>
      <c r="AA421" s="472">
        <f t="shared" si="81"/>
        <v>413</v>
      </c>
    </row>
    <row r="422" spans="21:27">
      <c r="U422" s="102"/>
      <c r="AA422" s="472">
        <f t="shared" si="81"/>
        <v>414</v>
      </c>
    </row>
    <row r="423" spans="21:27">
      <c r="U423" s="102"/>
      <c r="AA423" s="472">
        <f t="shared" si="81"/>
        <v>415</v>
      </c>
    </row>
    <row r="424" spans="21:27">
      <c r="U424" s="102"/>
      <c r="AA424" s="472">
        <f t="shared" si="81"/>
        <v>416</v>
      </c>
    </row>
    <row r="425" spans="21:27">
      <c r="U425" s="102"/>
      <c r="AA425" s="472">
        <f t="shared" si="81"/>
        <v>417</v>
      </c>
    </row>
    <row r="426" spans="21:27">
      <c r="U426" s="102"/>
      <c r="AA426" s="472">
        <f t="shared" si="81"/>
        <v>418</v>
      </c>
    </row>
    <row r="427" spans="21:27">
      <c r="U427" s="102"/>
      <c r="AA427" s="472">
        <f t="shared" si="81"/>
        <v>419</v>
      </c>
    </row>
    <row r="428" spans="21:27">
      <c r="U428" s="102"/>
      <c r="AA428" s="472">
        <f t="shared" si="81"/>
        <v>420</v>
      </c>
    </row>
    <row r="429" spans="21:27">
      <c r="U429" s="102"/>
      <c r="AA429" s="472">
        <f t="shared" si="81"/>
        <v>421</v>
      </c>
    </row>
    <row r="430" spans="21:27">
      <c r="U430" s="102"/>
      <c r="AA430" s="472">
        <f t="shared" si="81"/>
        <v>422</v>
      </c>
    </row>
    <row r="431" spans="21:27">
      <c r="U431" s="102"/>
      <c r="AA431" s="472">
        <f t="shared" si="81"/>
        <v>423</v>
      </c>
    </row>
    <row r="432" spans="21:27">
      <c r="U432" s="102"/>
      <c r="AA432" s="472">
        <f t="shared" si="81"/>
        <v>424</v>
      </c>
    </row>
    <row r="433" spans="21:27">
      <c r="U433" s="102"/>
      <c r="AA433" s="472">
        <f t="shared" si="81"/>
        <v>425</v>
      </c>
    </row>
    <row r="434" spans="21:27">
      <c r="U434" s="102"/>
      <c r="AA434" s="472">
        <f t="shared" si="81"/>
        <v>426</v>
      </c>
    </row>
    <row r="435" spans="21:27">
      <c r="U435" s="102"/>
      <c r="AA435" s="472">
        <f t="shared" si="81"/>
        <v>427</v>
      </c>
    </row>
    <row r="436" spans="21:27">
      <c r="U436" s="102"/>
      <c r="AA436" s="472">
        <f t="shared" si="81"/>
        <v>428</v>
      </c>
    </row>
    <row r="437" spans="21:27">
      <c r="U437" s="102"/>
      <c r="AA437" s="472">
        <f t="shared" si="81"/>
        <v>429</v>
      </c>
    </row>
    <row r="438" spans="21:27">
      <c r="U438" s="102"/>
      <c r="AA438" s="472">
        <f t="shared" si="81"/>
        <v>430</v>
      </c>
    </row>
    <row r="439" spans="21:27">
      <c r="U439" s="102"/>
      <c r="AA439" s="472">
        <f t="shared" si="81"/>
        <v>431</v>
      </c>
    </row>
    <row r="440" spans="21:27">
      <c r="U440" s="102"/>
      <c r="AA440" s="472">
        <f t="shared" si="81"/>
        <v>432</v>
      </c>
    </row>
    <row r="441" spans="21:27">
      <c r="U441" s="102"/>
      <c r="AA441" s="472">
        <f t="shared" si="81"/>
        <v>433</v>
      </c>
    </row>
    <row r="442" spans="21:27">
      <c r="U442" s="102"/>
      <c r="AA442" s="472">
        <f t="shared" si="81"/>
        <v>434</v>
      </c>
    </row>
    <row r="443" spans="21:27">
      <c r="U443" s="102"/>
      <c r="AA443" s="472">
        <f t="shared" si="81"/>
        <v>435</v>
      </c>
    </row>
    <row r="444" spans="21:27">
      <c r="U444" s="102"/>
      <c r="AA444" s="472">
        <f t="shared" si="81"/>
        <v>436</v>
      </c>
    </row>
    <row r="445" spans="21:27">
      <c r="U445" s="102"/>
      <c r="AA445" s="472">
        <f t="shared" si="81"/>
        <v>437</v>
      </c>
    </row>
    <row r="446" spans="21:27">
      <c r="U446" s="102"/>
      <c r="AA446" s="472">
        <f t="shared" si="81"/>
        <v>438</v>
      </c>
    </row>
    <row r="447" spans="21:27">
      <c r="U447" s="102"/>
      <c r="AA447" s="472">
        <f t="shared" si="81"/>
        <v>439</v>
      </c>
    </row>
    <row r="448" spans="21:27">
      <c r="U448" s="102"/>
      <c r="AA448" s="472">
        <f t="shared" si="81"/>
        <v>440</v>
      </c>
    </row>
    <row r="449" spans="21:27">
      <c r="U449" s="102"/>
      <c r="AA449" s="472">
        <f t="shared" si="81"/>
        <v>441</v>
      </c>
    </row>
    <row r="450" spans="21:27">
      <c r="U450" s="102"/>
      <c r="AA450" s="472">
        <f t="shared" si="81"/>
        <v>442</v>
      </c>
    </row>
    <row r="451" spans="21:27">
      <c r="U451" s="102"/>
      <c r="AA451" s="472">
        <f t="shared" si="81"/>
        <v>443</v>
      </c>
    </row>
    <row r="452" spans="21:27">
      <c r="U452" s="102"/>
      <c r="AA452" s="472">
        <f t="shared" si="81"/>
        <v>444</v>
      </c>
    </row>
    <row r="453" spans="21:27">
      <c r="U453" s="102"/>
      <c r="AA453" s="472">
        <f t="shared" si="81"/>
        <v>445</v>
      </c>
    </row>
    <row r="454" spans="21:27">
      <c r="U454" s="102"/>
      <c r="AA454" s="472">
        <f t="shared" si="81"/>
        <v>446</v>
      </c>
    </row>
    <row r="455" spans="21:27">
      <c r="U455" s="102"/>
      <c r="AA455" s="472">
        <f t="shared" si="81"/>
        <v>447</v>
      </c>
    </row>
    <row r="456" spans="21:27">
      <c r="U456" s="102"/>
      <c r="AA456" s="472">
        <f t="shared" si="81"/>
        <v>448</v>
      </c>
    </row>
    <row r="457" spans="21:27">
      <c r="U457" s="102"/>
      <c r="AA457" s="472">
        <f t="shared" si="81"/>
        <v>449</v>
      </c>
    </row>
    <row r="458" spans="21:27">
      <c r="U458" s="102"/>
      <c r="AA458" s="472">
        <f t="shared" si="81"/>
        <v>450</v>
      </c>
    </row>
    <row r="459" spans="21:27">
      <c r="U459" s="102"/>
      <c r="AA459" s="472">
        <f t="shared" si="81"/>
        <v>451</v>
      </c>
    </row>
    <row r="460" spans="21:27">
      <c r="U460" s="102"/>
      <c r="AA460" s="472">
        <f t="shared" si="81"/>
        <v>452</v>
      </c>
    </row>
    <row r="461" spans="21:27">
      <c r="U461" s="102"/>
      <c r="AA461" s="472">
        <f t="shared" si="81"/>
        <v>453</v>
      </c>
    </row>
    <row r="462" spans="21:27">
      <c r="U462" s="102"/>
      <c r="AA462" s="472">
        <f t="shared" si="81"/>
        <v>454</v>
      </c>
    </row>
    <row r="463" spans="21:27">
      <c r="U463" s="102"/>
    </row>
    <row r="464" spans="21:27">
      <c r="U464" s="102"/>
    </row>
    <row r="465" spans="21:21">
      <c r="U465" s="102"/>
    </row>
    <row r="466" spans="21:21">
      <c r="U466" s="102"/>
    </row>
    <row r="467" spans="21:21">
      <c r="U467" s="102"/>
    </row>
    <row r="468" spans="21:21">
      <c r="U468" s="102"/>
    </row>
    <row r="469" spans="21:21">
      <c r="U469" s="102"/>
    </row>
    <row r="470" spans="21:21">
      <c r="U470" s="102"/>
    </row>
    <row r="471" spans="21:21">
      <c r="U471" s="102"/>
    </row>
    <row r="472" spans="21:21">
      <c r="U472" s="102"/>
    </row>
    <row r="473" spans="21:21">
      <c r="U473" s="102"/>
    </row>
    <row r="474" spans="21:21">
      <c r="U474" s="102"/>
    </row>
    <row r="475" spans="21:21">
      <c r="U475" s="102"/>
    </row>
    <row r="476" spans="21:21">
      <c r="U476" s="102"/>
    </row>
    <row r="477" spans="21:21">
      <c r="U477" s="102"/>
    </row>
    <row r="478" spans="21:21">
      <c r="U478" s="102"/>
    </row>
    <row r="479" spans="21:21">
      <c r="U479" s="102"/>
    </row>
    <row r="480" spans="21:21">
      <c r="U480" s="102"/>
    </row>
    <row r="481" spans="21:21">
      <c r="U481" s="102"/>
    </row>
    <row r="482" spans="21:21">
      <c r="U482" s="102"/>
    </row>
    <row r="483" spans="21:21">
      <c r="U483" s="102"/>
    </row>
    <row r="484" spans="21:21">
      <c r="U484" s="102"/>
    </row>
    <row r="485" spans="21:21">
      <c r="U485" s="102"/>
    </row>
    <row r="486" spans="21:21">
      <c r="U486" s="102"/>
    </row>
    <row r="487" spans="21:21">
      <c r="U487" s="102"/>
    </row>
    <row r="488" spans="21:21">
      <c r="U488" s="102"/>
    </row>
    <row r="489" spans="21:21">
      <c r="U489" s="102"/>
    </row>
    <row r="490" spans="21:21">
      <c r="U490" s="102"/>
    </row>
    <row r="491" spans="21:21">
      <c r="U491" s="102"/>
    </row>
    <row r="492" spans="21:21">
      <c r="U492" s="102"/>
    </row>
    <row r="493" spans="21:21">
      <c r="U493" s="102"/>
    </row>
    <row r="494" spans="21:21">
      <c r="U494" s="102"/>
    </row>
    <row r="495" spans="21:21">
      <c r="U495" s="102"/>
    </row>
    <row r="496" spans="21:21">
      <c r="U496" s="102"/>
    </row>
    <row r="497" spans="21:21">
      <c r="U497" s="102"/>
    </row>
    <row r="498" spans="21:21">
      <c r="U498" s="102"/>
    </row>
    <row r="499" spans="21:21">
      <c r="U499" s="102"/>
    </row>
    <row r="500" spans="21:21">
      <c r="U500" s="102"/>
    </row>
    <row r="501" spans="21:21">
      <c r="U501" s="102"/>
    </row>
    <row r="502" spans="21:21">
      <c r="U502" s="102"/>
    </row>
    <row r="503" spans="21:21">
      <c r="U503" s="102"/>
    </row>
    <row r="504" spans="21:21">
      <c r="U504" s="102"/>
    </row>
    <row r="505" spans="21:21">
      <c r="U505" s="102"/>
    </row>
    <row r="506" spans="21:21">
      <c r="U506" s="102"/>
    </row>
    <row r="507" spans="21:21">
      <c r="U507" s="102"/>
    </row>
    <row r="508" spans="21:21">
      <c r="U508" s="102"/>
    </row>
    <row r="509" spans="21:21">
      <c r="U509" s="102"/>
    </row>
    <row r="510" spans="21:21">
      <c r="U510" s="102"/>
    </row>
    <row r="511" spans="21:21">
      <c r="U511" s="102"/>
    </row>
    <row r="512" spans="21:21">
      <c r="U512" s="102"/>
    </row>
    <row r="513" spans="21:21">
      <c r="U513" s="102"/>
    </row>
    <row r="514" spans="21:21">
      <c r="U514" s="102"/>
    </row>
    <row r="515" spans="21:21">
      <c r="U515" s="102"/>
    </row>
    <row r="516" spans="21:21">
      <c r="U516" s="102"/>
    </row>
    <row r="517" spans="21:21">
      <c r="U517" s="102"/>
    </row>
    <row r="518" spans="21:21">
      <c r="U518" s="102"/>
    </row>
    <row r="519" spans="21:21">
      <c r="U519" s="102"/>
    </row>
    <row r="520" spans="21:21">
      <c r="U520" s="102"/>
    </row>
    <row r="521" spans="21:21">
      <c r="U521" s="102"/>
    </row>
    <row r="522" spans="21:21">
      <c r="U522" s="102"/>
    </row>
    <row r="523" spans="21:21">
      <c r="U523" s="102"/>
    </row>
    <row r="524" spans="21:21">
      <c r="U524" s="102"/>
    </row>
    <row r="525" spans="21:21">
      <c r="U525" s="102"/>
    </row>
    <row r="526" spans="21:21">
      <c r="U526" s="102"/>
    </row>
    <row r="527" spans="21:21">
      <c r="U527" s="102"/>
    </row>
    <row r="528" spans="21:21">
      <c r="U528" s="102"/>
    </row>
    <row r="529" spans="21:21">
      <c r="U529" s="102"/>
    </row>
    <row r="530" spans="21:21">
      <c r="U530" s="102"/>
    </row>
    <row r="531" spans="21:21">
      <c r="U531" s="102"/>
    </row>
    <row r="532" spans="21:21">
      <c r="U532" s="102"/>
    </row>
    <row r="533" spans="21:21">
      <c r="U533" s="102"/>
    </row>
    <row r="534" spans="21:21">
      <c r="U534" s="102"/>
    </row>
    <row r="535" spans="21:21">
      <c r="U535" s="102"/>
    </row>
    <row r="536" spans="21:21">
      <c r="U536" s="102"/>
    </row>
    <row r="537" spans="21:21">
      <c r="U537" s="102"/>
    </row>
    <row r="538" spans="21:21">
      <c r="U538" s="102"/>
    </row>
    <row r="539" spans="21:21">
      <c r="U539" s="102"/>
    </row>
    <row r="540" spans="21:21">
      <c r="U540" s="102"/>
    </row>
    <row r="541" spans="21:21">
      <c r="U541" s="102"/>
    </row>
    <row r="542" spans="21:21">
      <c r="U542" s="102"/>
    </row>
    <row r="543" spans="21:21">
      <c r="U543" s="102"/>
    </row>
    <row r="544" spans="21:21">
      <c r="U544" s="102"/>
    </row>
    <row r="545" spans="21:21">
      <c r="U545" s="102"/>
    </row>
    <row r="546" spans="21:21">
      <c r="U546" s="102"/>
    </row>
    <row r="547" spans="21:21">
      <c r="U547" s="102"/>
    </row>
    <row r="548" spans="21:21">
      <c r="U548" s="102"/>
    </row>
    <row r="549" spans="21:21">
      <c r="U549" s="102"/>
    </row>
    <row r="550" spans="21:21">
      <c r="U550" s="102"/>
    </row>
    <row r="551" spans="21:21">
      <c r="U551" s="102"/>
    </row>
    <row r="552" spans="21:21">
      <c r="U552" s="102"/>
    </row>
    <row r="553" spans="21:21">
      <c r="U553" s="102"/>
    </row>
    <row r="554" spans="21:21">
      <c r="U554" s="102"/>
    </row>
    <row r="555" spans="21:21">
      <c r="U555" s="102"/>
    </row>
    <row r="556" spans="21:21">
      <c r="U556" s="102"/>
    </row>
    <row r="557" spans="21:21">
      <c r="U557" s="102"/>
    </row>
    <row r="558" spans="21:21">
      <c r="U558" s="102"/>
    </row>
    <row r="559" spans="21:21">
      <c r="U559" s="102"/>
    </row>
    <row r="560" spans="21:21">
      <c r="U560" s="102"/>
    </row>
    <row r="561" spans="21:21">
      <c r="U561" s="102"/>
    </row>
    <row r="562" spans="21:21">
      <c r="U562" s="102"/>
    </row>
    <row r="563" spans="21:21">
      <c r="U563" s="102"/>
    </row>
    <row r="564" spans="21:21">
      <c r="U564" s="102"/>
    </row>
    <row r="565" spans="21:21">
      <c r="U565" s="102"/>
    </row>
    <row r="566" spans="21:21">
      <c r="U566" s="102"/>
    </row>
    <row r="567" spans="21:21">
      <c r="U567" s="102"/>
    </row>
  </sheetData>
  <mergeCells count="2">
    <mergeCell ref="BJ8:BK8"/>
    <mergeCell ref="BH8:BI8"/>
  </mergeCells>
  <phoneticPr fontId="0" type="noConversion"/>
  <dataValidations count="2">
    <dataValidation type="list" allowBlank="1" showInputMessage="1" showErrorMessage="1" sqref="E11:E141 E146:E328" xr:uid="{00000000-0002-0000-0900-000000000000}">
      <formula1>Type</formula1>
    </dataValidation>
    <dataValidation type="list" allowBlank="1" showInputMessage="1" showErrorMessage="1" sqref="B4" xr:uid="{00000000-0002-0000-0900-000001000000}">
      <formula1>Month</formula1>
    </dataValidation>
  </dataValidations>
  <printOptions horizontalCentered="1" verticalCentered="1"/>
  <pageMargins left="0.39" right="0.4" top="0.52" bottom="0.52" header="0.5" footer="0.5"/>
  <pageSetup paperSize="5" scale="79" fitToHeight="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>
    <pageSetUpPr fitToPage="1"/>
  </sheetPr>
  <dimension ref="A1:K46"/>
  <sheetViews>
    <sheetView zoomScaleNormal="100" workbookViewId="0">
      <selection activeCell="AF145" sqref="AF145:AF148"/>
    </sheetView>
  </sheetViews>
  <sheetFormatPr defaultRowHeight="12.5"/>
  <cols>
    <col min="1" max="1" width="24.26953125" customWidth="1"/>
    <col min="2" max="2" width="13.81640625" customWidth="1"/>
    <col min="3" max="3" width="13.1796875" customWidth="1"/>
    <col min="4" max="4" width="10.81640625" customWidth="1"/>
    <col min="5" max="5" width="25.7265625" hidden="1" customWidth="1"/>
    <col min="6" max="6" width="10.26953125" customWidth="1"/>
    <col min="7" max="8" width="10" customWidth="1"/>
    <col min="9" max="9" width="66.1796875" customWidth="1"/>
    <col min="10" max="10" width="7.1796875" customWidth="1"/>
    <col min="11" max="11" width="9.81640625" customWidth="1"/>
    <col min="12" max="12" width="26.26953125" customWidth="1"/>
    <col min="14" max="14" width="2.81640625" customWidth="1"/>
    <col min="19" max="20" width="10" customWidth="1"/>
    <col min="21" max="21" width="10.7265625" customWidth="1"/>
    <col min="22" max="22" width="9.81640625" customWidth="1"/>
    <col min="23" max="23" width="10" customWidth="1"/>
  </cols>
  <sheetData>
    <row r="1" spans="1:11" s="412" customFormat="1"/>
    <row r="2" spans="1:11" s="412" customFormat="1" ht="18">
      <c r="A2" s="608" t="s">
        <v>213</v>
      </c>
      <c r="B2" s="608"/>
      <c r="C2" s="608"/>
      <c r="D2" s="608"/>
      <c r="E2" s="608"/>
      <c r="F2" s="608"/>
      <c r="G2" s="608"/>
      <c r="H2" s="608"/>
      <c r="I2" s="608"/>
      <c r="J2" s="608"/>
      <c r="K2" s="608"/>
    </row>
    <row r="3" spans="1:11" s="412" customFormat="1" ht="18">
      <c r="A3" s="608" t="s">
        <v>262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</row>
    <row r="4" spans="1:11" s="412" customFormat="1" ht="18">
      <c r="A4" s="608" t="str">
        <f>+'Review Comments'!B13</f>
        <v>FOR THE MONTH ENDED 08/31/26</v>
      </c>
      <c r="B4" s="608"/>
      <c r="C4" s="608"/>
      <c r="D4" s="608"/>
      <c r="E4" s="608"/>
      <c r="F4" s="608"/>
      <c r="G4" s="608"/>
      <c r="H4" s="608"/>
      <c r="I4" s="608"/>
      <c r="J4" s="608"/>
      <c r="K4" s="608"/>
    </row>
    <row r="5" spans="1:11" s="412" customFormat="1"/>
    <row r="6" spans="1:11" s="412" customFormat="1" ht="13">
      <c r="A6" s="609"/>
      <c r="B6" s="610" t="s">
        <v>14</v>
      </c>
      <c r="C6" s="576"/>
      <c r="D6" s="576"/>
      <c r="E6" s="609"/>
      <c r="F6" s="610" t="s">
        <v>31</v>
      </c>
      <c r="G6" s="576"/>
      <c r="H6" s="576"/>
      <c r="I6" s="576"/>
      <c r="J6" s="609"/>
      <c r="K6" s="611" t="s">
        <v>54</v>
      </c>
    </row>
    <row r="7" spans="1:11" s="412" customFormat="1" ht="13">
      <c r="A7" s="609"/>
      <c r="B7" s="611" t="s">
        <v>64</v>
      </c>
      <c r="C7" s="611" t="s">
        <v>65</v>
      </c>
      <c r="D7" s="611" t="s">
        <v>263</v>
      </c>
      <c r="E7" s="611" t="s">
        <v>176</v>
      </c>
      <c r="F7" s="611" t="s">
        <v>64</v>
      </c>
      <c r="G7" s="611" t="s">
        <v>65</v>
      </c>
      <c r="H7" s="611" t="s">
        <v>263</v>
      </c>
      <c r="I7" s="611" t="s">
        <v>176</v>
      </c>
      <c r="J7" s="609"/>
      <c r="K7" s="611" t="s">
        <v>65</v>
      </c>
    </row>
    <row r="8" spans="1:11" s="412" customFormat="1">
      <c r="B8" s="1029"/>
      <c r="C8" s="1029"/>
      <c r="D8" s="1029"/>
      <c r="E8" s="1029"/>
      <c r="F8" s="1029"/>
      <c r="G8" s="1029"/>
      <c r="H8" s="1029"/>
      <c r="I8" s="1029"/>
      <c r="K8" s="1029"/>
    </row>
    <row r="9" spans="1:11" s="412" customFormat="1" ht="13" hidden="1">
      <c r="A9" s="612" t="s">
        <v>264</v>
      </c>
      <c r="B9" s="1029"/>
      <c r="C9" s="1029"/>
      <c r="D9" s="1029"/>
      <c r="E9" s="1029"/>
      <c r="F9" s="1029"/>
      <c r="G9" s="1029"/>
      <c r="H9" s="1029"/>
      <c r="I9" s="1029"/>
      <c r="K9" s="1029"/>
    </row>
    <row r="10" spans="1:11" s="412" customFormat="1" hidden="1">
      <c r="A10" s="412" t="s">
        <v>148</v>
      </c>
      <c r="B10" s="1029"/>
      <c r="C10" s="1029"/>
      <c r="D10" s="1029"/>
      <c r="E10" s="1029"/>
      <c r="F10" s="1029"/>
      <c r="G10" s="1029"/>
      <c r="H10" s="1029"/>
      <c r="I10" s="1029"/>
      <c r="K10" s="1029"/>
    </row>
    <row r="11" spans="1:11" s="412" customFormat="1" hidden="1">
      <c r="A11" s="613" t="s">
        <v>224</v>
      </c>
      <c r="B11" s="614">
        <v>0</v>
      </c>
      <c r="C11" s="614">
        <v>0</v>
      </c>
      <c r="D11" s="615">
        <f>+B11-C11</f>
        <v>0</v>
      </c>
      <c r="E11" s="1029"/>
      <c r="F11" s="614">
        <v>0</v>
      </c>
      <c r="G11" s="614">
        <v>0</v>
      </c>
      <c r="H11" s="615">
        <f>+F11-G11</f>
        <v>0</v>
      </c>
      <c r="I11" s="615"/>
      <c r="K11" s="614">
        <v>0</v>
      </c>
    </row>
    <row r="12" spans="1:11" s="412" customFormat="1" hidden="1">
      <c r="A12" s="613" t="s">
        <v>265</v>
      </c>
      <c r="B12" s="614">
        <v>0</v>
      </c>
      <c r="C12" s="614">
        <v>0</v>
      </c>
      <c r="D12" s="615">
        <f>+B12-C12</f>
        <v>0</v>
      </c>
      <c r="E12" s="1029"/>
      <c r="F12" s="614">
        <v>0</v>
      </c>
      <c r="G12" s="614">
        <v>0</v>
      </c>
      <c r="H12" s="615">
        <f>+F12-G12</f>
        <v>0</v>
      </c>
      <c r="I12" s="615"/>
      <c r="K12" s="614">
        <v>0</v>
      </c>
    </row>
    <row r="13" spans="1:11" s="412" customFormat="1" hidden="1">
      <c r="A13" s="613" t="s">
        <v>266</v>
      </c>
      <c r="B13" s="614">
        <v>0</v>
      </c>
      <c r="C13" s="614">
        <v>0</v>
      </c>
      <c r="D13" s="615">
        <f>+B13-C13</f>
        <v>0</v>
      </c>
      <c r="E13" s="1029"/>
      <c r="F13" s="614">
        <v>0</v>
      </c>
      <c r="G13" s="614">
        <v>0</v>
      </c>
      <c r="H13" s="615">
        <f>+F13-G13</f>
        <v>0</v>
      </c>
      <c r="I13" s="615"/>
      <c r="K13" s="614">
        <v>0</v>
      </c>
    </row>
    <row r="14" spans="1:11" s="412" customFormat="1" ht="14" hidden="1">
      <c r="A14" s="613" t="s">
        <v>267</v>
      </c>
      <c r="B14" s="616">
        <v>0</v>
      </c>
      <c r="C14" s="616">
        <v>0</v>
      </c>
      <c r="D14" s="617">
        <f>+B14-C14</f>
        <v>0</v>
      </c>
      <c r="E14" s="1029"/>
      <c r="F14" s="616">
        <v>0</v>
      </c>
      <c r="G14" s="616">
        <v>0</v>
      </c>
      <c r="H14" s="617">
        <f>+F14-G14</f>
        <v>0</v>
      </c>
      <c r="I14" s="617"/>
      <c r="K14" s="616">
        <v>0</v>
      </c>
    </row>
    <row r="15" spans="1:11" s="412" customFormat="1" hidden="1">
      <c r="A15" s="412" t="s">
        <v>268</v>
      </c>
      <c r="B15" s="615">
        <f>SUM(B11:B14)</f>
        <v>0</v>
      </c>
      <c r="C15" s="615">
        <f>SUM(C11:C14)</f>
        <v>0</v>
      </c>
      <c r="D15" s="615">
        <f>SUM(D11:D14)</f>
        <v>0</v>
      </c>
      <c r="E15" s="1029"/>
      <c r="F15" s="615">
        <f>SUM(F11:F14)</f>
        <v>0</v>
      </c>
      <c r="G15" s="615">
        <f>SUM(G11:G14)</f>
        <v>0</v>
      </c>
      <c r="H15" s="615">
        <f>SUM(H11:H14)</f>
        <v>0</v>
      </c>
      <c r="I15" s="615"/>
      <c r="K15" s="615">
        <f>SUM(K11:K14)</f>
        <v>0</v>
      </c>
    </row>
    <row r="16" spans="1:11" s="412" customFormat="1" hidden="1">
      <c r="B16" s="1029"/>
      <c r="C16" s="1029"/>
      <c r="D16" s="1029"/>
      <c r="E16" s="1029"/>
      <c r="F16" s="1029"/>
      <c r="G16" s="1029"/>
      <c r="H16" s="1029"/>
      <c r="I16" s="1029"/>
      <c r="K16" s="1029"/>
    </row>
    <row r="17" spans="1:11" s="412" customFormat="1" hidden="1">
      <c r="A17" s="412" t="s">
        <v>269</v>
      </c>
      <c r="B17" s="1029"/>
      <c r="C17" s="1029"/>
      <c r="D17" s="1029"/>
      <c r="E17" s="1029"/>
      <c r="F17" s="1029"/>
      <c r="G17" s="1029"/>
      <c r="H17" s="1029"/>
      <c r="I17" s="1029"/>
      <c r="K17" s="1029"/>
    </row>
    <row r="18" spans="1:11" s="412" customFormat="1" hidden="1">
      <c r="A18" s="613" t="s">
        <v>270</v>
      </c>
      <c r="B18" s="614">
        <v>0</v>
      </c>
      <c r="C18" s="614">
        <v>0</v>
      </c>
      <c r="D18" s="615">
        <f>+C18-B18</f>
        <v>0</v>
      </c>
      <c r="E18" s="1029"/>
      <c r="F18" s="614">
        <v>0</v>
      </c>
      <c r="G18" s="614">
        <v>0</v>
      </c>
      <c r="H18" s="615">
        <f>+G18-F18</f>
        <v>0</v>
      </c>
      <c r="I18" s="615"/>
      <c r="K18" s="614">
        <v>0</v>
      </c>
    </row>
    <row r="19" spans="1:11" s="412" customFormat="1" ht="14" hidden="1">
      <c r="A19" s="613" t="s">
        <v>271</v>
      </c>
      <c r="B19" s="616">
        <v>0</v>
      </c>
      <c r="C19" s="616">
        <v>0</v>
      </c>
      <c r="D19" s="617">
        <f>+C19-B19</f>
        <v>0</v>
      </c>
      <c r="E19" s="1029"/>
      <c r="F19" s="616">
        <v>0</v>
      </c>
      <c r="G19" s="616">
        <v>0</v>
      </c>
      <c r="H19" s="617">
        <f>+G19-F19</f>
        <v>0</v>
      </c>
      <c r="I19" s="617"/>
      <c r="K19" s="616">
        <v>0</v>
      </c>
    </row>
    <row r="20" spans="1:11" s="412" customFormat="1" hidden="1">
      <c r="A20" s="412" t="s">
        <v>272</v>
      </c>
      <c r="B20" s="615">
        <f>SUM(B18:B19)</f>
        <v>0</v>
      </c>
      <c r="C20" s="615">
        <f>SUM(C18:C19)</f>
        <v>0</v>
      </c>
      <c r="D20" s="615">
        <f>SUM(D18:D19)</f>
        <v>0</v>
      </c>
      <c r="E20" s="1029"/>
      <c r="F20" s="615">
        <f>SUM(F18:F19)</f>
        <v>0</v>
      </c>
      <c r="G20" s="615">
        <f>SUM(G18:G19)</f>
        <v>0</v>
      </c>
      <c r="H20" s="615">
        <f>SUM(H18:H19)</f>
        <v>0</v>
      </c>
      <c r="I20" s="615"/>
      <c r="K20" s="615">
        <f>SUM(K18:K19)</f>
        <v>0</v>
      </c>
    </row>
    <row r="21" spans="1:11" s="412" customFormat="1" hidden="1">
      <c r="A21" s="613"/>
      <c r="B21" s="1029"/>
      <c r="C21" s="1029"/>
      <c r="D21" s="1029"/>
      <c r="E21" s="1029"/>
      <c r="F21" s="1029"/>
      <c r="G21" s="1029"/>
      <c r="H21" s="1029"/>
      <c r="I21" s="1029"/>
      <c r="K21" s="1029"/>
    </row>
    <row r="22" spans="1:11" s="412" customFormat="1" hidden="1">
      <c r="A22" s="412" t="s">
        <v>273</v>
      </c>
      <c r="B22" s="615">
        <f>+B15-B20</f>
        <v>0</v>
      </c>
      <c r="C22" s="615">
        <f>+C15-C20</f>
        <v>0</v>
      </c>
      <c r="D22" s="615">
        <f>+D15-D20</f>
        <v>0</v>
      </c>
      <c r="E22" s="618"/>
      <c r="F22" s="615">
        <f>+F15-F20</f>
        <v>0</v>
      </c>
      <c r="G22" s="615">
        <f>+G15-G20</f>
        <v>0</v>
      </c>
      <c r="H22" s="615">
        <f>+H15-H20</f>
        <v>0</v>
      </c>
      <c r="I22" s="615"/>
      <c r="J22" s="468"/>
      <c r="K22" s="615">
        <f>+K15-K20</f>
        <v>0</v>
      </c>
    </row>
    <row r="23" spans="1:11" s="412" customFormat="1">
      <c r="A23" s="613"/>
      <c r="B23" s="1029"/>
      <c r="C23" s="1029"/>
      <c r="D23" s="1029"/>
      <c r="E23" s="1029"/>
      <c r="F23" s="1029"/>
      <c r="G23" s="1029"/>
      <c r="H23" s="1029"/>
      <c r="I23" s="1029"/>
      <c r="K23" s="1029"/>
    </row>
    <row r="24" spans="1:11" s="412" customFormat="1" ht="13">
      <c r="A24" s="612" t="s">
        <v>168</v>
      </c>
      <c r="B24" s="1029"/>
      <c r="C24" s="1029"/>
      <c r="D24" s="1029"/>
      <c r="E24" s="1029"/>
      <c r="F24" s="1029"/>
      <c r="G24" s="1029"/>
      <c r="H24" s="1029"/>
      <c r="I24" s="1029"/>
      <c r="K24" s="1029"/>
    </row>
    <row r="25" spans="1:11" s="412" customFormat="1">
      <c r="A25" s="412" t="s">
        <v>172</v>
      </c>
      <c r="B25" s="619">
        <f>HLOOKUP('Min Rent Bud'!$J$7,'MR-Stat Data Sheet Bud'!$I$8:$T$1081,'MR-Stat Data Sheet Bud'!$H$337,FALSE)</f>
        <v>0.90947495473747741</v>
      </c>
      <c r="C25" s="619">
        <f>HLOOKUP('Min Rent Bud'!$J$7,'MR-Stat Data Sheet Bud'!$AG$8:$AR$1081,'MR-Stat Data Sheet Bud'!$H$337,FALSE)</f>
        <v>1</v>
      </c>
      <c r="D25" s="620">
        <f>+B25-C25</f>
        <v>-9.0525045262522585E-2</v>
      </c>
      <c r="E25" s="621"/>
      <c r="F25" s="619">
        <f>HLOOKUP('Min Rent Bud'!$J$7,'MR-Stat Data Sheet Bud'!$I$8:$T$1081,'MR-Stat Data Sheet Bud'!$H$341,FALSE)</f>
        <v>0.95473747736873871</v>
      </c>
      <c r="G25" s="619">
        <f>HLOOKUP('Min Rent Bud'!$J$7,'MR-Stat Data Sheet Bud'!$AG$8:$AR$1081,'MR-Stat Data Sheet Bud'!$H$341,FALSE)</f>
        <v>1</v>
      </c>
      <c r="H25" s="620">
        <f>+F25-G25</f>
        <v>-4.5262522631261293E-2</v>
      </c>
      <c r="I25" s="557" t="s">
        <v>274</v>
      </c>
      <c r="J25" s="621"/>
      <c r="K25" s="619">
        <f>HLOOKUP("June",'MR-Stat Data Sheet Bud'!$AG$8:$AR$1081,'MR-Stat Data Sheet Bud'!$H$341,FALSE)</f>
        <v>1</v>
      </c>
    </row>
    <row r="26" spans="1:11" s="412" customFormat="1">
      <c r="B26" s="619"/>
      <c r="C26" s="619"/>
      <c r="D26" s="620"/>
      <c r="E26" s="621"/>
      <c r="F26" s="619"/>
      <c r="G26" s="619"/>
      <c r="H26" s="620"/>
      <c r="I26" s="620"/>
      <c r="J26" s="621"/>
      <c r="K26" s="619"/>
    </row>
    <row r="27" spans="1:11" s="412" customFormat="1">
      <c r="A27" s="412" t="s">
        <v>173</v>
      </c>
      <c r="B27" s="619">
        <f>HLOOKUP('Min Rent Bud'!$J$7,'MR-Stat Data Sheet Bud'!$I$8:$T$1081,'MR-Stat Data Sheet Bud'!H338,FALSE)</f>
        <v>0.98135285068295186</v>
      </c>
      <c r="C27" s="619">
        <f>HLOOKUP('Min Rent Bud'!$J$7,'MR-Stat Data Sheet Bud'!$AG$8:$AR$1081,'MR-Stat Data Sheet Bud'!H338,FALSE)</f>
        <v>1</v>
      </c>
      <c r="D27" s="620">
        <f>+B27-C27</f>
        <v>-1.8647149317048139E-2</v>
      </c>
      <c r="E27" s="621"/>
      <c r="F27" s="619">
        <f>HLOOKUP('Min Rent Bud'!$J$7,'MR-Stat Data Sheet Bud'!$I$8:$T$1081,'MR-Stat Data Sheet Bud'!$H342,FALSE)</f>
        <v>0.99067642534147593</v>
      </c>
      <c r="G27" s="619">
        <f>HLOOKUP('Min Rent Bud'!$J$7,'MR-Stat Data Sheet Bud'!$AG$8:$AR$1081,'MR-Stat Data Sheet Bud'!$H342,FALSE)</f>
        <v>1</v>
      </c>
      <c r="H27" s="620">
        <f>+F27-G27</f>
        <v>-9.3235746585240697E-3</v>
      </c>
      <c r="I27" s="620"/>
      <c r="J27" s="621"/>
      <c r="K27" s="619">
        <f>HLOOKUP("June",'MR-Stat Data Sheet Bud'!$AG$8:$AR$1081,'MR-Stat Data Sheet Bud'!$H342,FALSE)</f>
        <v>1</v>
      </c>
    </row>
    <row r="28" spans="1:11" s="412" customFormat="1">
      <c r="B28" s="619"/>
      <c r="C28" s="619"/>
      <c r="D28" s="620"/>
      <c r="E28" s="621"/>
      <c r="F28" s="619"/>
      <c r="G28" s="619"/>
      <c r="H28" s="620"/>
      <c r="I28" s="620"/>
      <c r="J28" s="621"/>
      <c r="K28" s="619"/>
    </row>
    <row r="29" spans="1:11" s="412" customFormat="1" ht="57" customHeight="1">
      <c r="A29" s="414" t="s">
        <v>25</v>
      </c>
      <c r="B29" s="622">
        <f>HLOOKUP('Min Rent Bud'!$J$7,'MR-Stat Data Sheet Bud'!$U$8:$AH$1081,'MR-Stat Data Sheet Bud'!$H$337,FALSE)</f>
        <v>50.123560152621103</v>
      </c>
      <c r="C29" s="622">
        <f>HLOOKUP('Min Rent Bud'!$J$7,'MR-Stat Data Sheet Bud'!$AS$8:$BD$1081,'MR-Stat Data Sheet Bud'!$H$337,FALSE)</f>
        <v>55.367833433916715</v>
      </c>
      <c r="D29" s="619">
        <f>(B29-C29)/C29</f>
        <v>-9.4716967525103196E-2</v>
      </c>
      <c r="E29" s="623"/>
      <c r="F29" s="622">
        <f>HLOOKUP('Min Rent Bud'!$J$7,'MR-Stat Data Sheet Bud'!$U$8:$AH$1081,'MR-Stat Data Sheet Bud'!$H$341,FALSE)</f>
        <v>52.377086061946912</v>
      </c>
      <c r="G29" s="622">
        <f>HLOOKUP('Min Rent Bud'!$J$7,'MR-Stat Data Sheet Bud'!$AS$8:$BD$1081,'MR-Stat Data Sheet Bud'!$H$341,FALSE)</f>
        <v>54.403439951719974</v>
      </c>
      <c r="H29" s="619">
        <f>(F29-G29)/G29</f>
        <v>-3.7246797106420822E-2</v>
      </c>
      <c r="I29" s="654" t="s">
        <v>275</v>
      </c>
      <c r="J29" s="622"/>
      <c r="K29" s="622">
        <f>HLOOKUP("June",'MR-Stat Data Sheet Bud'!$AS$8:$BD$1081,'MR-Stat Data Sheet Bud'!$H$341,FALSE)</f>
        <v>54.403439951719974</v>
      </c>
    </row>
    <row r="30" spans="1:11" s="412" customFormat="1">
      <c r="B30" s="621"/>
      <c r="C30" s="621"/>
      <c r="D30" s="621"/>
      <c r="E30" s="621"/>
      <c r="F30" s="621"/>
      <c r="G30" s="621"/>
      <c r="H30" s="621"/>
      <c r="I30" s="652"/>
      <c r="J30" s="621"/>
    </row>
    <row r="31" spans="1:11" s="412" customFormat="1" hidden="1">
      <c r="A31" s="412" t="s">
        <v>276</v>
      </c>
      <c r="B31" s="619">
        <v>0</v>
      </c>
      <c r="C31" s="619">
        <v>0</v>
      </c>
      <c r="D31" s="620">
        <f>+B31-C31</f>
        <v>0</v>
      </c>
      <c r="E31" s="621"/>
      <c r="F31" s="619">
        <v>0</v>
      </c>
      <c r="G31" s="619">
        <v>0</v>
      </c>
      <c r="H31" s="620">
        <f>+F31-G31</f>
        <v>0</v>
      </c>
      <c r="I31" s="620"/>
      <c r="J31" s="621"/>
      <c r="K31" s="619"/>
    </row>
    <row r="32" spans="1:11" s="412" customFormat="1">
      <c r="B32" s="621"/>
      <c r="C32" s="621"/>
      <c r="D32" s="621"/>
      <c r="E32" s="621"/>
      <c r="F32" s="621"/>
      <c r="G32" s="621"/>
      <c r="H32" s="621"/>
      <c r="I32" s="621"/>
      <c r="J32" s="621"/>
    </row>
    <row r="33" spans="1:11" s="412" customFormat="1" hidden="1">
      <c r="A33" s="412" t="s">
        <v>277</v>
      </c>
      <c r="D33" s="624"/>
    </row>
    <row r="34" spans="1:11" s="412" customFormat="1" hidden="1">
      <c r="A34" s="613" t="s">
        <v>278</v>
      </c>
      <c r="B34" s="625">
        <v>0</v>
      </c>
      <c r="C34" s="625">
        <v>0</v>
      </c>
      <c r="D34" s="625">
        <f>+B34-C34</f>
        <v>0</v>
      </c>
      <c r="F34" s="625">
        <v>0</v>
      </c>
      <c r="G34" s="625">
        <v>0</v>
      </c>
      <c r="H34" s="625">
        <f>+F34-G34</f>
        <v>0</v>
      </c>
      <c r="I34" s="625"/>
      <c r="K34" s="625">
        <v>15000</v>
      </c>
    </row>
    <row r="35" spans="1:11" s="412" customFormat="1" hidden="1">
      <c r="A35" s="613" t="s">
        <v>279</v>
      </c>
      <c r="B35" s="625">
        <v>0</v>
      </c>
      <c r="C35" s="625">
        <v>0</v>
      </c>
      <c r="D35" s="625">
        <f>+B35-C35</f>
        <v>0</v>
      </c>
      <c r="F35" s="625">
        <v>0</v>
      </c>
      <c r="G35" s="625">
        <v>0</v>
      </c>
      <c r="H35" s="625">
        <f>+F35-G35</f>
        <v>0</v>
      </c>
      <c r="I35" s="625"/>
      <c r="K35" s="625">
        <v>8200</v>
      </c>
    </row>
    <row r="36" spans="1:11" s="412" customFormat="1" ht="14" hidden="1">
      <c r="A36" s="613" t="s">
        <v>280</v>
      </c>
      <c r="B36" s="626">
        <v>0</v>
      </c>
      <c r="C36" s="626">
        <v>0</v>
      </c>
      <c r="D36" s="626">
        <f>+B36-C36</f>
        <v>0</v>
      </c>
      <c r="F36" s="626">
        <v>0</v>
      </c>
      <c r="G36" s="626">
        <v>0</v>
      </c>
      <c r="H36" s="626">
        <f>+F36-G36</f>
        <v>0</v>
      </c>
      <c r="I36" s="626"/>
      <c r="K36" s="626">
        <v>-9500</v>
      </c>
    </row>
    <row r="37" spans="1:11" s="412" customFormat="1" hidden="1">
      <c r="A37" s="412" t="s">
        <v>281</v>
      </c>
      <c r="B37" s="624">
        <f>SUM(B34:B36)</f>
        <v>0</v>
      </c>
      <c r="C37" s="624">
        <f>SUM(C34:C36)</f>
        <v>0</v>
      </c>
      <c r="D37" s="624">
        <f>SUM(D34:D36)</f>
        <v>0</v>
      </c>
      <c r="F37" s="624">
        <f>SUM(F34:F36)</f>
        <v>0</v>
      </c>
      <c r="G37" s="624">
        <f>SUM(G34:G36)</f>
        <v>0</v>
      </c>
      <c r="H37" s="624">
        <f>SUM(H34:H36)</f>
        <v>0</v>
      </c>
      <c r="I37" s="624"/>
      <c r="K37" s="624">
        <f>SUM(K34:K36)</f>
        <v>13700</v>
      </c>
    </row>
    <row r="38" spans="1:11" s="412" customFormat="1">
      <c r="D38" s="624"/>
    </row>
    <row r="39" spans="1:11" s="412" customFormat="1">
      <c r="A39" s="412" t="s">
        <v>282</v>
      </c>
      <c r="D39" s="624"/>
    </row>
    <row r="40" spans="1:11" s="412" customFormat="1">
      <c r="A40" s="412" t="s">
        <v>283</v>
      </c>
      <c r="B40" s="625">
        <f>HLOOKUP('Min Rent Bud'!$J$7,'MR-Stat Data Sheet Bud'!$I$8:$T$1081,'MR-Stat Data Sheet Bud'!$H$142,FALSE)</f>
        <v>12056</v>
      </c>
      <c r="D40" s="624"/>
    </row>
    <row r="41" spans="1:11" s="412" customFormat="1">
      <c r="A41" s="412" t="s">
        <v>284</v>
      </c>
      <c r="B41" s="625">
        <f>HLOOKUP('Min Rent Bud'!$J$7,'MR-Stat Data Sheet Bud'!$I$8:$T$1081,'MR-Stat Data Sheet Bud'!$H$334,FALSE)</f>
        <v>13256</v>
      </c>
      <c r="D41" s="624"/>
    </row>
    <row r="42" spans="1:11" s="412" customFormat="1">
      <c r="A42" s="412" t="s">
        <v>285</v>
      </c>
      <c r="B42" s="625">
        <f>HLOOKUP('Min Rent Bud'!$J$7,'MR-Stat Data Sheet Bud'!$I$8:$T$1081,'MR-Stat Data Sheet Bud'!$H$331,FALSE)</f>
        <v>63153</v>
      </c>
      <c r="D42" s="624"/>
    </row>
    <row r="43" spans="1:11" s="412" customFormat="1">
      <c r="A43" s="412" t="s">
        <v>286</v>
      </c>
      <c r="B43" s="625">
        <f>HLOOKUP('Min Rent Bud'!$J$7,'MR-Stat Data Sheet Bud'!$I$8:$T$1081,'MR-Stat Data Sheet Bud'!$H$335,FALSE)</f>
        <v>64353</v>
      </c>
      <c r="D43" s="624"/>
    </row>
    <row r="44" spans="1:11" s="412" customFormat="1">
      <c r="A44" s="412" t="s">
        <v>287</v>
      </c>
      <c r="D44" s="624"/>
    </row>
    <row r="45" spans="1:11" s="412" customFormat="1">
      <c r="A45" s="412" t="s">
        <v>288</v>
      </c>
      <c r="B45" s="625">
        <f>HLOOKUP('Min Rent Bud'!$J$7,'MR-Stat Data Sheet Bud'!$U$8:$AF$1081,'MR-Stat Data Sheet Bud'!$H$142,FALSE)</f>
        <v>50357.470100000006</v>
      </c>
      <c r="D45" s="624"/>
    </row>
    <row r="46" spans="1:11" s="412" customFormat="1">
      <c r="D46" s="624"/>
    </row>
  </sheetData>
  <phoneticPr fontId="0" type="noConversion"/>
  <conditionalFormatting sqref="D25 H25 D27 H27 D29 H29 Q30:Q32 S30:S32 V30:V32 D31 H31 Q34 S34 V34">
    <cfRule type="cellIs" dxfId="3" priority="1" stopIfTrue="1" operator="greaterThan">
      <formula>0.0299</formula>
    </cfRule>
    <cfRule type="cellIs" dxfId="2" priority="2" stopIfTrue="1" operator="lessThan">
      <formula>-0.0299</formula>
    </cfRule>
  </conditionalFormatting>
  <conditionalFormatting sqref="X30">
    <cfRule type="cellIs" dxfId="1" priority="3" stopIfTrue="1" operator="greaterThan">
      <formula>0.0699</formula>
    </cfRule>
    <cfRule type="cellIs" dxfId="0" priority="4" stopIfTrue="1" operator="lessThan">
      <formula>-0.0299</formula>
    </cfRule>
  </conditionalFormatting>
  <printOptions horizontalCentered="1"/>
  <pageMargins left="0.32" right="0.39" top="0.67" bottom="1" header="0.5" footer="0.5"/>
  <pageSetup scale="7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AG141"/>
  <sheetViews>
    <sheetView zoomScaleNormal="100" workbookViewId="0">
      <pane ySplit="8" topLeftCell="A9" activePane="bottomLeft" state="frozen"/>
      <selection activeCell="B18" sqref="B18"/>
      <selection pane="bottomLeft" activeCell="B18" sqref="B18"/>
    </sheetView>
  </sheetViews>
  <sheetFormatPr defaultColWidth="12.7265625" defaultRowHeight="13"/>
  <cols>
    <col min="1" max="1" width="23.26953125" style="22" customWidth="1"/>
    <col min="2" max="2" width="15" customWidth="1"/>
    <col min="3" max="3" width="8.453125" style="214" bestFit="1" customWidth="1"/>
    <col min="4" max="4" width="3" style="214" customWidth="1"/>
    <col min="5" max="5" width="8.1796875" style="217" customWidth="1"/>
    <col min="6" max="6" width="14.7265625" style="215" customWidth="1"/>
    <col min="7" max="7" width="13.26953125" style="215" hidden="1" customWidth="1"/>
    <col min="8" max="8" width="12.54296875" style="215" customWidth="1"/>
    <col min="9" max="9" width="11.81640625" style="215" hidden="1" customWidth="1"/>
    <col min="10" max="10" width="14.26953125" style="215" customWidth="1"/>
    <col min="11" max="11" width="13.26953125" style="215" hidden="1" customWidth="1"/>
    <col min="12" max="12" width="7.453125" style="215" customWidth="1"/>
    <col min="13" max="13" width="12.54296875" style="160" customWidth="1"/>
    <col min="14" max="14" width="11.81640625" style="160" customWidth="1"/>
    <col min="15" max="15" width="12" style="160" customWidth="1"/>
    <col min="16" max="16" width="13.453125" style="213" customWidth="1"/>
    <col min="17" max="17" width="13" style="159" customWidth="1"/>
    <col min="18" max="18" width="13.54296875" style="160" customWidth="1"/>
    <col min="19" max="19" width="13.7265625" style="160" customWidth="1"/>
    <col min="20" max="20" width="15.54296875" style="213" customWidth="1"/>
    <col min="21" max="21" width="15.54296875" style="218" customWidth="1"/>
  </cols>
  <sheetData>
    <row r="1" spans="1:33" s="127" customFormat="1" ht="18">
      <c r="A1" s="1180" t="s">
        <v>213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2"/>
    </row>
    <row r="2" spans="1:33" s="22" customFormat="1">
      <c r="A2" s="1183" t="s">
        <v>289</v>
      </c>
      <c r="B2" s="1184"/>
      <c r="C2" s="1184"/>
      <c r="D2" s="1184"/>
      <c r="E2" s="1184"/>
      <c r="F2" s="1184"/>
      <c r="G2" s="1184"/>
      <c r="H2" s="1184"/>
      <c r="I2" s="1184"/>
      <c r="J2" s="1184"/>
      <c r="K2" s="1184"/>
      <c r="L2" s="1184"/>
      <c r="M2" s="1184"/>
      <c r="N2" s="1184"/>
      <c r="O2" s="1184"/>
      <c r="P2" s="1184"/>
      <c r="Q2" s="1184"/>
      <c r="R2" s="1184"/>
      <c r="S2" s="1184"/>
      <c r="T2" s="1184"/>
      <c r="U2" s="1185"/>
    </row>
    <row r="3" spans="1:33" s="22" customFormat="1" ht="13.5" thickBot="1">
      <c r="A3" s="1186" t="str">
        <f>'Review Comments'!B13</f>
        <v>FOR THE MONTH ENDED 08/31/26</v>
      </c>
      <c r="B3" s="1187"/>
      <c r="C3" s="1187"/>
      <c r="D3" s="1187"/>
      <c r="E3" s="1187"/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7"/>
      <c r="R3" s="1187"/>
      <c r="S3" s="1187"/>
      <c r="T3" s="1187"/>
      <c r="U3" s="1188"/>
    </row>
    <row r="5" spans="1:33" s="220" customFormat="1" ht="10.5">
      <c r="A5" s="219" t="s">
        <v>290</v>
      </c>
      <c r="C5" s="221"/>
      <c r="D5" s="221"/>
      <c r="E5" s="222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  <c r="Q5" s="225"/>
      <c r="R5" s="223"/>
      <c r="S5" s="223"/>
      <c r="T5" s="224"/>
      <c r="U5" s="226"/>
    </row>
    <row r="6" spans="1:33" ht="13.5" thickBot="1">
      <c r="Q6" s="227"/>
      <c r="R6" s="151"/>
      <c r="S6" s="151"/>
      <c r="V6" s="9"/>
    </row>
    <row r="7" spans="1:33" s="30" customFormat="1">
      <c r="A7" s="228" t="s">
        <v>291</v>
      </c>
      <c r="B7" s="229" t="s">
        <v>292</v>
      </c>
      <c r="C7" s="230"/>
      <c r="D7" s="231"/>
      <c r="E7" s="232"/>
      <c r="F7" s="1189" t="s">
        <v>293</v>
      </c>
      <c r="G7" s="1189"/>
      <c r="H7" s="1189"/>
      <c r="I7" s="1189"/>
      <c r="J7" s="1190"/>
      <c r="K7" s="1042"/>
      <c r="L7" s="233" t="s">
        <v>293</v>
      </c>
      <c r="M7" s="1190" t="s">
        <v>294</v>
      </c>
      <c r="N7" s="1176"/>
      <c r="O7" s="1191"/>
      <c r="P7" s="234" t="s">
        <v>295</v>
      </c>
      <c r="Q7" s="1190" t="s">
        <v>296</v>
      </c>
      <c r="R7" s="1176"/>
      <c r="S7" s="1191"/>
      <c r="T7" s="234" t="s">
        <v>297</v>
      </c>
      <c r="U7" s="235" t="s">
        <v>298</v>
      </c>
      <c r="V7" s="128"/>
    </row>
    <row r="8" spans="1:33" s="30" customFormat="1" ht="13.5" thickBot="1">
      <c r="A8" s="236"/>
      <c r="B8" s="237" t="s">
        <v>299</v>
      </c>
      <c r="C8" s="238" t="s">
        <v>300</v>
      </c>
      <c r="D8" s="1192" t="s">
        <v>61</v>
      </c>
      <c r="E8" s="1193"/>
      <c r="F8" s="239" t="s">
        <v>301</v>
      </c>
      <c r="G8" s="239" t="s">
        <v>130</v>
      </c>
      <c r="H8" s="239" t="s">
        <v>122</v>
      </c>
      <c r="I8" s="239" t="s">
        <v>130</v>
      </c>
      <c r="J8" s="239" t="s">
        <v>64</v>
      </c>
      <c r="K8" s="239" t="s">
        <v>130</v>
      </c>
      <c r="L8" s="240" t="s">
        <v>302</v>
      </c>
      <c r="M8" s="241" t="s">
        <v>303</v>
      </c>
      <c r="N8" s="241" t="s">
        <v>304</v>
      </c>
      <c r="O8" s="241" t="s">
        <v>64</v>
      </c>
      <c r="P8" s="242" t="s">
        <v>305</v>
      </c>
      <c r="Q8" s="241" t="s">
        <v>297</v>
      </c>
      <c r="R8" s="241" t="s">
        <v>306</v>
      </c>
      <c r="S8" s="241" t="s">
        <v>307</v>
      </c>
      <c r="T8" s="243" t="s">
        <v>308</v>
      </c>
      <c r="U8" s="244" t="s">
        <v>148</v>
      </c>
      <c r="V8" s="129"/>
      <c r="W8" s="129"/>
      <c r="X8" s="129"/>
      <c r="Y8" s="129"/>
      <c r="Z8" s="129"/>
      <c r="AA8" s="129"/>
      <c r="AB8" s="129"/>
      <c r="AC8" s="129"/>
      <c r="AD8" s="129"/>
      <c r="AE8" s="1"/>
      <c r="AF8" s="129"/>
      <c r="AG8" s="1"/>
    </row>
    <row r="9" spans="1:33" s="22" customFormat="1">
      <c r="C9" s="245"/>
      <c r="D9" s="245"/>
      <c r="E9" s="246"/>
      <c r="F9" s="247"/>
      <c r="G9" s="247"/>
      <c r="H9" s="247"/>
      <c r="I9" s="247"/>
      <c r="J9" s="247"/>
      <c r="K9" s="247"/>
      <c r="L9" s="247"/>
      <c r="M9" s="248"/>
      <c r="N9" s="248"/>
      <c r="O9" s="248"/>
      <c r="P9" s="249"/>
      <c r="Q9" s="250"/>
      <c r="R9" s="248"/>
      <c r="S9" s="248"/>
      <c r="T9" s="249"/>
      <c r="U9" s="251"/>
      <c r="V9" s="9"/>
    </row>
    <row r="10" spans="1:33" s="9" customFormat="1" hidden="1">
      <c r="A10" s="3" t="s">
        <v>309</v>
      </c>
      <c r="B10" s="252">
        <f>4837271.4*9/12+5039981.4*3/12</f>
        <v>4887948.9000000004</v>
      </c>
      <c r="C10" s="253">
        <v>2.2499999999999999E-2</v>
      </c>
      <c r="D10" s="254"/>
      <c r="E10" s="255">
        <v>39448</v>
      </c>
      <c r="F10" s="256"/>
      <c r="G10" s="257">
        <f>F10</f>
        <v>0</v>
      </c>
      <c r="H10" s="258"/>
      <c r="I10" s="258"/>
      <c r="J10" s="258"/>
      <c r="K10" s="258">
        <f>J10</f>
        <v>0</v>
      </c>
      <c r="L10" s="258" t="s">
        <v>310</v>
      </c>
      <c r="M10" s="130">
        <v>0</v>
      </c>
      <c r="N10" s="130">
        <f>IF(I10&gt;B$12,IF(#REF!&lt;B$12,((B$12-#REF!)*C$10)+((I10-B$12)*C$12),((I10-B$12)*C$12)+((B$12-B$10)*C$10)-SUM(#REF!)),IF(I10&gt;B$10,((I10-B$10)*C$10)-SUM(#REF!),0))</f>
        <v>0</v>
      </c>
      <c r="O10" s="130">
        <f>IF(K10&gt;B$12,IF(K9&lt;B$12,((B$12-K9)*C$10)+((K10-B$12)*C$12),((K10-B$12)*C$12)+((B$12-B$10)*C$10)-SUM(O9:O$10)),IF(K10&gt;B$10,((K10-B$10)*C$10)-SUM(O9:O$10),0))</f>
        <v>0</v>
      </c>
      <c r="P10" s="259">
        <v>0</v>
      </c>
      <c r="Q10" s="260">
        <f t="shared" ref="Q10:Q21" si="0">O10+P10</f>
        <v>0</v>
      </c>
      <c r="R10" s="130">
        <v>0</v>
      </c>
      <c r="S10" s="131">
        <f t="shared" ref="S10:S21" si="1">+Q10-R10</f>
        <v>0</v>
      </c>
      <c r="T10" s="259"/>
      <c r="U10" s="261">
        <f t="shared" ref="U10:U21" si="2">Q10+T10</f>
        <v>0</v>
      </c>
      <c r="V10" s="130"/>
      <c r="W10" s="130"/>
      <c r="X10" s="130"/>
      <c r="Y10" s="151"/>
      <c r="Z10" s="151"/>
      <c r="AA10" s="151"/>
      <c r="AB10" s="151"/>
      <c r="AC10" s="151"/>
      <c r="AD10" s="151"/>
      <c r="AE10" s="151"/>
      <c r="AF10" s="151"/>
      <c r="AG10" s="151"/>
    </row>
    <row r="11" spans="1:33" s="9" customFormat="1" hidden="1">
      <c r="A11" s="22" t="s">
        <v>311</v>
      </c>
      <c r="B11" s="33"/>
      <c r="C11" s="262"/>
      <c r="D11" s="254"/>
      <c r="E11" s="255">
        <f>+E10+31</f>
        <v>39479</v>
      </c>
      <c r="F11" s="256"/>
      <c r="G11" s="257">
        <f>G10+F11</f>
        <v>0</v>
      </c>
      <c r="H11" s="258"/>
      <c r="I11" s="258"/>
      <c r="J11" s="258"/>
      <c r="K11" s="258">
        <f t="shared" ref="K11:K21" si="3">K10+J11</f>
        <v>0</v>
      </c>
      <c r="L11" s="258" t="s">
        <v>310</v>
      </c>
      <c r="M11" s="130">
        <f>IF(G11&gt;B$12,IF(#REF!&lt;B$12,((B$12-#REF!)*C$10)+((G11-B$12)*C$12),((G11-B$12)*C$12)+((B$12-B$10)*C$10)-#REF!),IF(G11&gt;B$10,((G11-B$10)*C$10)-#REF!,0))</f>
        <v>0</v>
      </c>
      <c r="N11" s="130">
        <f>IF(I11&gt;B$12,IF(I10&lt;B$12,((B$12-I10)*C$10)+((I11-B$12)*C$12),((I11-B$12)*C$12)+((B$12-B$10)*C$10)-SUM(N$10:N10)),IF(I11&gt;B$10,((I11-B$10)*C$10)-SUM(N$10:N10),0))</f>
        <v>0</v>
      </c>
      <c r="O11" s="130">
        <f>IF(K11&gt;B$12,IF(K10&lt;B$12,((B$12-K10)*C$10)+((K11-B$12)*C$12),((K11-B$12)*C$12)+((B$12-B$10)*C$10)-SUM(O$10:O10)),IF(K11&gt;B$10,((K11-B$10)*C$10)-SUM(O$10:O10),0))</f>
        <v>0</v>
      </c>
      <c r="P11" s="259">
        <v>0</v>
      </c>
      <c r="Q11" s="260">
        <f t="shared" si="0"/>
        <v>0</v>
      </c>
      <c r="R11" s="130">
        <v>0</v>
      </c>
      <c r="S11" s="131">
        <f t="shared" si="1"/>
        <v>0</v>
      </c>
      <c r="T11" s="259"/>
      <c r="U11" s="261">
        <f t="shared" si="2"/>
        <v>0</v>
      </c>
      <c r="V11" s="130"/>
      <c r="W11" s="130"/>
      <c r="X11" s="130"/>
      <c r="Y11" s="151"/>
      <c r="Z11" s="151"/>
      <c r="AA11" s="151"/>
      <c r="AB11" s="151"/>
      <c r="AC11" s="151"/>
      <c r="AD11" s="151"/>
      <c r="AE11" s="151"/>
      <c r="AF11" s="151"/>
      <c r="AG11" s="151"/>
    </row>
    <row r="12" spans="1:33" s="9" customFormat="1" hidden="1">
      <c r="A12" s="22" t="s">
        <v>312</v>
      </c>
      <c r="B12" s="252">
        <f>5209368.9*9/12+5427672*3/12</f>
        <v>5263944.6750000007</v>
      </c>
      <c r="C12" s="263">
        <v>2.5000000000000001E-2</v>
      </c>
      <c r="D12" s="254"/>
      <c r="E12" s="255">
        <f t="shared" ref="E12:E21" si="4">+E11+31</f>
        <v>39510</v>
      </c>
      <c r="F12" s="256"/>
      <c r="G12" s="257">
        <f t="shared" ref="G12:G21" si="5">G11+F12</f>
        <v>0</v>
      </c>
      <c r="H12" s="258"/>
      <c r="I12" s="258"/>
      <c r="J12" s="258"/>
      <c r="K12" s="258">
        <f t="shared" si="3"/>
        <v>0</v>
      </c>
      <c r="L12" s="258" t="s">
        <v>310</v>
      </c>
      <c r="M12" s="130">
        <f>IF(G12&gt;B$12,IF(#REF!&lt;B$12,((B$12-#REF!)*C$10)+((G12-B$12)*C$12),((G12-B$12)*C$12)+((B$12-B$10)*C$10)-#REF!),IF(G12&gt;B$10,((G12-B$10)*C$10)-#REF!,0))</f>
        <v>0</v>
      </c>
      <c r="N12" s="130">
        <f>IF(I12&gt;B$12,IF(I11&lt;B$12,((B$12-I11)*C$10)+((I12-B$12)*C$12),((I12-B$12)*C$12)+((B$12-B$10)*C$10)-SUM(N$10:N11)),IF(I12&gt;B$10,((I12-B$10)*C$10)-SUM(N$10:N11),0))</f>
        <v>0</v>
      </c>
      <c r="O12" s="130">
        <f>IF(K12&gt;B$12,IF(K11&lt;B$12,((B$12-K11)*C$10)+((K12-B$12)*C$12),((K12-B$12)*C$12)+((B$12-B$10)*C$10)-SUM(O$10:O11)),IF(K12&gt;B$10,((K12-B$10)*C$10)-SUM(O$10:O11),0))</f>
        <v>0</v>
      </c>
      <c r="P12" s="259">
        <v>0</v>
      </c>
      <c r="Q12" s="260">
        <f t="shared" si="0"/>
        <v>0</v>
      </c>
      <c r="R12" s="130">
        <v>0</v>
      </c>
      <c r="S12" s="131">
        <f t="shared" si="1"/>
        <v>0</v>
      </c>
      <c r="T12" s="259"/>
      <c r="U12" s="261">
        <f t="shared" si="2"/>
        <v>0</v>
      </c>
      <c r="V12" s="130"/>
      <c r="W12" s="130"/>
      <c r="X12" s="130"/>
      <c r="Y12" s="151"/>
      <c r="Z12" s="151"/>
      <c r="AA12" s="151"/>
      <c r="AB12" s="151"/>
      <c r="AC12" s="151"/>
      <c r="AD12" s="151"/>
      <c r="AE12" s="151"/>
      <c r="AF12" s="151"/>
      <c r="AG12" s="151"/>
    </row>
    <row r="13" spans="1:33" s="9" customFormat="1" hidden="1">
      <c r="A13" s="22"/>
      <c r="B13" s="33"/>
      <c r="C13" s="262"/>
      <c r="D13" s="254"/>
      <c r="E13" s="255">
        <f t="shared" si="4"/>
        <v>39541</v>
      </c>
      <c r="F13" s="256"/>
      <c r="G13" s="257">
        <f t="shared" si="5"/>
        <v>0</v>
      </c>
      <c r="H13" s="258"/>
      <c r="I13" s="258"/>
      <c r="J13" s="258"/>
      <c r="K13" s="258">
        <f t="shared" si="3"/>
        <v>0</v>
      </c>
      <c r="L13" s="258" t="s">
        <v>310</v>
      </c>
      <c r="M13" s="130">
        <f>IF(G13&gt;B$12,IF(#REF!&lt;B$12,((B$12-#REF!)*C$10)+((G13-B$12)*C$12),((G13-B$12)*C$12)+((B$12-B$10)*C$10)-#REF!),IF(G13&gt;B$10,((G13-B$10)*C$10)-#REF!,0))</f>
        <v>0</v>
      </c>
      <c r="N13" s="130">
        <f>IF(I13&gt;B$12,IF(I12&lt;B$12,((B$12-I12)*C$10)+((I13-B$12)*C$12),((I13-B$12)*C$12)+((B$12-B$10)*C$10)-SUM(N$10:N12)),IF(I13&gt;B$10,((I13-B$10)*C$10)-SUM(N$10:N12),0))</f>
        <v>0</v>
      </c>
      <c r="O13" s="130">
        <f>IF(K13&gt;B$12,IF(K12&lt;B$12,((B$12-K12)*C$10)+((K13-B$12)*C$12),((K13-B$12)*C$12)+((B$12-B$10)*C$10)-SUM(O$10:O12)),IF(K13&gt;B$10,((K13-B$10)*C$10)-SUM(O$10:O12),0))</f>
        <v>0</v>
      </c>
      <c r="P13" s="259">
        <v>0</v>
      </c>
      <c r="Q13" s="260">
        <f t="shared" si="0"/>
        <v>0</v>
      </c>
      <c r="R13" s="130">
        <v>0</v>
      </c>
      <c r="S13" s="131">
        <f t="shared" si="1"/>
        <v>0</v>
      </c>
      <c r="T13" s="259"/>
      <c r="U13" s="261">
        <f t="shared" si="2"/>
        <v>0</v>
      </c>
      <c r="V13" s="130"/>
      <c r="W13" s="130"/>
      <c r="X13" s="130"/>
      <c r="Y13" s="151"/>
      <c r="Z13" s="151"/>
      <c r="AA13" s="151"/>
      <c r="AB13" s="151"/>
      <c r="AC13" s="151"/>
      <c r="AD13" s="151"/>
      <c r="AE13" s="151"/>
      <c r="AF13" s="151"/>
      <c r="AG13" s="151"/>
    </row>
    <row r="14" spans="1:33" s="9" customFormat="1" hidden="1">
      <c r="A14" s="22"/>
      <c r="B14" s="33"/>
      <c r="C14" s="262"/>
      <c r="D14" s="254"/>
      <c r="E14" s="255">
        <f t="shared" si="4"/>
        <v>39572</v>
      </c>
      <c r="F14" s="256"/>
      <c r="G14" s="257">
        <f t="shared" si="5"/>
        <v>0</v>
      </c>
      <c r="H14" s="258"/>
      <c r="I14" s="258"/>
      <c r="J14" s="258"/>
      <c r="K14" s="258">
        <f t="shared" si="3"/>
        <v>0</v>
      </c>
      <c r="L14" s="258" t="s">
        <v>310</v>
      </c>
      <c r="M14" s="130">
        <f>IF(G14&gt;B$12,IF(#REF!&lt;B$12,((B$12-#REF!)*C$10)+((G14-B$12)*C$12),((G14-B$12)*C$12)+((B$12-B$10)*C$10)-#REF!),IF(G14&gt;B$10,((G14-B$10)*C$10)-#REF!,0))</f>
        <v>0</v>
      </c>
      <c r="N14" s="130">
        <f>IF(I14&gt;B$12,IF(I13&lt;B$12,((B$12-I13)*C$10)+((I14-B$12)*C$12),((I14-B$12)*C$12)+((B$12-B$10)*C$10)-SUM(N$10:N13)),IF(I14&gt;B$10,((I14-B$10)*C$10)-SUM(N$10:N13),0))</f>
        <v>0</v>
      </c>
      <c r="O14" s="130">
        <f>IF(K14&gt;B$12,IF(K13&lt;B$12,((B$12-K13)*C$10)+((K14-B$12)*C$12),((K14-B$12)*C$12)+((B$12-B$10)*C$10)-SUM(O$10:O13)),IF(K14&gt;B$10,((K14-B$10)*C$10)-SUM(O$10:O13),0))</f>
        <v>0</v>
      </c>
      <c r="P14" s="259">
        <v>0</v>
      </c>
      <c r="Q14" s="260">
        <f t="shared" si="0"/>
        <v>0</v>
      </c>
      <c r="R14" s="130">
        <v>0</v>
      </c>
      <c r="S14" s="131">
        <f t="shared" si="1"/>
        <v>0</v>
      </c>
      <c r="T14" s="259"/>
      <c r="U14" s="261">
        <f t="shared" si="2"/>
        <v>0</v>
      </c>
      <c r="V14" s="130"/>
      <c r="W14" s="130"/>
      <c r="X14" s="130"/>
      <c r="Y14" s="151"/>
      <c r="Z14" s="151"/>
      <c r="AA14" s="151"/>
      <c r="AB14" s="151"/>
      <c r="AC14" s="151"/>
      <c r="AD14" s="151"/>
      <c r="AE14" s="151"/>
      <c r="AF14" s="151"/>
      <c r="AG14" s="151"/>
    </row>
    <row r="15" spans="1:33" s="9" customFormat="1" hidden="1">
      <c r="A15" s="22"/>
      <c r="B15" s="33"/>
      <c r="C15" s="262"/>
      <c r="D15" s="254"/>
      <c r="E15" s="255">
        <f t="shared" si="4"/>
        <v>39603</v>
      </c>
      <c r="F15" s="256"/>
      <c r="G15" s="257">
        <f t="shared" si="5"/>
        <v>0</v>
      </c>
      <c r="H15" s="258"/>
      <c r="I15" s="258"/>
      <c r="J15" s="258"/>
      <c r="K15" s="258">
        <f t="shared" si="3"/>
        <v>0</v>
      </c>
      <c r="L15" s="258" t="s">
        <v>310</v>
      </c>
      <c r="M15" s="130">
        <f>IF(G15&gt;B$12,IF(#REF!&lt;B$12,((B$12-#REF!)*C$10)+((G15-B$12)*C$12),((G15-B$12)*C$12)+((B$12-B$10)*C$10)-#REF!),IF(G15&gt;B$10,((G15-B$10)*C$10)-#REF!,0))</f>
        <v>0</v>
      </c>
      <c r="N15" s="130">
        <f>IF(I15&gt;B$12,IF(I14&lt;B$12,((B$12-I14)*C$10)+((I15-B$12)*C$12),((I15-B$12)*C$12)+((B$12-B$10)*C$10)-SUM(N$10:N14)),IF(I15&gt;B$10,((I15-B$10)*C$10)-SUM(N$10:N14),0))</f>
        <v>0</v>
      </c>
      <c r="O15" s="130">
        <f>IF(K15&gt;B$12,IF(K14&lt;B$12,((B$12-K14)*C$10)+((K15-B$12)*C$12),((K15-B$12)*C$12)+((B$12-B$10)*C$10)-SUM(O$10:O14)),IF(K15&gt;B$10,((K15-B$10)*C$10)-SUM(O$10:O14),0))</f>
        <v>0</v>
      </c>
      <c r="P15" s="259">
        <v>0</v>
      </c>
      <c r="Q15" s="131">
        <f t="shared" si="0"/>
        <v>0</v>
      </c>
      <c r="R15" s="130">
        <v>0</v>
      </c>
      <c r="S15" s="131">
        <f t="shared" si="1"/>
        <v>0</v>
      </c>
      <c r="T15" s="259"/>
      <c r="U15" s="271">
        <f t="shared" si="2"/>
        <v>0</v>
      </c>
      <c r="V15" s="130"/>
      <c r="W15" s="130"/>
      <c r="X15" s="130"/>
      <c r="Y15" s="151"/>
      <c r="Z15" s="151"/>
      <c r="AA15" s="151"/>
      <c r="AB15" s="151"/>
      <c r="AC15" s="151"/>
      <c r="AD15" s="151"/>
      <c r="AE15" s="151"/>
      <c r="AF15" s="151"/>
      <c r="AG15" s="151"/>
    </row>
    <row r="16" spans="1:33" s="9" customFormat="1" hidden="1">
      <c r="A16" s="33"/>
      <c r="B16" s="33"/>
      <c r="C16" s="262"/>
      <c r="D16" s="254"/>
      <c r="E16" s="255">
        <f t="shared" si="4"/>
        <v>39634</v>
      </c>
      <c r="F16" s="256"/>
      <c r="G16" s="257">
        <f t="shared" si="5"/>
        <v>0</v>
      </c>
      <c r="H16" s="258"/>
      <c r="I16" s="258"/>
      <c r="J16" s="258"/>
      <c r="K16" s="258">
        <f t="shared" si="3"/>
        <v>0</v>
      </c>
      <c r="L16" s="258" t="s">
        <v>310</v>
      </c>
      <c r="M16" s="130">
        <v>0</v>
      </c>
      <c r="N16" s="130">
        <f>IF(I16&gt;B$12,IF(I15&lt;B$12,((B$12-I15)*C$10)+((I16-B$12)*C$12),((I16-B$12)*C$12)+((B$12-B$10)*C$10)-SUM(N$10:N15)),IF(I16&gt;B$10,((I16-B$10)*C$10)-SUM(N$10:N15),0))</f>
        <v>0</v>
      </c>
      <c r="O16" s="130">
        <f>IF(K16&gt;B$12,IF(K15&lt;B$12,((B$12-K15)*C$10)+((K16-B$12)*C$12),((K16-B$12)*C$12)+((B$12-B$10)*C$10)-SUM(O$10:O15)),IF(K16&gt;B$10,((K16-B$10)*C$10)-SUM(O$10:O15),0))</f>
        <v>0</v>
      </c>
      <c r="P16" s="259">
        <v>0</v>
      </c>
      <c r="Q16" s="131">
        <f t="shared" si="0"/>
        <v>0</v>
      </c>
      <c r="R16" s="130">
        <v>0</v>
      </c>
      <c r="S16" s="131">
        <f t="shared" si="1"/>
        <v>0</v>
      </c>
      <c r="T16" s="259"/>
      <c r="U16" s="271">
        <f t="shared" si="2"/>
        <v>0</v>
      </c>
      <c r="V16" s="130"/>
      <c r="W16" s="130"/>
      <c r="X16" s="130"/>
      <c r="Y16" s="151"/>
      <c r="Z16" s="151"/>
      <c r="AA16" s="151"/>
      <c r="AB16" s="151"/>
      <c r="AC16" s="151"/>
      <c r="AD16" s="151"/>
      <c r="AE16" s="151"/>
      <c r="AF16" s="151"/>
      <c r="AG16" s="151"/>
    </row>
    <row r="17" spans="1:21" s="9" customFormat="1" hidden="1">
      <c r="A17" s="22"/>
      <c r="B17" s="33"/>
      <c r="C17" s="262"/>
      <c r="D17" s="254"/>
      <c r="E17" s="255">
        <f t="shared" si="4"/>
        <v>39665</v>
      </c>
      <c r="F17" s="256"/>
      <c r="G17" s="257">
        <f t="shared" si="5"/>
        <v>0</v>
      </c>
      <c r="H17" s="258"/>
      <c r="I17" s="258"/>
      <c r="J17" s="258"/>
      <c r="K17" s="258">
        <f t="shared" si="3"/>
        <v>0</v>
      </c>
      <c r="L17" s="258" t="s">
        <v>310</v>
      </c>
      <c r="M17" s="130">
        <v>0</v>
      </c>
      <c r="N17" s="130">
        <f>IF(I17&gt;B$12,IF(I16&lt;B$12,((B$12-I16)*C$10)+((I17-B$12)*C$12),((I17-B$12)*C$12)+((B$12-B$10)*C$10)-SUM(N$10:N16)),IF(I17&gt;B$10,((I17-B$10)*C$10)-SUM(N$10:N16),0))</f>
        <v>0</v>
      </c>
      <c r="O17" s="130">
        <f>IF(K17&gt;B$12,IF(K16&lt;B$12,((B$12-K16)*C$10)+((K17-B$12)*C$12),((K17-B$12)*C$12)+((B$12-B$10)*C$10)-SUM(O$10:O16)),IF(K17&gt;B$10,((K17-B$10)*C$10)-SUM(O$10:O16),0))</f>
        <v>0</v>
      </c>
      <c r="P17" s="259">
        <v>0</v>
      </c>
      <c r="Q17" s="131">
        <f t="shared" si="0"/>
        <v>0</v>
      </c>
      <c r="R17" s="130">
        <v>0</v>
      </c>
      <c r="S17" s="131">
        <f t="shared" si="1"/>
        <v>0</v>
      </c>
      <c r="T17" s="259"/>
      <c r="U17" s="271">
        <f t="shared" si="2"/>
        <v>0</v>
      </c>
    </row>
    <row r="18" spans="1:21" s="9" customFormat="1" hidden="1">
      <c r="A18" s="382"/>
      <c r="B18" s="33"/>
      <c r="C18" s="262"/>
      <c r="D18" s="254"/>
      <c r="E18" s="255">
        <f t="shared" si="4"/>
        <v>39696</v>
      </c>
      <c r="F18" s="256"/>
      <c r="G18" s="257">
        <f t="shared" si="5"/>
        <v>0</v>
      </c>
      <c r="H18" s="274"/>
      <c r="I18" s="258"/>
      <c r="J18" s="258"/>
      <c r="K18" s="258">
        <f t="shared" si="3"/>
        <v>0</v>
      </c>
      <c r="L18" s="258" t="s">
        <v>310</v>
      </c>
      <c r="M18" s="130">
        <v>0</v>
      </c>
      <c r="N18" s="130">
        <f>IF(I18&gt;B$12,IF(I17&lt;B$12,((B$12-I17)*C$10)+((I18-B$12)*C$12),((I18-B$12)*C$12)+((B$12-B$10)*C$10)-SUM(N$10:N17)),IF(I18&gt;B$10,((I18-B$10)*C$10)-SUM(N$10:N17),0))</f>
        <v>0</v>
      </c>
      <c r="O18" s="130">
        <f>IF(K18&gt;B$12,IF(K17&lt;B$12,((B$12-K17)*C$10)+((K18-B$12)*C$12),((K18-B$12)*C$12)+((B$12-B$10)*C$10)-SUM(O$10:O17)),IF(K18&gt;B$10,((K18-B$10)*C$10)-SUM(O$10:O17),0))</f>
        <v>0</v>
      </c>
      <c r="P18" s="259">
        <v>0</v>
      </c>
      <c r="Q18" s="131">
        <f t="shared" si="0"/>
        <v>0</v>
      </c>
      <c r="R18" s="130">
        <v>0</v>
      </c>
      <c r="S18" s="131">
        <f t="shared" si="1"/>
        <v>0</v>
      </c>
      <c r="T18" s="259"/>
      <c r="U18" s="271">
        <f t="shared" si="2"/>
        <v>0</v>
      </c>
    </row>
    <row r="19" spans="1:21" s="9" customFormat="1" hidden="1">
      <c r="A19" s="22"/>
      <c r="B19" s="33"/>
      <c r="C19" s="262"/>
      <c r="D19" s="254"/>
      <c r="E19" s="255">
        <f t="shared" si="4"/>
        <v>39727</v>
      </c>
      <c r="F19" s="256"/>
      <c r="G19" s="257">
        <f t="shared" si="5"/>
        <v>0</v>
      </c>
      <c r="H19" s="274"/>
      <c r="I19" s="258"/>
      <c r="J19" s="258"/>
      <c r="K19" s="258">
        <f t="shared" si="3"/>
        <v>0</v>
      </c>
      <c r="L19" s="258" t="s">
        <v>310</v>
      </c>
      <c r="M19" s="130">
        <v>0</v>
      </c>
      <c r="N19" s="130">
        <f>IF(I19&gt;B$12,IF(I18&lt;B$12,((B$12-I18)*C$10)+((I19-B$12)*C$12),((I19-B$12)*C$12)+((B$12-B$10)*C$10)-SUM(N$10:N18)),IF(I19&gt;B$10,((I19-B$10)*C$10)-SUM(N$10:N18),0))</f>
        <v>0</v>
      </c>
      <c r="O19" s="130">
        <f>IF(K19&gt;B$12,IF(K18&lt;B$12,((B$12-K18)*C$10)+((K19-B$12)*C$12),((K19-B$12)*C$12)+((B$12-B$10)*C$10)-SUM(O$10:O18)),IF(K19&gt;B$10,((K19-B$10)*C$10)-SUM(O$10:O18),0))</f>
        <v>0</v>
      </c>
      <c r="P19" s="259">
        <v>0</v>
      </c>
      <c r="Q19" s="131">
        <f t="shared" si="0"/>
        <v>0</v>
      </c>
      <c r="R19" s="130">
        <v>0</v>
      </c>
      <c r="S19" s="131">
        <f t="shared" si="1"/>
        <v>0</v>
      </c>
      <c r="T19" s="259"/>
      <c r="U19" s="271">
        <f t="shared" si="2"/>
        <v>0</v>
      </c>
    </row>
    <row r="20" spans="1:21" s="9" customFormat="1" hidden="1">
      <c r="A20" s="22"/>
      <c r="B20" s="33"/>
      <c r="C20" s="262"/>
      <c r="D20" s="254"/>
      <c r="E20" s="255">
        <f t="shared" si="4"/>
        <v>39758</v>
      </c>
      <c r="F20" s="256"/>
      <c r="G20" s="257">
        <f t="shared" si="5"/>
        <v>0</v>
      </c>
      <c r="H20" s="289"/>
      <c r="I20" s="258"/>
      <c r="J20" s="258"/>
      <c r="K20" s="258">
        <f t="shared" si="3"/>
        <v>0</v>
      </c>
      <c r="L20" s="258" t="s">
        <v>310</v>
      </c>
      <c r="M20" s="130">
        <v>0</v>
      </c>
      <c r="N20" s="130">
        <f>IF(I20&gt;B$12,IF(I19&lt;B$12,((B$12-I19)*C$10)+((I20-B$12)*C$12),((I20-B$12)*C$12)+((B$12-B$10)*C$10)-SUM(N$10:N19)),IF(I20&gt;B$10,((I20-B$10)*C$10)-SUM(N$10:N19),0))</f>
        <v>0</v>
      </c>
      <c r="O20" s="130">
        <f>IF(K20&gt;B$12,IF(K19&lt;B$12,((B$12-K19)*C$10)+((K20-B$12)*C$12),((K20-B$12)*C$12)+((B$12-B$10)*C$10)-SUM(O$10:O19)),IF(K20&gt;B$10,((K20-B$10)*C$10)-SUM(O$10:O19),0))</f>
        <v>0</v>
      </c>
      <c r="P20" s="259">
        <v>0</v>
      </c>
      <c r="Q20" s="131">
        <f t="shared" si="0"/>
        <v>0</v>
      </c>
      <c r="R20" s="130">
        <v>0</v>
      </c>
      <c r="S20" s="131">
        <f t="shared" si="1"/>
        <v>0</v>
      </c>
      <c r="T20" s="259"/>
      <c r="U20" s="271">
        <f t="shared" si="2"/>
        <v>0</v>
      </c>
    </row>
    <row r="21" spans="1:21" s="9" customFormat="1" hidden="1">
      <c r="A21" s="22"/>
      <c r="B21" s="33"/>
      <c r="C21" s="262"/>
      <c r="D21" s="254"/>
      <c r="E21" s="255">
        <f t="shared" si="4"/>
        <v>39789</v>
      </c>
      <c r="F21" s="256"/>
      <c r="G21" s="257">
        <f t="shared" si="5"/>
        <v>0</v>
      </c>
      <c r="H21" s="289"/>
      <c r="I21" s="258"/>
      <c r="J21" s="264"/>
      <c r="K21" s="258">
        <f t="shared" si="3"/>
        <v>0</v>
      </c>
      <c r="L21" s="258" t="s">
        <v>310</v>
      </c>
      <c r="M21" s="130">
        <v>0</v>
      </c>
      <c r="N21" s="130">
        <f>IF(I21&gt;B$12,IF(I20&lt;B$12,((B$12-I20)*C$10)+((I21-B$12)*C$12),((I21-B$12)*C$12)+((B$12-B$10)*C$10)-SUM(N$10:N20)),IF(I21&gt;B$10,((I21-B$10)*C$10)-SUM(N$10:N20),0))</f>
        <v>0</v>
      </c>
      <c r="O21" s="130">
        <f>IF(K21&gt;B$12,IF(K20&lt;B$12,((B$12-K20)*C$10)+((K21-B$12)*C$12),((K21-B$12)*C$12)+((B$12-B$10)*C$10)-SUM(O$10:O20)),IF(K21&gt;B$10,((K21-B$10)*C$10)-SUM(O$10:O20),0))</f>
        <v>0</v>
      </c>
      <c r="P21" s="259">
        <v>0</v>
      </c>
      <c r="Q21" s="131">
        <f t="shared" si="0"/>
        <v>0</v>
      </c>
      <c r="R21" s="130">
        <v>0</v>
      </c>
      <c r="S21" s="131">
        <f t="shared" si="1"/>
        <v>0</v>
      </c>
      <c r="T21" s="259">
        <v>0</v>
      </c>
      <c r="U21" s="271">
        <f t="shared" si="2"/>
        <v>0</v>
      </c>
    </row>
    <row r="22" spans="1:21" s="3" customFormat="1" hidden="1">
      <c r="B22" s="252"/>
      <c r="C22" s="265"/>
      <c r="D22" s="265"/>
      <c r="E22" s="266" t="s">
        <v>147</v>
      </c>
      <c r="F22" s="267">
        <f>SUM(F10:F21)</f>
        <v>0</v>
      </c>
      <c r="G22" s="267"/>
      <c r="H22" s="268">
        <f>SUM(H10:H21)</f>
        <v>0</v>
      </c>
      <c r="I22" s="268"/>
      <c r="J22" s="268">
        <f>SUM(J10:J21)</f>
        <v>0</v>
      </c>
      <c r="K22" s="268"/>
      <c r="L22" s="268"/>
      <c r="M22" s="269">
        <f>SUBTOTAL(9,M10:M21)</f>
        <v>0</v>
      </c>
      <c r="N22" s="269">
        <f t="shared" ref="N22:U22" si="6">SUBTOTAL(9,N10:N21)</f>
        <v>0</v>
      </c>
      <c r="O22" s="269">
        <f>SUBTOTAL(9,O10:O21)</f>
        <v>0</v>
      </c>
      <c r="P22" s="269">
        <f t="shared" si="6"/>
        <v>0</v>
      </c>
      <c r="Q22" s="269">
        <f t="shared" si="6"/>
        <v>0</v>
      </c>
      <c r="R22" s="269">
        <f t="shared" si="6"/>
        <v>0</v>
      </c>
      <c r="S22" s="269">
        <f t="shared" si="6"/>
        <v>0</v>
      </c>
      <c r="T22" s="269">
        <f t="shared" si="6"/>
        <v>0</v>
      </c>
      <c r="U22" s="870">
        <f t="shared" si="6"/>
        <v>0</v>
      </c>
    </row>
    <row r="23" spans="1:21" s="9" customFormat="1" hidden="1">
      <c r="A23" s="22"/>
      <c r="B23" s="33"/>
      <c r="C23" s="262"/>
      <c r="D23" s="262"/>
      <c r="E23" s="255"/>
      <c r="F23" s="258"/>
      <c r="G23" s="258"/>
      <c r="H23" s="258"/>
      <c r="I23" s="258"/>
      <c r="J23" s="258"/>
      <c r="K23" s="258"/>
      <c r="L23" s="272"/>
      <c r="M23" s="130"/>
      <c r="N23" s="130"/>
      <c r="O23" s="212"/>
      <c r="P23" s="259"/>
      <c r="Q23" s="270"/>
      <c r="R23" s="130"/>
      <c r="S23" s="212"/>
      <c r="T23" s="259"/>
      <c r="U23" s="271"/>
    </row>
    <row r="24" spans="1:21" s="9" customFormat="1" hidden="1">
      <c r="A24" s="22"/>
      <c r="B24" s="33"/>
      <c r="C24" s="262"/>
      <c r="D24" s="262"/>
      <c r="E24" s="255"/>
      <c r="F24" s="258"/>
      <c r="G24" s="258"/>
      <c r="H24" s="258"/>
      <c r="I24" s="258"/>
      <c r="J24" s="258"/>
      <c r="K24" s="258"/>
      <c r="L24" s="272"/>
      <c r="M24" s="130"/>
      <c r="N24" s="130"/>
      <c r="O24" s="212"/>
      <c r="P24" s="259"/>
      <c r="Q24" s="270"/>
      <c r="R24" s="130"/>
      <c r="S24" s="212"/>
      <c r="T24" s="259"/>
      <c r="U24" s="271"/>
    </row>
    <row r="25" spans="1:21" s="9" customFormat="1">
      <c r="A25" s="3" t="s">
        <v>309</v>
      </c>
      <c r="B25" s="252">
        <v>5039981.4000000004</v>
      </c>
      <c r="C25" s="253">
        <v>2.2499999999999999E-2</v>
      </c>
      <c r="D25" s="254">
        <v>1</v>
      </c>
      <c r="E25" s="255">
        <v>39814</v>
      </c>
      <c r="F25" s="256">
        <v>681586</v>
      </c>
      <c r="G25" s="257">
        <f>F25</f>
        <v>681586</v>
      </c>
      <c r="H25" s="256">
        <v>681586</v>
      </c>
      <c r="I25" s="258">
        <f>+H25</f>
        <v>681586</v>
      </c>
      <c r="J25" s="258">
        <v>681586</v>
      </c>
      <c r="K25" s="258">
        <f>J25</f>
        <v>681586</v>
      </c>
      <c r="L25" s="258" t="s">
        <v>310</v>
      </c>
      <c r="M25" s="130">
        <v>0</v>
      </c>
      <c r="N25" s="130">
        <f>IF(I25&gt;B$12,IF(#REF!&lt;B$12,((B$12-#REF!)*C$10)+((I25-B$12)*C$12),((I25-B$12)*C$12)+((B$12-B$10)*C$10)-SUM(#REF!)),IF(I25&gt;B$10,((I25-B$10)*C$10)-SUM(#REF!),0))</f>
        <v>0</v>
      </c>
      <c r="O25" s="130">
        <f>IF(K25&gt;B$25,IF(K24&lt;B$27,((B$27-K24)*C$25)+((K25-B$27)*C$27),((K25-B$27)*C$27)+((B$27-B$25)*C$25)-SUM(O$25:O36)),IF(K25&gt;B$25,((K25-B$25)*C$25)-SUM(O$25:O36),0))</f>
        <v>0</v>
      </c>
      <c r="P25" s="259">
        <v>0</v>
      </c>
      <c r="Q25" s="260">
        <f t="shared" ref="Q25:Q36" si="7">O25+P25</f>
        <v>0</v>
      </c>
      <c r="R25" s="130">
        <v>0</v>
      </c>
      <c r="S25" s="131">
        <f t="shared" ref="S25:S36" si="8">+Q25-R25</f>
        <v>0</v>
      </c>
      <c r="T25" s="259"/>
      <c r="U25" s="261">
        <f t="shared" ref="U25:U36" si="9">Q25+T25</f>
        <v>0</v>
      </c>
    </row>
    <row r="26" spans="1:21" s="9" customFormat="1">
      <c r="A26" s="22" t="s">
        <v>313</v>
      </c>
      <c r="B26" s="33"/>
      <c r="C26" s="262"/>
      <c r="D26" s="254">
        <v>2</v>
      </c>
      <c r="E26" s="255">
        <f>+E25+31</f>
        <v>39845</v>
      </c>
      <c r="F26" s="256">
        <v>887433</v>
      </c>
      <c r="G26" s="257">
        <f>G25+F26</f>
        <v>1569019</v>
      </c>
      <c r="H26" s="256">
        <v>882921</v>
      </c>
      <c r="I26" s="258">
        <f>+I25+H26</f>
        <v>1564507</v>
      </c>
      <c r="J26" s="258">
        <v>882921</v>
      </c>
      <c r="K26" s="258">
        <f t="shared" ref="K26:K36" si="10">K25+J26</f>
        <v>1564507</v>
      </c>
      <c r="L26" s="258" t="s">
        <v>310</v>
      </c>
      <c r="M26" s="130">
        <f>IF(G26&gt;B$12,IF(#REF!&lt;B$12,((B$12-#REF!)*C$10)+((G26-B$12)*C$12),((G26-B$12)*C$12)+((B$12-B$10)*C$10)-#REF!),IF(G26&gt;B$10,((G26-B$10)*C$10)-#REF!,0))</f>
        <v>0</v>
      </c>
      <c r="N26" s="130">
        <f>IF(I26&gt;B$12,IF(I25&lt;B$12,((B$12-I25)*C$10)+((I26-B$12)*C$12),((I26-B$12)*C$12)+((B$12-B$10)*C$10)-SUM(N$10:N25)),IF(I26&gt;B$10,((I26-B$10)*C$10)-SUM(N$10:N25),0))</f>
        <v>0</v>
      </c>
      <c r="O26" s="130">
        <f>IF(K26&gt;B$25,IF(K25&lt;B$27,((B$27-K25)*C$25)+((K26-B$27)*C$27),((K26-B$27)*C$27)+((B$27-B$25)*C$25)-SUM(O$25:O37)),IF(K26&gt;B$25,((K26-B$25)*C$25)-SUM(O$25:O37),0))</f>
        <v>0</v>
      </c>
      <c r="P26" s="259">
        <v>0</v>
      </c>
      <c r="Q26" s="260">
        <f t="shared" si="7"/>
        <v>0</v>
      </c>
      <c r="R26" s="130">
        <v>0</v>
      </c>
      <c r="S26" s="131">
        <f t="shared" si="8"/>
        <v>0</v>
      </c>
      <c r="T26" s="259"/>
      <c r="U26" s="261">
        <f t="shared" si="9"/>
        <v>0</v>
      </c>
    </row>
    <row r="27" spans="1:21" s="9" customFormat="1">
      <c r="A27" s="22" t="s">
        <v>312</v>
      </c>
      <c r="B27" s="252">
        <v>5427672</v>
      </c>
      <c r="C27" s="263">
        <v>2.5000000000000001E-2</v>
      </c>
      <c r="D27" s="254">
        <v>3</v>
      </c>
      <c r="E27" s="255">
        <f t="shared" ref="E27:E36" si="11">+E26+31</f>
        <v>39876</v>
      </c>
      <c r="F27" s="256">
        <v>721548</v>
      </c>
      <c r="G27" s="257">
        <f t="shared" ref="G27:G36" si="12">G26+F27</f>
        <v>2290567</v>
      </c>
      <c r="H27" s="256">
        <v>676267</v>
      </c>
      <c r="I27" s="258">
        <f t="shared" ref="I27:I36" si="13">+I26+H27</f>
        <v>2240774</v>
      </c>
      <c r="J27" s="258">
        <v>676267</v>
      </c>
      <c r="K27" s="258">
        <f t="shared" si="10"/>
        <v>2240774</v>
      </c>
      <c r="L27" s="258" t="s">
        <v>310</v>
      </c>
      <c r="M27" s="130">
        <f>IF(G27&gt;B$12,IF(#REF!&lt;B$12,((B$12-#REF!)*C$10)+((G27-B$12)*C$12),((G27-B$12)*C$12)+((B$12-B$10)*C$10)-#REF!),IF(G27&gt;B$10,((G27-B$10)*C$10)-#REF!,0))</f>
        <v>0</v>
      </c>
      <c r="N27" s="130">
        <f>IF(I27&gt;B$12,IF(I26&lt;B$12,((B$12-I26)*C$10)+((I27-B$12)*C$12),((I27-B$12)*C$12)+((B$12-B$10)*C$10)-SUM(N$10:N26)),IF(I27&gt;B$10,((I27-B$10)*C$10)-SUM(N$10:N26),0))</f>
        <v>0</v>
      </c>
      <c r="O27" s="130">
        <f>IF(K27&gt;B$25,IF(K26&lt;B$27,((B$27-K26)*C$25)+((K27-B$27)*C$27),((K27-B$27)*C$27)+((B$27-B$25)*C$25)-SUM(O$25:O38)),IF(K27&gt;B$25,((K27-B$25)*C$25)-SUM(O$25:O38),0))</f>
        <v>0</v>
      </c>
      <c r="P27" s="259">
        <v>0</v>
      </c>
      <c r="Q27" s="260">
        <f t="shared" si="7"/>
        <v>0</v>
      </c>
      <c r="R27" s="130">
        <v>0</v>
      </c>
      <c r="S27" s="131">
        <f t="shared" si="8"/>
        <v>0</v>
      </c>
      <c r="T27" s="259"/>
      <c r="U27" s="261">
        <f t="shared" si="9"/>
        <v>0</v>
      </c>
    </row>
    <row r="28" spans="1:21" s="9" customFormat="1">
      <c r="A28" s="22"/>
      <c r="B28" s="33"/>
      <c r="C28" s="262"/>
      <c r="D28" s="254">
        <v>4</v>
      </c>
      <c r="E28" s="255">
        <f t="shared" si="11"/>
        <v>39907</v>
      </c>
      <c r="F28" s="256">
        <v>698054</v>
      </c>
      <c r="G28" s="257">
        <f t="shared" si="12"/>
        <v>2988621</v>
      </c>
      <c r="H28" s="256">
        <v>682679</v>
      </c>
      <c r="I28" s="258">
        <f t="shared" si="13"/>
        <v>2923453</v>
      </c>
      <c r="J28" s="258">
        <v>682679</v>
      </c>
      <c r="K28" s="258">
        <f t="shared" si="10"/>
        <v>2923453</v>
      </c>
      <c r="L28" s="258" t="s">
        <v>310</v>
      </c>
      <c r="M28" s="130">
        <f>IF(G28&gt;B$12,IF(#REF!&lt;B$12,((B$12-#REF!)*C$10)+((G28-B$12)*C$12),((G28-B$12)*C$12)+((B$12-B$10)*C$10)-#REF!),IF(G28&gt;B$10,((G28-B$10)*C$10)-#REF!,0))</f>
        <v>0</v>
      </c>
      <c r="N28" s="130">
        <f>IF(I28&gt;B$12,IF(I27&lt;B$12,((B$12-I27)*C$10)+((I28-B$12)*C$12),((I28-B$12)*C$12)+((B$12-B$10)*C$10)-SUM(N$10:N27)),IF(I28&gt;B$10,((I28-B$10)*C$10)-SUM(N$10:N27),0))</f>
        <v>0</v>
      </c>
      <c r="O28" s="130">
        <f>IF(K28&gt;B$25,IF(K27&lt;B$27,((B$27-K27)*C$25)+((K28-B$27)*C$27),((K28-B$27)*C$27)+((B$27-B$25)*C$25)-SUM(O$25:O39)),IF(K28&gt;B$25,((K28-B$25)*C$25)-SUM(O$25:O39),0))</f>
        <v>0</v>
      </c>
      <c r="P28" s="259">
        <v>0</v>
      </c>
      <c r="Q28" s="260">
        <f t="shared" si="7"/>
        <v>0</v>
      </c>
      <c r="R28" s="130">
        <v>0</v>
      </c>
      <c r="S28" s="131">
        <f t="shared" si="8"/>
        <v>0</v>
      </c>
      <c r="T28" s="259"/>
      <c r="U28" s="261">
        <f t="shared" si="9"/>
        <v>0</v>
      </c>
    </row>
    <row r="29" spans="1:21" s="9" customFormat="1">
      <c r="A29" s="22"/>
      <c r="B29" s="33"/>
      <c r="C29" s="262"/>
      <c r="D29" s="254">
        <v>5</v>
      </c>
      <c r="E29" s="255">
        <f t="shared" si="11"/>
        <v>39938</v>
      </c>
      <c r="F29" s="256">
        <v>862811</v>
      </c>
      <c r="G29" s="257">
        <f t="shared" si="12"/>
        <v>3851432</v>
      </c>
      <c r="H29" s="256">
        <v>858947</v>
      </c>
      <c r="I29" s="258">
        <f t="shared" si="13"/>
        <v>3782400</v>
      </c>
      <c r="J29" s="258">
        <v>858947</v>
      </c>
      <c r="K29" s="258">
        <f t="shared" si="10"/>
        <v>3782400</v>
      </c>
      <c r="L29" s="258" t="s">
        <v>310</v>
      </c>
      <c r="M29" s="130">
        <f>IF(G29&gt;B$12,IF(#REF!&lt;B$12,((B$12-#REF!)*C$10)+((G29-B$12)*C$12),((G29-B$12)*C$12)+((B$12-B$10)*C$10)-#REF!),IF(G29&gt;B$10,((G29-B$10)*C$10)-#REF!,0))</f>
        <v>0</v>
      </c>
      <c r="N29" s="130">
        <f>IF(I29&gt;B$12,IF(I28&lt;B$12,((B$12-I28)*C$10)+((I29-B$12)*C$12),((I29-B$12)*C$12)+((B$12-B$10)*C$10)-SUM(N$10:N28)),IF(I29&gt;B$10,((I29-B$10)*C$10)-SUM(N$10:N28),0))</f>
        <v>0</v>
      </c>
      <c r="O29" s="130">
        <f>IF(K29&gt;B$25,IF(K28&lt;B$27,((B$27-K28)*C$25)+((K29-B$27)*C$27),((K29-B$27)*C$27)+((B$27-B$25)*C$25)-SUM(O$25:O40)),IF(K29&gt;B$25,((K29-B$25)*C$25)-SUM(O$25:O40),0))</f>
        <v>0</v>
      </c>
      <c r="P29" s="259">
        <v>0</v>
      </c>
      <c r="Q29" s="260">
        <f t="shared" si="7"/>
        <v>0</v>
      </c>
      <c r="R29" s="130">
        <v>0</v>
      </c>
      <c r="S29" s="131">
        <f t="shared" si="8"/>
        <v>0</v>
      </c>
      <c r="T29" s="259"/>
      <c r="U29" s="261">
        <f t="shared" si="9"/>
        <v>0</v>
      </c>
    </row>
    <row r="30" spans="1:21" s="9" customFormat="1">
      <c r="A30" s="33"/>
      <c r="B30" s="33"/>
      <c r="C30" s="262"/>
      <c r="D30" s="254">
        <v>6</v>
      </c>
      <c r="E30" s="255">
        <f t="shared" si="11"/>
        <v>39969</v>
      </c>
      <c r="F30" s="256">
        <v>715035</v>
      </c>
      <c r="G30" s="257">
        <f t="shared" si="12"/>
        <v>4566467</v>
      </c>
      <c r="H30" s="256">
        <v>713614</v>
      </c>
      <c r="I30" s="258">
        <f t="shared" si="13"/>
        <v>4496014</v>
      </c>
      <c r="J30" s="258">
        <v>713614</v>
      </c>
      <c r="K30" s="258">
        <f t="shared" si="10"/>
        <v>4496014</v>
      </c>
      <c r="L30" s="258" t="s">
        <v>310</v>
      </c>
      <c r="M30" s="130">
        <f>IF(G30&gt;B$12,IF(#REF!&lt;B$12,((B$12-#REF!)*C$10)+((G30-B$12)*C$12),((G30-B$12)*C$12)+((B$12-B$10)*C$10)-#REF!),IF(G30&gt;B$10,((G30-B$10)*C$10)-#REF!,0))</f>
        <v>0</v>
      </c>
      <c r="N30" s="130">
        <f>IF(I30&gt;B$12,IF(I29&lt;B$12,((B$12-I29)*C$10)+((I30-B$12)*C$12),((I30-B$12)*C$12)+((B$12-B$10)*C$10)-SUM(N$10:N29)),IF(I30&gt;B$10,((I30-B$10)*C$10)-SUM(N$10:N29),0))</f>
        <v>0</v>
      </c>
      <c r="O30" s="130">
        <f>IF(K30&gt;B$25,IF(K29&lt;B$27,((B$27-K29)*C$25)+((K30-B$27)*C$27),((K30-B$27)*C$27)+((B$27-B$25)*C$25)-SUM(O$25:O41)),IF(K30&gt;B$25,((K30-B$25)*C$25)-SUM(O$25:O41),0))</f>
        <v>0</v>
      </c>
      <c r="P30" s="259">
        <v>0</v>
      </c>
      <c r="Q30" s="131">
        <f t="shared" si="7"/>
        <v>0</v>
      </c>
      <c r="R30" s="130">
        <v>0</v>
      </c>
      <c r="S30" s="131">
        <f t="shared" si="8"/>
        <v>0</v>
      </c>
      <c r="T30" s="259"/>
      <c r="U30" s="271">
        <f t="shared" si="9"/>
        <v>0</v>
      </c>
    </row>
    <row r="31" spans="1:21" s="9" customFormat="1">
      <c r="A31" s="33"/>
      <c r="B31" s="33"/>
      <c r="C31" s="262"/>
      <c r="D31" s="254">
        <v>7</v>
      </c>
      <c r="E31" s="255">
        <f t="shared" si="11"/>
        <v>40000</v>
      </c>
      <c r="F31" s="256">
        <v>732074</v>
      </c>
      <c r="G31" s="257">
        <f t="shared" si="12"/>
        <v>5298541</v>
      </c>
      <c r="H31" s="256">
        <v>695936</v>
      </c>
      <c r="I31" s="258">
        <f t="shared" si="13"/>
        <v>5191950</v>
      </c>
      <c r="J31" s="258">
        <v>695936</v>
      </c>
      <c r="K31" s="258">
        <f t="shared" si="10"/>
        <v>5191950</v>
      </c>
      <c r="L31" s="258" t="s">
        <v>310</v>
      </c>
      <c r="M31" s="130">
        <v>5817.6</v>
      </c>
      <c r="N31" s="130">
        <f>IF(I31&gt;B$27,IF(I30&lt;B$27,((B$27-I30)*C$25)+((I31-B$27)*C$27),((I31-B$27)*C$27)+((B$27-B$25)*C$25)-SUM(N$10:N30)),IF(I31&gt;B$25,((I31-B$25)*C$25)-SUM(N$10:N30),0))</f>
        <v>3419.2934999999916</v>
      </c>
      <c r="O31" s="130">
        <f>IF(K31&gt;B$27,IF(K30&lt;B$27,((B$27-K30)*C$25)+((K31-B$27)*C$27),((K31-B$27)*C$27)+((B$27-B$25)*C$25)-SUM(O$25:O30)),IF(K31&gt;B$25,((K31-B$25)*C$25)-SUM(O$25:O30),0))</f>
        <v>3419.2934999999916</v>
      </c>
      <c r="P31" s="259">
        <v>0</v>
      </c>
      <c r="Q31" s="131">
        <f t="shared" si="7"/>
        <v>3419.2934999999916</v>
      </c>
      <c r="R31" s="130">
        <v>0</v>
      </c>
      <c r="S31" s="131">
        <f t="shared" si="8"/>
        <v>3419.2934999999916</v>
      </c>
      <c r="T31" s="259"/>
      <c r="U31" s="271">
        <f t="shared" si="9"/>
        <v>3419.2934999999916</v>
      </c>
    </row>
    <row r="32" spans="1:21" s="9" customFormat="1">
      <c r="A32" s="33"/>
      <c r="B32" s="33"/>
      <c r="C32" s="262"/>
      <c r="D32" s="254">
        <v>8</v>
      </c>
      <c r="E32" s="255">
        <f t="shared" si="11"/>
        <v>40031</v>
      </c>
      <c r="F32" s="256">
        <v>914520</v>
      </c>
      <c r="G32" s="257">
        <f t="shared" si="12"/>
        <v>6213061</v>
      </c>
      <c r="H32" s="256">
        <v>858893</v>
      </c>
      <c r="I32" s="258">
        <f t="shared" si="13"/>
        <v>6050843</v>
      </c>
      <c r="J32" s="258">
        <v>858893</v>
      </c>
      <c r="K32" s="258">
        <f t="shared" si="10"/>
        <v>6050843</v>
      </c>
      <c r="L32" s="258" t="s">
        <v>310</v>
      </c>
      <c r="M32" s="130">
        <v>22540</v>
      </c>
      <c r="N32" s="130">
        <f>IF(I32&gt;B$27,IF(I31&lt;B$27,((B$27-I31)*C$25)+((I32-B$27)*C$27),((I32-B$27)*C$27)+((B$27-B$25)*C$25)-SUM(N$10:N31)),IF(I32&gt;B$25,((I32-B$25)*C$25)-SUM(N$10:N31),0))</f>
        <v>20883.02</v>
      </c>
      <c r="O32" s="130">
        <f>IF(K32&gt;B$27,IF(K31&lt;B$27,((B$27-K31)*C$25)+((K32-B$27)*C$27),((K32-B$27)*C$27)+((B$27-B$25)*C$25)-SUM(O$25:O31)),IF(K32&gt;B$25,((K32-B$25)*C$25)-SUM(O$25:O31),0))</f>
        <v>20883.02</v>
      </c>
      <c r="P32" s="259">
        <v>0</v>
      </c>
      <c r="Q32" s="131">
        <f t="shared" si="7"/>
        <v>20883.02</v>
      </c>
      <c r="R32" s="130">
        <v>0</v>
      </c>
      <c r="S32" s="131">
        <f t="shared" si="8"/>
        <v>20883.02</v>
      </c>
      <c r="T32" s="259"/>
      <c r="U32" s="271">
        <f t="shared" si="9"/>
        <v>20883.02</v>
      </c>
    </row>
    <row r="33" spans="1:21" s="9" customFormat="1">
      <c r="A33" s="382"/>
      <c r="B33" s="33"/>
      <c r="C33" s="262"/>
      <c r="D33" s="254">
        <v>9</v>
      </c>
      <c r="E33" s="255">
        <f t="shared" si="11"/>
        <v>40062</v>
      </c>
      <c r="F33" s="256">
        <v>702708</v>
      </c>
      <c r="G33" s="257">
        <f t="shared" si="12"/>
        <v>6915769</v>
      </c>
      <c r="H33" s="256">
        <v>691062</v>
      </c>
      <c r="I33" s="258">
        <f t="shared" si="13"/>
        <v>6741905</v>
      </c>
      <c r="J33" s="258">
        <v>691062</v>
      </c>
      <c r="K33" s="258">
        <f t="shared" si="10"/>
        <v>6741905</v>
      </c>
      <c r="L33" s="258" t="s">
        <v>310</v>
      </c>
      <c r="M33" s="130">
        <v>17567</v>
      </c>
      <c r="N33" s="130">
        <f>IF(I33&gt;B$27,IF(I32&lt;B$27,((B$27-I32)*C$25)+((I33-B$27)*C$27),((I33-B$27)*C$27)+((B$27-B$25)*C$25)-SUM(N$10:N32)),IF(I33&gt;B$25,((I33-B$25)*C$25)-SUM(N$10:N32),0))</f>
        <v>17276.55</v>
      </c>
      <c r="O33" s="130">
        <f>IF(K33&gt;B$27,IF(K32&lt;B$27,((B$27-K32)*C$25)+((K33-B$27)*C$27),((K33-B$27)*C$27)+((B$27-B$25)*C$25)-SUM(O$25:O32)),IF(K33&gt;B$25,((K33-B$25)*C$25)-SUM(O$25:O32),0))</f>
        <v>17276.55</v>
      </c>
      <c r="P33" s="259">
        <v>0</v>
      </c>
      <c r="Q33" s="131">
        <f t="shared" si="7"/>
        <v>17276.55</v>
      </c>
      <c r="R33" s="130">
        <v>0</v>
      </c>
      <c r="S33" s="131">
        <f t="shared" si="8"/>
        <v>17276.55</v>
      </c>
      <c r="T33" s="259"/>
      <c r="U33" s="271">
        <f t="shared" si="9"/>
        <v>17276.55</v>
      </c>
    </row>
    <row r="34" spans="1:21" s="9" customFormat="1">
      <c r="A34" s="22"/>
      <c r="B34" s="33"/>
      <c r="C34" s="262"/>
      <c r="D34" s="254">
        <v>10</v>
      </c>
      <c r="E34" s="255">
        <f t="shared" si="11"/>
        <v>40093</v>
      </c>
      <c r="F34" s="256">
        <v>700171</v>
      </c>
      <c r="G34" s="257">
        <f t="shared" si="12"/>
        <v>7615940</v>
      </c>
      <c r="H34" s="256">
        <v>663569</v>
      </c>
      <c r="I34" s="258">
        <f t="shared" si="13"/>
        <v>7405474</v>
      </c>
      <c r="J34" s="258">
        <v>663569</v>
      </c>
      <c r="K34" s="258">
        <f t="shared" si="10"/>
        <v>7405474</v>
      </c>
      <c r="L34" s="258" t="s">
        <v>310</v>
      </c>
      <c r="M34" s="130">
        <v>17505</v>
      </c>
      <c r="N34" s="130">
        <f>IF(I34&gt;B$27,IF(I33&lt;B$27,((B$27-I33)*C$25)+((I34-B$27)*C$27),((I34-B$27)*C$27)+((B$27-B$25)*C$25)-SUM(N$10:N33)),IF(I34&gt;B$25,((I34-B$25)*C$25)-SUM(N$10:N33),0))</f>
        <v>16589.225000000006</v>
      </c>
      <c r="O34" s="130">
        <f>IF(K34&gt;B$27,IF(K33&lt;B$27,((B$27-K33)*C$25)+((K34-B$27)*C$27),((K34-B$27)*C$27)+((B$27-B$25)*C$25)-SUM(O$25:O33)),IF(K34&gt;B$25,((K34-B$25)*C$25)-SUM(O$25:O33),0))</f>
        <v>16589.225000000006</v>
      </c>
      <c r="P34" s="259">
        <v>0</v>
      </c>
      <c r="Q34" s="131">
        <f t="shared" si="7"/>
        <v>16589.225000000006</v>
      </c>
      <c r="R34" s="130">
        <v>0</v>
      </c>
      <c r="S34" s="131">
        <f t="shared" si="8"/>
        <v>16589.225000000006</v>
      </c>
      <c r="T34" s="259"/>
      <c r="U34" s="271">
        <f t="shared" si="9"/>
        <v>16589.225000000006</v>
      </c>
    </row>
    <row r="35" spans="1:21" s="9" customFormat="1">
      <c r="A35" s="22"/>
      <c r="B35" s="33"/>
      <c r="C35" s="262"/>
      <c r="D35" s="254">
        <v>11</v>
      </c>
      <c r="E35" s="255">
        <f t="shared" si="11"/>
        <v>40124</v>
      </c>
      <c r="F35" s="256">
        <v>858899</v>
      </c>
      <c r="G35" s="257">
        <f t="shared" si="12"/>
        <v>8474839</v>
      </c>
      <c r="H35" s="256">
        <v>838527</v>
      </c>
      <c r="I35" s="258">
        <f t="shared" si="13"/>
        <v>8244001</v>
      </c>
      <c r="J35" s="258">
        <v>842221</v>
      </c>
      <c r="K35" s="258">
        <f t="shared" si="10"/>
        <v>8247695</v>
      </c>
      <c r="L35" s="258" t="s">
        <v>310</v>
      </c>
      <c r="M35" s="130">
        <v>21472</v>
      </c>
      <c r="N35" s="130">
        <f>IF(I35&gt;B$27,IF(I34&lt;B$27,((B$27-I34)*C$25)+((I35-B$27)*C$27),((I35-B$27)*C$27)+((B$27-B$25)*C$25)-SUM(N$10:N34)),IF(I35&gt;B$25,((I35-B$25)*C$25)-SUM(N$10:N34),0))</f>
        <v>20963.175000000003</v>
      </c>
      <c r="O35" s="130">
        <f>IF(K35&gt;B$27,IF(K34&lt;B$27,((B$27-K34)*C$25)+((K35-B$27)*C$27),((K35-B$27)*C$27)+((B$27-B$25)*C$25)-SUM(O$25:O34)),IF(K35&gt;B$25,((K35-B$25)*C$25)-SUM(O$25:O34),0))</f>
        <v>21055.524999999994</v>
      </c>
      <c r="P35" s="259">
        <v>0</v>
      </c>
      <c r="Q35" s="131">
        <f t="shared" si="7"/>
        <v>21055.524999999994</v>
      </c>
      <c r="R35" s="130">
        <v>0</v>
      </c>
      <c r="S35" s="131">
        <f t="shared" si="8"/>
        <v>21055.524999999994</v>
      </c>
      <c r="T35" s="259"/>
      <c r="U35" s="271">
        <f t="shared" si="9"/>
        <v>21055.524999999994</v>
      </c>
    </row>
    <row r="36" spans="1:21" s="9" customFormat="1">
      <c r="A36" s="22"/>
      <c r="B36" s="33"/>
      <c r="C36" s="262"/>
      <c r="D36" s="254">
        <v>12</v>
      </c>
      <c r="E36" s="255">
        <f t="shared" si="11"/>
        <v>40155</v>
      </c>
      <c r="F36" s="256">
        <v>735319</v>
      </c>
      <c r="G36" s="257">
        <f t="shared" si="12"/>
        <v>9210158</v>
      </c>
      <c r="H36" s="256">
        <v>728694</v>
      </c>
      <c r="I36" s="258">
        <f t="shared" si="13"/>
        <v>8972695</v>
      </c>
      <c r="J36" s="264">
        <v>710878</v>
      </c>
      <c r="K36" s="258">
        <f t="shared" si="10"/>
        <v>8958573</v>
      </c>
      <c r="L36" s="258" t="s">
        <v>310</v>
      </c>
      <c r="M36" s="130">
        <v>18383</v>
      </c>
      <c r="N36" s="130">
        <f>IF(I36&gt;B$27,IF(I35&lt;B$27,((B$27-I35)*C$25)+((I36-B$27)*C$27),((I36-B$27)*C$27)+((B$27-B$25)*C$25)-SUM(N$10:N35)),IF(I36&gt;B$25,((I36-B$25)*C$25)-SUM(N$10:N35),0))</f>
        <v>18217.350000000006</v>
      </c>
      <c r="O36" s="130">
        <f>IF(K36&gt;B$27,IF(K35&lt;B$27,((B$27-K35)*C$25)+((K36-B$27)*C$27),((K36-B$27)*C$27)+((B$27-B$25)*C$25)-SUM(O$25:O35)),IF(K36&gt;B$25,((K36-B$25)*C$25)-SUM(O$25:O35),0))</f>
        <v>17771.950000000012</v>
      </c>
      <c r="P36" s="259">
        <v>0</v>
      </c>
      <c r="Q36" s="131">
        <f t="shared" si="7"/>
        <v>17771.950000000012</v>
      </c>
      <c r="R36" s="130">
        <v>96995.57</v>
      </c>
      <c r="S36" s="131">
        <f t="shared" si="8"/>
        <v>-79223.62</v>
      </c>
      <c r="T36" s="259"/>
      <c r="U36" s="271">
        <f t="shared" si="9"/>
        <v>17771.950000000012</v>
      </c>
    </row>
    <row r="37" spans="1:21" s="3" customFormat="1">
      <c r="B37" s="252"/>
      <c r="C37" s="265"/>
      <c r="D37" s="265"/>
      <c r="E37" s="266" t="s">
        <v>147</v>
      </c>
      <c r="F37" s="267">
        <f>SUM(F25:F36)</f>
        <v>9210158</v>
      </c>
      <c r="G37" s="267"/>
      <c r="H37" s="268">
        <f>SUM(H25:H36)</f>
        <v>8972695</v>
      </c>
      <c r="I37" s="268"/>
      <c r="J37" s="268">
        <f>SUM(J25:J36)</f>
        <v>8958573</v>
      </c>
      <c r="K37" s="268"/>
      <c r="L37" s="268"/>
      <c r="M37" s="269">
        <f t="shared" ref="M37:U37" si="14">SUBTOTAL(9,M25:M36)</f>
        <v>103284.6</v>
      </c>
      <c r="N37" s="269">
        <f t="shared" si="14"/>
        <v>97348.613500000007</v>
      </c>
      <c r="O37" s="269">
        <f t="shared" si="14"/>
        <v>96995.563500000004</v>
      </c>
      <c r="P37" s="269">
        <f t="shared" si="14"/>
        <v>0</v>
      </c>
      <c r="Q37" s="269">
        <f t="shared" si="14"/>
        <v>96995.563500000004</v>
      </c>
      <c r="R37" s="269">
        <f t="shared" si="14"/>
        <v>96995.57</v>
      </c>
      <c r="S37" s="269">
        <f t="shared" si="14"/>
        <v>-6.5000000031432137E-3</v>
      </c>
      <c r="T37" s="269">
        <f t="shared" si="14"/>
        <v>0</v>
      </c>
      <c r="U37" s="872">
        <f t="shared" si="14"/>
        <v>96995.563500000004</v>
      </c>
    </row>
    <row r="38" spans="1:21" s="9" customFormat="1">
      <c r="A38" s="22"/>
      <c r="B38" s="33"/>
      <c r="C38" s="262"/>
      <c r="D38" s="262"/>
      <c r="E38" s="255"/>
      <c r="F38" s="258"/>
      <c r="G38" s="258"/>
      <c r="H38" s="258"/>
      <c r="I38" s="258"/>
      <c r="J38" s="258"/>
      <c r="K38" s="258"/>
      <c r="L38" s="258"/>
      <c r="M38" s="130"/>
      <c r="N38" s="130"/>
      <c r="O38" s="212"/>
      <c r="P38" s="259"/>
      <c r="Q38" s="270"/>
      <c r="R38" s="130"/>
      <c r="S38" s="212"/>
      <c r="T38" s="259"/>
      <c r="U38" s="271"/>
    </row>
    <row r="39" spans="1:21" s="9" customFormat="1">
      <c r="A39" s="22"/>
      <c r="B39" s="33"/>
      <c r="C39" s="262"/>
      <c r="D39" s="262"/>
      <c r="E39" s="255"/>
      <c r="F39" s="258"/>
      <c r="G39" s="258"/>
      <c r="H39" s="258"/>
      <c r="I39" s="258"/>
      <c r="J39" s="258"/>
      <c r="K39" s="258"/>
      <c r="L39" s="258"/>
      <c r="M39" s="130"/>
      <c r="N39" s="130"/>
      <c r="O39" s="212"/>
      <c r="P39" s="259"/>
      <c r="Q39" s="270"/>
      <c r="R39" s="130"/>
      <c r="S39" s="212"/>
      <c r="T39" s="259"/>
      <c r="U39" s="271"/>
    </row>
    <row r="40" spans="1:21" s="9" customFormat="1" hidden="1">
      <c r="A40" s="3" t="s">
        <v>106</v>
      </c>
      <c r="B40" s="252">
        <v>3333332</v>
      </c>
      <c r="C40" s="253">
        <v>0.03</v>
      </c>
      <c r="D40" s="254"/>
      <c r="E40" s="255">
        <v>39455</v>
      </c>
      <c r="F40" s="256"/>
      <c r="G40" s="257"/>
      <c r="H40" s="258"/>
      <c r="I40" s="258"/>
      <c r="J40" s="258"/>
      <c r="K40" s="258"/>
      <c r="L40" s="258" t="s">
        <v>310</v>
      </c>
      <c r="M40" s="130">
        <f>IF(F40&gt;$B$40,($F$40-B40)*$C$40,0)</f>
        <v>0</v>
      </c>
      <c r="N40" s="130">
        <f>IF(H40&gt;$B$40,($H$40-C40)*$C$40,0)</f>
        <v>0</v>
      </c>
      <c r="O40" s="130">
        <f>IF(J40&gt;$B$40,($J$40-B40)*$C$40,0)</f>
        <v>0</v>
      </c>
      <c r="P40" s="259">
        <v>0</v>
      </c>
      <c r="Q40" s="131">
        <f>O40+P40</f>
        <v>0</v>
      </c>
      <c r="R40" s="130">
        <v>0</v>
      </c>
      <c r="S40" s="131">
        <f>+Q40-R40</f>
        <v>0</v>
      </c>
      <c r="T40" s="259"/>
      <c r="U40" s="271">
        <f>Q40+T40</f>
        <v>0</v>
      </c>
    </row>
    <row r="41" spans="1:21" s="9" customFormat="1" hidden="1">
      <c r="A41" s="22" t="s">
        <v>311</v>
      </c>
      <c r="B41" s="33"/>
      <c r="C41" s="262"/>
      <c r="D41" s="254"/>
      <c r="E41" s="255">
        <f>+E40+31</f>
        <v>39486</v>
      </c>
      <c r="F41" s="256"/>
      <c r="G41" s="273"/>
      <c r="H41" s="258"/>
      <c r="I41" s="258"/>
      <c r="J41" s="258"/>
      <c r="K41" s="258"/>
      <c r="L41" s="258" t="s">
        <v>310</v>
      </c>
      <c r="M41" s="130">
        <f>IF(SUM($F$40:F41)&gt;$B$40,(SUM($F$40:F41)-$B$40)*$C$40,0)-SUM($M$40:M40)</f>
        <v>0</v>
      </c>
      <c r="N41" s="130">
        <f>IF(SUM($H$40:H41)&gt;$B$40,(SUM($H$40:H41)-$B$40)*$C$40,0)-SUM($N$40:N40)</f>
        <v>0</v>
      </c>
      <c r="O41" s="130">
        <f>IF(SUM($J$40:J41)&gt;$B$40,(SUM($J$40:J41)-$B$40)*$C$40,0)-SUM($O$40:O40)</f>
        <v>0</v>
      </c>
      <c r="P41" s="259">
        <v>0</v>
      </c>
      <c r="Q41" s="131">
        <f t="shared" ref="Q41:Q51" si="15">O41+P41</f>
        <v>0</v>
      </c>
      <c r="R41" s="130">
        <v>0</v>
      </c>
      <c r="S41" s="131">
        <f>+Q41-R41</f>
        <v>0</v>
      </c>
      <c r="T41" s="259"/>
      <c r="U41" s="271">
        <f t="shared" ref="U41:U51" si="16">Q41+T41</f>
        <v>0</v>
      </c>
    </row>
    <row r="42" spans="1:21" s="9" customFormat="1" hidden="1">
      <c r="A42" s="22" t="s">
        <v>312</v>
      </c>
      <c r="B42" s="33"/>
      <c r="C42" s="262"/>
      <c r="D42" s="254"/>
      <c r="E42" s="255">
        <f t="shared" ref="E42:E51" si="17">+E41+31</f>
        <v>39517</v>
      </c>
      <c r="F42" s="256"/>
      <c r="G42" s="273"/>
      <c r="H42" s="258"/>
      <c r="I42" s="258"/>
      <c r="J42" s="258"/>
      <c r="K42" s="258"/>
      <c r="L42" s="258" t="s">
        <v>310</v>
      </c>
      <c r="M42" s="130">
        <f>IF(SUM($F$40:F42)&gt;$B$40,(SUM($F$40:F42)-$B$40)*$C$40,0)-SUM($M$40:M41)</f>
        <v>0</v>
      </c>
      <c r="N42" s="130">
        <f>IF(SUM($H$40:H42)&gt;$B$40,(SUM($H$40:H42)-$B$40)*$C$40,0)-SUM($N$40:N41)</f>
        <v>0</v>
      </c>
      <c r="O42" s="130">
        <f>IF(SUM($J$40:J42)&gt;$B$40,(SUM($J$40:J42)-$B$40)*$C$40,0)-SUM($O$40:O41)</f>
        <v>0</v>
      </c>
      <c r="P42" s="259">
        <v>0</v>
      </c>
      <c r="Q42" s="131">
        <f t="shared" si="15"/>
        <v>0</v>
      </c>
      <c r="R42" s="130">
        <v>0</v>
      </c>
      <c r="S42" s="131">
        <f>+Q42-R42</f>
        <v>0</v>
      </c>
      <c r="T42" s="259"/>
      <c r="U42" s="271">
        <f t="shared" si="16"/>
        <v>0</v>
      </c>
    </row>
    <row r="43" spans="1:21" s="9" customFormat="1" hidden="1">
      <c r="A43" s="22"/>
      <c r="B43" s="33"/>
      <c r="C43" s="262"/>
      <c r="D43" s="254"/>
      <c r="E43" s="255">
        <f t="shared" si="17"/>
        <v>39548</v>
      </c>
      <c r="F43" s="256"/>
      <c r="G43" s="273"/>
      <c r="H43" s="258"/>
      <c r="I43" s="258"/>
      <c r="J43" s="258"/>
      <c r="K43" s="258"/>
      <c r="L43" s="258" t="s">
        <v>310</v>
      </c>
      <c r="M43" s="130">
        <f>IF(SUM($F$40:F43)&gt;$B$40,(SUM($F$40:F43)-$B$40)*$C$40,0)-SUM($M$40:M42)</f>
        <v>0</v>
      </c>
      <c r="N43" s="130">
        <f>IF(SUM($H$40:H43)&gt;$B$40,(SUM($H$40:H43)-$B$40)*$C$40,0)-SUM($N$40:N42)</f>
        <v>0</v>
      </c>
      <c r="O43" s="130">
        <f>IF(SUM($J$40:J43)&gt;$B$40,(SUM($J$40:J43)-$B$40)*$C$40,0)-SUM($O$40:O42)</f>
        <v>0</v>
      </c>
      <c r="P43" s="259">
        <v>0</v>
      </c>
      <c r="Q43" s="131">
        <f t="shared" si="15"/>
        <v>0</v>
      </c>
      <c r="R43" s="130">
        <v>0</v>
      </c>
      <c r="S43" s="131">
        <f>+Q43-R43</f>
        <v>0</v>
      </c>
      <c r="T43" s="259"/>
      <c r="U43" s="271">
        <f t="shared" si="16"/>
        <v>0</v>
      </c>
    </row>
    <row r="44" spans="1:21" s="9" customFormat="1" hidden="1">
      <c r="A44" s="22"/>
      <c r="B44" s="33"/>
      <c r="C44" s="262"/>
      <c r="D44" s="254"/>
      <c r="E44" s="255">
        <f t="shared" si="17"/>
        <v>39579</v>
      </c>
      <c r="F44" s="256"/>
      <c r="G44" s="273"/>
      <c r="H44" s="258"/>
      <c r="I44" s="258"/>
      <c r="J44" s="258"/>
      <c r="K44" s="258"/>
      <c r="L44" s="258" t="s">
        <v>310</v>
      </c>
      <c r="M44" s="130">
        <f>IF(SUM($F$40:F44)&gt;$B$40,(SUM($F$40:F44)-$B$40)*$C$40,0)-SUM($M$40:M43)</f>
        <v>0</v>
      </c>
      <c r="N44" s="130">
        <f>IF(SUM($H$40:H44)&gt;$B$40,(SUM($H$40:H44)-$B$40)*$C$40,0)-SUM($N$40:N43)</f>
        <v>0</v>
      </c>
      <c r="O44" s="130">
        <f>IF(SUM($J$40:J44)&gt;$B$40,(SUM($J$40:J44)-$B$40)*$C$40,0)-SUM($O$40:O43)</f>
        <v>0</v>
      </c>
      <c r="P44" s="259">
        <v>0</v>
      </c>
      <c r="Q44" s="131">
        <f t="shared" si="15"/>
        <v>0</v>
      </c>
      <c r="R44" s="130">
        <v>0</v>
      </c>
      <c r="S44" s="131">
        <f t="shared" ref="S44:S51" si="18">+Q44-R44</f>
        <v>0</v>
      </c>
      <c r="T44" s="259"/>
      <c r="U44" s="271">
        <f t="shared" si="16"/>
        <v>0</v>
      </c>
    </row>
    <row r="45" spans="1:21" s="9" customFormat="1" hidden="1">
      <c r="A45" s="22"/>
      <c r="B45" s="33"/>
      <c r="C45" s="262"/>
      <c r="D45" s="254"/>
      <c r="E45" s="255">
        <f t="shared" si="17"/>
        <v>39610</v>
      </c>
      <c r="F45" s="256"/>
      <c r="G45" s="273"/>
      <c r="H45" s="258"/>
      <c r="I45" s="258"/>
      <c r="J45" s="258"/>
      <c r="K45" s="258"/>
      <c r="L45" s="258" t="s">
        <v>310</v>
      </c>
      <c r="M45" s="130">
        <f>IF(SUM($F$40:F45)&gt;$B$40,(SUM($F$40:F45)-$B$40)*$C$40,0)-SUM($M$40:M44)</f>
        <v>0</v>
      </c>
      <c r="N45" s="130">
        <f>IF(SUM($H$40:H45)&gt;$B$40,(SUM($H$40:H45)-$B$40)*$C$40,0)-SUM($N$40:N44)</f>
        <v>0</v>
      </c>
      <c r="O45" s="130">
        <f>IF(SUM($J$40:J45)&gt;$B$40,(SUM($J$40:J45)-$B$40)*$C$40,0)-SUM($O$40:O44)</f>
        <v>0</v>
      </c>
      <c r="P45" s="259">
        <v>0</v>
      </c>
      <c r="Q45" s="131">
        <f t="shared" si="15"/>
        <v>0</v>
      </c>
      <c r="R45" s="130">
        <v>0</v>
      </c>
      <c r="S45" s="131">
        <f t="shared" si="18"/>
        <v>0</v>
      </c>
      <c r="T45" s="259"/>
      <c r="U45" s="271">
        <f t="shared" si="16"/>
        <v>0</v>
      </c>
    </row>
    <row r="46" spans="1:21" s="9" customFormat="1" hidden="1">
      <c r="A46" s="22"/>
      <c r="B46" s="33"/>
      <c r="C46" s="262"/>
      <c r="D46" s="254"/>
      <c r="E46" s="255">
        <f t="shared" si="17"/>
        <v>39641</v>
      </c>
      <c r="F46" s="256"/>
      <c r="G46" s="273"/>
      <c r="H46" s="258"/>
      <c r="I46" s="258"/>
      <c r="J46" s="258"/>
      <c r="K46" s="258"/>
      <c r="L46" s="258" t="s">
        <v>310</v>
      </c>
      <c r="M46" s="130">
        <f>IF(SUM($F$40:F46)&gt;$B$40,(SUM($F$40:F46)-$B$40)*$C$40,0)-SUM($M$40:M45)</f>
        <v>0</v>
      </c>
      <c r="N46" s="130">
        <f>IF(SUM($H$40:H46)&gt;$B$40,(SUM($H$40:H46)-$B$40)*$C$40,0)-SUM($N$40:N45)</f>
        <v>0</v>
      </c>
      <c r="O46" s="130">
        <f>IF(SUM($J$40:J46)&gt;$B$40,(SUM($J$40:J46)-$B$40)*$C$40,0)-SUM($O$40:O45)</f>
        <v>0</v>
      </c>
      <c r="P46" s="259">
        <v>0</v>
      </c>
      <c r="Q46" s="131">
        <f t="shared" si="15"/>
        <v>0</v>
      </c>
      <c r="R46" s="130">
        <v>0</v>
      </c>
      <c r="S46" s="131">
        <f t="shared" si="18"/>
        <v>0</v>
      </c>
      <c r="T46" s="259"/>
      <c r="U46" s="271">
        <f t="shared" si="16"/>
        <v>0</v>
      </c>
    </row>
    <row r="47" spans="1:21" s="9" customFormat="1" hidden="1">
      <c r="A47" s="22"/>
      <c r="B47" s="33"/>
      <c r="C47" s="262"/>
      <c r="D47" s="254"/>
      <c r="E47" s="255">
        <f t="shared" si="17"/>
        <v>39672</v>
      </c>
      <c r="F47" s="256"/>
      <c r="G47" s="273"/>
      <c r="H47" s="258"/>
      <c r="I47" s="258"/>
      <c r="J47" s="258"/>
      <c r="K47" s="258"/>
      <c r="L47" s="258" t="s">
        <v>310</v>
      </c>
      <c r="M47" s="130">
        <f>IF(SUM($F$40:F47)&gt;$B$40,(SUM($F$40:F47)-$B$40)*$C$40,0)-SUM($M$40:M46)</f>
        <v>0</v>
      </c>
      <c r="N47" s="130">
        <f>IF(SUM($H$40:H47)&gt;$B$40,(SUM($H$40:H47)-$B$40)*$C$40,0)-SUM($N$40:N46)</f>
        <v>0</v>
      </c>
      <c r="O47" s="130">
        <f>IF(SUM($J$40:J47)&gt;$B$40,(SUM($J$40:J47)-$B$40)*$C$40,0)-SUM($O$40:O46)</f>
        <v>0</v>
      </c>
      <c r="P47" s="259">
        <v>0</v>
      </c>
      <c r="Q47" s="131">
        <f t="shared" si="15"/>
        <v>0</v>
      </c>
      <c r="R47" s="130">
        <v>0</v>
      </c>
      <c r="S47" s="131">
        <f t="shared" si="18"/>
        <v>0</v>
      </c>
      <c r="T47" s="259"/>
      <c r="U47" s="271">
        <f t="shared" si="16"/>
        <v>0</v>
      </c>
    </row>
    <row r="48" spans="1:21" s="9" customFormat="1" hidden="1">
      <c r="A48" s="22"/>
      <c r="B48" s="33"/>
      <c r="C48" s="262"/>
      <c r="D48" s="254"/>
      <c r="E48" s="255">
        <f t="shared" si="17"/>
        <v>39703</v>
      </c>
      <c r="F48" s="256"/>
      <c r="G48" s="273"/>
      <c r="H48" s="258"/>
      <c r="I48" s="258"/>
      <c r="J48" s="258"/>
      <c r="K48" s="258"/>
      <c r="L48" s="258" t="s">
        <v>310</v>
      </c>
      <c r="M48" s="130">
        <f>IF(SUM($F$40:F48)&gt;$B$40,(SUM($F$40:F48)-$B$40)*$C$40,0)-SUM($M$40:M47)</f>
        <v>0</v>
      </c>
      <c r="N48" s="130">
        <f>IF(SUM($H$40:H48)&gt;$B$40,(SUM($H$40:H48)-$B$40)*$C$40,0)-SUM($N$40:N47)</f>
        <v>0</v>
      </c>
      <c r="O48" s="130">
        <f>IF(SUM($J$40:J48)&gt;$B$40,(SUM($J$40:J48)-$B$40)*$C$40,0)-SUM($O$40:O47)</f>
        <v>0</v>
      </c>
      <c r="P48" s="259">
        <v>0</v>
      </c>
      <c r="Q48" s="131">
        <f t="shared" si="15"/>
        <v>0</v>
      </c>
      <c r="R48" s="130">
        <v>0</v>
      </c>
      <c r="S48" s="131">
        <f t="shared" si="18"/>
        <v>0</v>
      </c>
      <c r="T48" s="259"/>
      <c r="U48" s="271">
        <f t="shared" si="16"/>
        <v>0</v>
      </c>
    </row>
    <row r="49" spans="1:21" s="9" customFormat="1" hidden="1">
      <c r="A49" s="22"/>
      <c r="B49" s="33"/>
      <c r="C49" s="262"/>
      <c r="D49" s="254"/>
      <c r="E49" s="255">
        <f t="shared" si="17"/>
        <v>39734</v>
      </c>
      <c r="F49" s="256"/>
      <c r="G49" s="273"/>
      <c r="H49" s="274"/>
      <c r="I49" s="258"/>
      <c r="J49" s="258"/>
      <c r="K49" s="258"/>
      <c r="L49" s="258" t="s">
        <v>310</v>
      </c>
      <c r="M49" s="130">
        <f>IF(SUM($F$40:F49)&gt;$B$40,(SUM($F$40:F49)-$B$40)*$C$40,0)-SUM($M$40:M48)</f>
        <v>0</v>
      </c>
      <c r="N49" s="130">
        <f>IF(SUM($H$40:H49)&gt;$B$40,(SUM($H$40:H49)-$B$40)*$C$40,0)-SUM($N$40:N48)</f>
        <v>0</v>
      </c>
      <c r="O49" s="130">
        <f>IF(SUM($J$40:J49)&gt;$B$40,(SUM($J$40:J49)-$B$40)*$C$40,0)-SUM($O$40:O48)</f>
        <v>0</v>
      </c>
      <c r="P49" s="259">
        <v>0</v>
      </c>
      <c r="Q49" s="131">
        <f t="shared" si="15"/>
        <v>0</v>
      </c>
      <c r="R49" s="130">
        <v>0</v>
      </c>
      <c r="S49" s="131">
        <f t="shared" si="18"/>
        <v>0</v>
      </c>
      <c r="T49" s="259"/>
      <c r="U49" s="271">
        <f t="shared" si="16"/>
        <v>0</v>
      </c>
    </row>
    <row r="50" spans="1:21" s="9" customFormat="1" hidden="1">
      <c r="A50" s="22"/>
      <c r="B50" s="33"/>
      <c r="C50" s="262"/>
      <c r="D50" s="254"/>
      <c r="E50" s="255">
        <f t="shared" si="17"/>
        <v>39765</v>
      </c>
      <c r="F50" s="256"/>
      <c r="G50" s="273"/>
      <c r="H50" s="274"/>
      <c r="I50" s="258"/>
      <c r="J50" s="258"/>
      <c r="K50" s="258"/>
      <c r="L50" s="258" t="s">
        <v>310</v>
      </c>
      <c r="M50" s="130">
        <f>IF(SUM($F$40:F50)&gt;$B$40,(SUM($F$40:F50)-$B$40)*$C$40,0)-SUM($M$40:M49)</f>
        <v>0</v>
      </c>
      <c r="N50" s="130">
        <f>IF(SUM($H$40:H50)&gt;$B$40,(SUM($H$40:H50)-$B$40)*$C$40,0)-SUM($N$40:N49)</f>
        <v>0</v>
      </c>
      <c r="O50" s="130">
        <f>IF(SUM($J$40:J50)&gt;$B$40,(SUM($J$40:J50)-$B$40)*$C$40,0)-SUM($O$40:O49)</f>
        <v>0</v>
      </c>
      <c r="P50" s="259">
        <v>0</v>
      </c>
      <c r="Q50" s="131">
        <f t="shared" si="15"/>
        <v>0</v>
      </c>
      <c r="R50" s="130">
        <v>0</v>
      </c>
      <c r="S50" s="131">
        <f t="shared" si="18"/>
        <v>0</v>
      </c>
      <c r="T50" s="259"/>
      <c r="U50" s="271">
        <f t="shared" si="16"/>
        <v>0</v>
      </c>
    </row>
    <row r="51" spans="1:21" s="9" customFormat="1" hidden="1">
      <c r="A51" s="22"/>
      <c r="B51" s="33"/>
      <c r="C51" s="262"/>
      <c r="D51" s="254"/>
      <c r="E51" s="255">
        <f t="shared" si="17"/>
        <v>39796</v>
      </c>
      <c r="F51" s="256"/>
      <c r="G51" s="273"/>
      <c r="H51" s="274"/>
      <c r="I51" s="258"/>
      <c r="J51" s="264"/>
      <c r="K51" s="264"/>
      <c r="L51" s="258" t="s">
        <v>310</v>
      </c>
      <c r="M51" s="130">
        <f>IF(SUM($F$40:F51)&gt;$B$40,(SUM($F$40:F51)-$B$40)*$C$40,0)-SUM($M$40:M50)</f>
        <v>0</v>
      </c>
      <c r="N51" s="130">
        <f>IF(SUM($H$40:H51)&gt;$B$40,(SUM($H$40:H51)-$B$40)*$C$40,0)-SUM($N$40:N50)</f>
        <v>0</v>
      </c>
      <c r="O51" s="130">
        <f>IF(SUM($J$40:J51)&gt;$B$40,(SUM($J$40:J51)-$B$40)*$C$40,0)-SUM($O$40:O50)</f>
        <v>0</v>
      </c>
      <c r="P51" s="259">
        <v>0</v>
      </c>
      <c r="Q51" s="131">
        <f t="shared" si="15"/>
        <v>0</v>
      </c>
      <c r="R51" s="130">
        <v>0</v>
      </c>
      <c r="S51" s="131">
        <f t="shared" si="18"/>
        <v>0</v>
      </c>
      <c r="T51" s="259"/>
      <c r="U51" s="271">
        <f t="shared" si="16"/>
        <v>0</v>
      </c>
    </row>
    <row r="52" spans="1:21" s="3" customFormat="1" hidden="1">
      <c r="B52" s="252"/>
      <c r="C52" s="265"/>
      <c r="D52" s="265"/>
      <c r="E52" s="266" t="s">
        <v>147</v>
      </c>
      <c r="F52" s="268">
        <f>SUM(F40:F51)</f>
        <v>0</v>
      </c>
      <c r="G52" s="268"/>
      <c r="H52" s="268">
        <f>SUM(H40:H51)</f>
        <v>0</v>
      </c>
      <c r="I52" s="268"/>
      <c r="J52" s="268">
        <f>SUM(J40:J51)</f>
        <v>0</v>
      </c>
      <c r="K52" s="268"/>
      <c r="L52" s="268">
        <f>SUM(L40:L51)</f>
        <v>0</v>
      </c>
      <c r="M52" s="268">
        <f t="shared" ref="M52:U52" si="19">SUBTOTAL(9,M40:M51)</f>
        <v>0</v>
      </c>
      <c r="N52" s="268">
        <f t="shared" si="19"/>
        <v>0</v>
      </c>
      <c r="O52" s="268">
        <f t="shared" si="19"/>
        <v>0</v>
      </c>
      <c r="P52" s="268">
        <f t="shared" si="19"/>
        <v>0</v>
      </c>
      <c r="Q52" s="268">
        <f t="shared" si="19"/>
        <v>0</v>
      </c>
      <c r="R52" s="268">
        <f t="shared" si="19"/>
        <v>0</v>
      </c>
      <c r="S52" s="268">
        <f t="shared" si="19"/>
        <v>0</v>
      </c>
      <c r="T52" s="268">
        <f t="shared" si="19"/>
        <v>0</v>
      </c>
      <c r="U52" s="870">
        <f t="shared" si="19"/>
        <v>0</v>
      </c>
    </row>
    <row r="53" spans="1:21" s="3" customFormat="1" hidden="1">
      <c r="B53" s="252"/>
      <c r="C53" s="265"/>
      <c r="D53" s="265"/>
      <c r="E53" s="266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</row>
    <row r="54" spans="1:21" s="9" customFormat="1" hidden="1">
      <c r="A54" s="22"/>
      <c r="B54" s="33"/>
      <c r="C54" s="262"/>
      <c r="D54" s="262"/>
      <c r="E54" s="255"/>
      <c r="F54" s="258"/>
      <c r="G54" s="258"/>
      <c r="H54" s="258"/>
      <c r="I54" s="258"/>
      <c r="J54" s="258"/>
      <c r="K54" s="258"/>
      <c r="L54" s="258"/>
      <c r="M54" s="130"/>
      <c r="N54" s="130"/>
      <c r="O54" s="212"/>
      <c r="P54" s="259"/>
      <c r="Q54" s="270"/>
      <c r="R54" s="130"/>
      <c r="S54" s="212"/>
      <c r="T54" s="259"/>
      <c r="U54" s="271"/>
    </row>
    <row r="55" spans="1:21" s="9" customFormat="1" hidden="1">
      <c r="A55" s="3" t="s">
        <v>314</v>
      </c>
      <c r="B55" s="252">
        <v>600000</v>
      </c>
      <c r="C55" s="253">
        <v>0.06</v>
      </c>
      <c r="D55" s="254">
        <v>1</v>
      </c>
      <c r="E55" s="255">
        <v>39089</v>
      </c>
      <c r="F55" s="256"/>
      <c r="G55" s="273"/>
      <c r="H55" s="258"/>
      <c r="I55" s="258"/>
      <c r="J55" s="258"/>
      <c r="K55" s="258"/>
      <c r="L55" s="258" t="s">
        <v>310</v>
      </c>
      <c r="M55" s="130">
        <f>IF(F55&gt;$B$55,($F$55-B55)*$C$55,0)</f>
        <v>0</v>
      </c>
      <c r="N55" s="130">
        <f>IF(H55&gt;$B$55,($H$55-C55)*$C$55,0)</f>
        <v>0</v>
      </c>
      <c r="O55" s="130">
        <f>IF(J55&gt;$B$55,($J$55-B55)*$C$55,0)</f>
        <v>0</v>
      </c>
      <c r="P55" s="259">
        <v>0</v>
      </c>
      <c r="Q55" s="131">
        <f>O55+P55</f>
        <v>0</v>
      </c>
      <c r="R55" s="130">
        <v>0</v>
      </c>
      <c r="S55" s="131">
        <f>+Q55-R55</f>
        <v>0</v>
      </c>
      <c r="T55" s="259"/>
      <c r="U55" s="271">
        <f>Q55+T55</f>
        <v>0</v>
      </c>
    </row>
    <row r="56" spans="1:21" s="9" customFormat="1" hidden="1">
      <c r="A56" s="22" t="s">
        <v>315</v>
      </c>
      <c r="B56" s="33"/>
      <c r="C56" s="262"/>
      <c r="D56" s="254">
        <v>2</v>
      </c>
      <c r="E56" s="255">
        <v>39120</v>
      </c>
      <c r="F56" s="256"/>
      <c r="G56" s="273"/>
      <c r="H56" s="258"/>
      <c r="I56" s="258"/>
      <c r="J56" s="258"/>
      <c r="K56" s="258"/>
      <c r="L56" s="258" t="s">
        <v>310</v>
      </c>
      <c r="M56" s="130">
        <f>IF(SUM($F$55:F56)&gt;$B$55,(SUM($F$55:F56)-$B$55)*$C$55,0)-SUM($M$55:M55)</f>
        <v>0</v>
      </c>
      <c r="N56" s="130">
        <f>IF(SUM($H$55:H56)&gt;$B$55,(SUM($H$55:H56)-$B$55)*$C$55,0)-SUM($N$55:N55)</f>
        <v>0</v>
      </c>
      <c r="O56" s="130">
        <f>IF(SUM($J$55:J56)&gt;$B$55,(SUM($J$55:J56)-$B$55)*$C$55,0)-SUM($O$55:O55)</f>
        <v>0</v>
      </c>
      <c r="P56" s="259">
        <v>0</v>
      </c>
      <c r="Q56" s="131">
        <f t="shared" ref="Q56:Q66" si="20">O56+P56</f>
        <v>0</v>
      </c>
      <c r="R56" s="130">
        <v>0</v>
      </c>
      <c r="S56" s="131">
        <f>+Q56-R56</f>
        <v>0</v>
      </c>
      <c r="T56" s="259"/>
      <c r="U56" s="271">
        <f t="shared" ref="U56:U66" si="21">Q56+T56</f>
        <v>0</v>
      </c>
    </row>
    <row r="57" spans="1:21" s="9" customFormat="1" hidden="1">
      <c r="A57" s="22" t="s">
        <v>312</v>
      </c>
      <c r="B57" s="33"/>
      <c r="C57" s="262"/>
      <c r="D57" s="254">
        <v>3</v>
      </c>
      <c r="E57" s="255">
        <v>39148</v>
      </c>
      <c r="F57" s="256"/>
      <c r="G57" s="273"/>
      <c r="H57" s="258"/>
      <c r="I57" s="258"/>
      <c r="J57" s="258"/>
      <c r="K57" s="258"/>
      <c r="L57" s="258" t="s">
        <v>310</v>
      </c>
      <c r="M57" s="130">
        <f>IF(SUM($F$55:F57)&gt;$B$55,(SUM($F$55:F57)-$B$55)*$C$55,0)-SUM($M$55:M56)</f>
        <v>0</v>
      </c>
      <c r="N57" s="130">
        <f>IF(SUM($H$55:H57)&gt;$B$55,(SUM($H$55:H57)-$B$55)*$C$55,0)-SUM($N$55:N56)</f>
        <v>0</v>
      </c>
      <c r="O57" s="130">
        <f>IF(SUM($J$55:J57)&gt;$B$55,(SUM($J$55:J57)-$B$55)*$C$55,0)-SUM($O$55:O56)</f>
        <v>0</v>
      </c>
      <c r="P57" s="259">
        <v>0</v>
      </c>
      <c r="Q57" s="131">
        <f t="shared" si="20"/>
        <v>0</v>
      </c>
      <c r="R57" s="130">
        <v>0</v>
      </c>
      <c r="S57" s="131">
        <f>+Q57-R57</f>
        <v>0</v>
      </c>
      <c r="T57" s="259"/>
      <c r="U57" s="271">
        <f t="shared" si="21"/>
        <v>0</v>
      </c>
    </row>
    <row r="58" spans="1:21" s="9" customFormat="1" hidden="1">
      <c r="A58" s="22"/>
      <c r="B58" s="33"/>
      <c r="C58" s="262"/>
      <c r="D58" s="254">
        <v>4</v>
      </c>
      <c r="E58" s="255">
        <v>39179</v>
      </c>
      <c r="F58" s="256"/>
      <c r="G58" s="273"/>
      <c r="H58" s="258"/>
      <c r="I58" s="258"/>
      <c r="J58" s="258"/>
      <c r="K58" s="258"/>
      <c r="L58" s="258" t="s">
        <v>310</v>
      </c>
      <c r="M58" s="130">
        <f>IF(SUM($F$55:F58)&gt;$B$55,(SUM($F$55:F58)-$B$55)*$C$55,0)-SUM($M$55:M57)</f>
        <v>0</v>
      </c>
      <c r="N58" s="130">
        <f>IF(SUM($H$55:H58)&gt;$B$55,(SUM($H$55:H58)-$B$55)*$C$55,0)-SUM($N$55:N57)</f>
        <v>0</v>
      </c>
      <c r="O58" s="130">
        <f>IF(SUM($J$55:J58)&gt;$B$55,(SUM($J$55:J58)-$B$55)*$C$55,0)-SUM($O$55:O57)</f>
        <v>0</v>
      </c>
      <c r="P58" s="259">
        <v>0</v>
      </c>
      <c r="Q58" s="131">
        <f t="shared" si="20"/>
        <v>0</v>
      </c>
      <c r="R58" s="130">
        <v>0</v>
      </c>
      <c r="S58" s="131">
        <f>+Q58-R58</f>
        <v>0</v>
      </c>
      <c r="T58" s="259"/>
      <c r="U58" s="271">
        <f t="shared" si="21"/>
        <v>0</v>
      </c>
    </row>
    <row r="59" spans="1:21" s="9" customFormat="1" hidden="1">
      <c r="A59" s="22"/>
      <c r="B59" s="33"/>
      <c r="C59" s="262"/>
      <c r="D59" s="254">
        <v>5</v>
      </c>
      <c r="E59" s="255">
        <v>39209</v>
      </c>
      <c r="F59" s="256"/>
      <c r="G59" s="273"/>
      <c r="H59" s="258"/>
      <c r="I59" s="258"/>
      <c r="J59" s="258"/>
      <c r="K59" s="258"/>
      <c r="L59" s="258" t="s">
        <v>310</v>
      </c>
      <c r="M59" s="130">
        <f>IF(SUM($F$55:F59)&gt;$B$55,(SUM($F$55:F59)-$B$55)*$C$55,0)-SUM($M$55:M58)</f>
        <v>0</v>
      </c>
      <c r="N59" s="130">
        <f>IF(SUM($H$55:H59)&gt;$B$55,(SUM($H$55:H59)-$B$55)*$C$55,0)-SUM($N$55:N58)</f>
        <v>0</v>
      </c>
      <c r="O59" s="130">
        <f>IF(SUM($J$55:J59)&gt;$B$55,(SUM($J$55:J59)-$B$55)*$C$55,0)-SUM($O$55:O58)</f>
        <v>0</v>
      </c>
      <c r="P59" s="259">
        <v>0</v>
      </c>
      <c r="Q59" s="131">
        <f t="shared" si="20"/>
        <v>0</v>
      </c>
      <c r="R59" s="130">
        <v>0</v>
      </c>
      <c r="S59" s="131">
        <f t="shared" ref="S59:S66" si="22">+Q59-R59</f>
        <v>0</v>
      </c>
      <c r="T59" s="259"/>
      <c r="U59" s="271">
        <f t="shared" si="21"/>
        <v>0</v>
      </c>
    </row>
    <row r="60" spans="1:21" s="9" customFormat="1" hidden="1">
      <c r="A60" s="22"/>
      <c r="B60" s="33"/>
      <c r="C60" s="262"/>
      <c r="D60" s="254">
        <v>6</v>
      </c>
      <c r="E60" s="255">
        <v>39240</v>
      </c>
      <c r="F60" s="256"/>
      <c r="G60" s="273"/>
      <c r="H60" s="258"/>
      <c r="I60" s="258"/>
      <c r="J60" s="258"/>
      <c r="K60" s="258"/>
      <c r="L60" s="258" t="s">
        <v>310</v>
      </c>
      <c r="M60" s="130">
        <f>IF(SUM($F$55:F60)&gt;$B$55,(SUM($F$55:F60)-$B$55)*$C$55,0)-SUM($M$55:M59)</f>
        <v>0</v>
      </c>
      <c r="N60" s="130">
        <f>IF(SUM($H$55:H60)&gt;$B$55,(SUM($H$55:H60)-$B$55)*$C$55,0)-SUM($N$55:N59)</f>
        <v>0</v>
      </c>
      <c r="O60" s="130">
        <f>IF(SUM($J$55:J60)&gt;$B$55,(SUM($J$55:J60)-$B$55)*$C$55,0)-SUM($O$55:O59)</f>
        <v>0</v>
      </c>
      <c r="P60" s="259">
        <v>0</v>
      </c>
      <c r="Q60" s="131">
        <f t="shared" si="20"/>
        <v>0</v>
      </c>
      <c r="R60" s="130">
        <v>0</v>
      </c>
      <c r="S60" s="131">
        <f t="shared" si="22"/>
        <v>0</v>
      </c>
      <c r="T60" s="259"/>
      <c r="U60" s="271">
        <f t="shared" si="21"/>
        <v>0</v>
      </c>
    </row>
    <row r="61" spans="1:21" s="9" customFormat="1" hidden="1">
      <c r="A61" s="22"/>
      <c r="B61" s="33"/>
      <c r="C61" s="262"/>
      <c r="D61" s="254">
        <v>7</v>
      </c>
      <c r="E61" s="255">
        <v>39270</v>
      </c>
      <c r="F61" s="256"/>
      <c r="G61" s="273"/>
      <c r="H61" s="258"/>
      <c r="I61" s="258"/>
      <c r="J61" s="258"/>
      <c r="K61" s="258"/>
      <c r="L61" s="258" t="s">
        <v>310</v>
      </c>
      <c r="M61" s="130">
        <f>IF(SUM($F$55:F61)&gt;$B$55,(SUM($F$55:F61)-$B$55)*$C$55,0)-SUM($M$55:M60)</f>
        <v>0</v>
      </c>
      <c r="N61" s="130">
        <f>IF(SUM($H$55:H61)&gt;$B$55,(SUM($H$55:H61)-$B$55)*$C$55,0)-SUM($N$55:N60)</f>
        <v>0</v>
      </c>
      <c r="O61" s="130">
        <f>IF(SUM($J$55:J61)&gt;$B$55,(SUM($J$55:J61)-$B$55)*$C$55,0)-SUM($O$55:O60)</f>
        <v>0</v>
      </c>
      <c r="P61" s="259">
        <v>0</v>
      </c>
      <c r="Q61" s="131">
        <f t="shared" si="20"/>
        <v>0</v>
      </c>
      <c r="R61" s="130">
        <v>0</v>
      </c>
      <c r="S61" s="131">
        <f t="shared" si="22"/>
        <v>0</v>
      </c>
      <c r="T61" s="259">
        <v>0</v>
      </c>
      <c r="U61" s="271">
        <f t="shared" si="21"/>
        <v>0</v>
      </c>
    </row>
    <row r="62" spans="1:21" s="9" customFormat="1" hidden="1">
      <c r="A62" s="22"/>
      <c r="B62" s="33"/>
      <c r="C62" s="262"/>
      <c r="D62" s="254">
        <v>8</v>
      </c>
      <c r="E62" s="255">
        <v>39301</v>
      </c>
      <c r="F62" s="256"/>
      <c r="G62" s="273"/>
      <c r="H62" s="258"/>
      <c r="I62" s="258"/>
      <c r="J62" s="258"/>
      <c r="K62" s="258"/>
      <c r="L62" s="258" t="s">
        <v>310</v>
      </c>
      <c r="M62" s="130">
        <f>IF(SUM($F$55:F62)&gt;$B$55,(SUM($F$55:F62)-$B$55)*$C$55,0)-SUM($M$55:M61)</f>
        <v>0</v>
      </c>
      <c r="N62" s="130">
        <f>IF(SUM($H$55:H62)&gt;$B$55,(SUM($H$55:H62)-$B$55)*$C$55,0)-SUM($N$55:N61)</f>
        <v>0</v>
      </c>
      <c r="O62" s="130">
        <f>IF(SUM($J$55:J62)&gt;$B$55,(SUM($J$55:J62)-$B$55)*$C$55,0)-SUM($O$55:O61)</f>
        <v>0</v>
      </c>
      <c r="P62" s="259">
        <v>0</v>
      </c>
      <c r="Q62" s="131">
        <f t="shared" si="20"/>
        <v>0</v>
      </c>
      <c r="R62" s="130">
        <v>0</v>
      </c>
      <c r="S62" s="131">
        <f t="shared" si="22"/>
        <v>0</v>
      </c>
      <c r="T62" s="259"/>
      <c r="U62" s="271">
        <f t="shared" si="21"/>
        <v>0</v>
      </c>
    </row>
    <row r="63" spans="1:21" s="9" customFormat="1" hidden="1">
      <c r="A63" s="22"/>
      <c r="B63" s="33"/>
      <c r="C63" s="262"/>
      <c r="D63" s="254">
        <v>9</v>
      </c>
      <c r="E63" s="255">
        <v>39332</v>
      </c>
      <c r="F63" s="256"/>
      <c r="G63" s="273"/>
      <c r="H63" s="258"/>
      <c r="I63" s="258"/>
      <c r="J63" s="258"/>
      <c r="K63" s="258"/>
      <c r="L63" s="258" t="s">
        <v>310</v>
      </c>
      <c r="M63" s="130">
        <f>IF(SUM($F$55:F63)&gt;$B$55,(SUM($F$55:F63)-$B$55)*$C$55,0)-SUM($M$55:M62)</f>
        <v>0</v>
      </c>
      <c r="N63" s="130">
        <f>IF(SUM($H$55:H63)&gt;$B$55,(SUM($H$55:H63)-$B$55)*$C$55,0)-SUM($N$55:N62)</f>
        <v>0</v>
      </c>
      <c r="O63" s="130">
        <f>IF(SUM($J$55:J63)&gt;$B$55,(SUM($J$55:J63)-$B$55)*$C$55,0)-SUM($O$55:O62)</f>
        <v>0</v>
      </c>
      <c r="P63" s="259">
        <v>0</v>
      </c>
      <c r="Q63" s="131">
        <f t="shared" si="20"/>
        <v>0</v>
      </c>
      <c r="R63" s="130">
        <v>0</v>
      </c>
      <c r="S63" s="131">
        <f t="shared" si="22"/>
        <v>0</v>
      </c>
      <c r="T63" s="259"/>
      <c r="U63" s="271">
        <f t="shared" si="21"/>
        <v>0</v>
      </c>
    </row>
    <row r="64" spans="1:21" s="9" customFormat="1" hidden="1">
      <c r="A64" s="22"/>
      <c r="B64" s="33"/>
      <c r="C64" s="262"/>
      <c r="D64" s="254">
        <v>10</v>
      </c>
      <c r="E64" s="255">
        <v>39362</v>
      </c>
      <c r="F64" s="256"/>
      <c r="G64" s="273"/>
      <c r="H64" s="274"/>
      <c r="I64" s="258"/>
      <c r="J64" s="258"/>
      <c r="K64" s="258"/>
      <c r="L64" s="258" t="s">
        <v>310</v>
      </c>
      <c r="M64" s="130">
        <f>IF(SUM($F$55:F64)&gt;$B$55,(SUM($F$55:F64)-$B$55)*$C$55,0)-SUM($M$55:M63)</f>
        <v>0</v>
      </c>
      <c r="N64" s="130">
        <f>IF(SUM($H$55:H64)&gt;$B$55,(SUM($H$55:H64)-$B$55)*$C$55,0)-SUM($N$55:N63)</f>
        <v>0</v>
      </c>
      <c r="O64" s="130">
        <f>IF(SUM($J$55:J64)&gt;$B$55,(SUM($J$55:J64)-$B$55)*$C$55,0)-SUM($O$55:O63)</f>
        <v>0</v>
      </c>
      <c r="P64" s="259">
        <v>0</v>
      </c>
      <c r="Q64" s="131">
        <f t="shared" si="20"/>
        <v>0</v>
      </c>
      <c r="R64" s="130">
        <v>0</v>
      </c>
      <c r="S64" s="131">
        <f t="shared" si="22"/>
        <v>0</v>
      </c>
      <c r="T64" s="259"/>
      <c r="U64" s="271">
        <f t="shared" si="21"/>
        <v>0</v>
      </c>
    </row>
    <row r="65" spans="1:21" s="9" customFormat="1" hidden="1">
      <c r="A65" s="22"/>
      <c r="B65" s="33"/>
      <c r="C65" s="262"/>
      <c r="D65" s="254">
        <v>11</v>
      </c>
      <c r="E65" s="255">
        <v>39393</v>
      </c>
      <c r="F65" s="256"/>
      <c r="G65" s="273"/>
      <c r="H65" s="274"/>
      <c r="I65" s="258"/>
      <c r="J65" s="258"/>
      <c r="K65" s="258"/>
      <c r="L65" s="258" t="s">
        <v>310</v>
      </c>
      <c r="M65" s="130">
        <f>IF(SUM($F$55:F65)&gt;$B$55,(SUM($F$55:F65)-$B$55)*$C$55,0)-SUM($M$55:M64)</f>
        <v>0</v>
      </c>
      <c r="N65" s="130">
        <f>IF(SUM($H$55:H65)&gt;$B$55,(SUM($H$55:H65)-$B$55)*$C$55,0)-SUM($N$55:N64)</f>
        <v>0</v>
      </c>
      <c r="O65" s="130">
        <f>IF(SUM($J$55:J65)&gt;$B$55,(SUM($J$55:J65)-$B$55)*$C$55,0)-SUM($O$55:O64)</f>
        <v>0</v>
      </c>
      <c r="P65" s="259">
        <v>0</v>
      </c>
      <c r="Q65" s="131">
        <f t="shared" si="20"/>
        <v>0</v>
      </c>
      <c r="R65" s="130">
        <v>0</v>
      </c>
      <c r="S65" s="131">
        <f t="shared" si="22"/>
        <v>0</v>
      </c>
      <c r="T65" s="259"/>
      <c r="U65" s="271">
        <f t="shared" si="21"/>
        <v>0</v>
      </c>
    </row>
    <row r="66" spans="1:21" s="9" customFormat="1" hidden="1">
      <c r="A66" s="22"/>
      <c r="B66" s="33"/>
      <c r="C66" s="262"/>
      <c r="D66" s="254">
        <v>12</v>
      </c>
      <c r="E66" s="255">
        <v>39423</v>
      </c>
      <c r="F66" s="256"/>
      <c r="G66" s="273"/>
      <c r="H66" s="274"/>
      <c r="I66" s="258"/>
      <c r="J66" s="264"/>
      <c r="K66" s="264"/>
      <c r="L66" s="258" t="s">
        <v>310</v>
      </c>
      <c r="M66" s="130">
        <f>IF(SUM($F$55:F66)&gt;$B$55,(SUM($F$55:F66)-$B$55)*$C$55,0)-SUM($M$55:M65)</f>
        <v>0</v>
      </c>
      <c r="N66" s="130">
        <f>IF(SUM($H$55:H66)&gt;$B$55,(SUM($H$55:H66)-$B$55)*$C$55,0)-SUM($N$55:N65)</f>
        <v>0</v>
      </c>
      <c r="O66" s="130">
        <f>IF(SUM($J$55:J66)&gt;$B$55,(SUM($J$55:J66)-$B$55)*$C$55,0)-SUM($O$55:O65)</f>
        <v>0</v>
      </c>
      <c r="P66" s="259">
        <v>0</v>
      </c>
      <c r="Q66" s="131">
        <f t="shared" si="20"/>
        <v>0</v>
      </c>
      <c r="R66" s="130">
        <v>0</v>
      </c>
      <c r="S66" s="131">
        <f t="shared" si="22"/>
        <v>0</v>
      </c>
      <c r="T66" s="259"/>
      <c r="U66" s="271">
        <f t="shared" si="21"/>
        <v>0</v>
      </c>
    </row>
    <row r="67" spans="1:21" s="3" customFormat="1" hidden="1">
      <c r="B67" s="252"/>
      <c r="C67" s="265"/>
      <c r="D67" s="265"/>
      <c r="E67" s="266" t="s">
        <v>147</v>
      </c>
      <c r="F67" s="268">
        <f>SUM(F55:F66)</f>
        <v>0</v>
      </c>
      <c r="G67" s="268"/>
      <c r="H67" s="268">
        <f>SUM(H55:H66)</f>
        <v>0</v>
      </c>
      <c r="I67" s="268"/>
      <c r="J67" s="268">
        <f>SUM(J55:J66)</f>
        <v>0</v>
      </c>
      <c r="K67" s="268"/>
      <c r="L67" s="268">
        <f>SUM(L55:L66)</f>
        <v>0</v>
      </c>
      <c r="M67" s="268">
        <f t="shared" ref="M67:U67" si="23">SUBTOTAL(9,M55:M66)</f>
        <v>0</v>
      </c>
      <c r="N67" s="268">
        <f t="shared" si="23"/>
        <v>0</v>
      </c>
      <c r="O67" s="268">
        <f t="shared" si="23"/>
        <v>0</v>
      </c>
      <c r="P67" s="268">
        <f t="shared" si="23"/>
        <v>0</v>
      </c>
      <c r="Q67" s="268">
        <f t="shared" si="23"/>
        <v>0</v>
      </c>
      <c r="R67" s="268">
        <f t="shared" si="23"/>
        <v>0</v>
      </c>
      <c r="S67" s="268">
        <f t="shared" si="23"/>
        <v>0</v>
      </c>
      <c r="T67" s="268">
        <f t="shared" si="23"/>
        <v>0</v>
      </c>
      <c r="U67" s="268">
        <f t="shared" si="23"/>
        <v>0</v>
      </c>
    </row>
    <row r="68" spans="1:21" s="3" customFormat="1" hidden="1">
      <c r="B68" s="252"/>
      <c r="C68" s="265"/>
      <c r="D68" s="265"/>
      <c r="E68" s="266"/>
      <c r="F68" s="304"/>
      <c r="G68" s="304"/>
      <c r="H68" s="304"/>
      <c r="I68" s="304"/>
      <c r="J68" s="304"/>
      <c r="K68" s="304"/>
      <c r="L68" s="304"/>
      <c r="M68" s="304"/>
      <c r="N68" s="304"/>
      <c r="O68" s="304"/>
      <c r="P68" s="304"/>
      <c r="Q68" s="304"/>
      <c r="R68" s="304"/>
      <c r="S68" s="304"/>
      <c r="T68" s="304"/>
      <c r="U68" s="304"/>
    </row>
    <row r="69" spans="1:21" s="3" customFormat="1" hidden="1">
      <c r="B69" s="252"/>
      <c r="C69" s="265"/>
      <c r="D69" s="265"/>
      <c r="E69" s="266"/>
      <c r="F69" s="304"/>
      <c r="G69" s="304"/>
      <c r="H69" s="304"/>
      <c r="I69" s="304"/>
      <c r="J69" s="304"/>
      <c r="K69" s="304"/>
      <c r="L69" s="304"/>
      <c r="M69" s="304"/>
      <c r="N69" s="304"/>
      <c r="O69" s="304"/>
      <c r="P69" s="304"/>
      <c r="Q69" s="304"/>
      <c r="R69" s="304"/>
      <c r="S69" s="304"/>
      <c r="T69" s="304"/>
      <c r="U69" s="304"/>
    </row>
    <row r="70" spans="1:21" s="9" customFormat="1" hidden="1">
      <c r="A70" s="3" t="s">
        <v>91</v>
      </c>
      <c r="B70" s="252">
        <f>799057.5*8/12+823029*4/12</f>
        <v>807048</v>
      </c>
      <c r="C70" s="253">
        <v>0.08</v>
      </c>
      <c r="D70" s="254">
        <v>1</v>
      </c>
      <c r="E70" s="255">
        <v>39089</v>
      </c>
      <c r="F70" s="275"/>
      <c r="G70" s="273"/>
      <c r="H70" s="258"/>
      <c r="I70" s="258"/>
      <c r="J70" s="258"/>
      <c r="K70" s="258"/>
      <c r="L70" s="258" t="s">
        <v>310</v>
      </c>
      <c r="M70" s="130">
        <f>IF(F70&gt;$B$70,($F$70-B70)*$C$70,0)</f>
        <v>0</v>
      </c>
      <c r="N70" s="130">
        <f>IF(H70&gt;$B$70,($H$70-C70)*$C$70,0)</f>
        <v>0</v>
      </c>
      <c r="O70" s="130">
        <f>IF(J70&gt;$B$70,($J$70-B70)*$C$70,0)</f>
        <v>0</v>
      </c>
      <c r="P70" s="259">
        <v>0</v>
      </c>
      <c r="Q70" s="131">
        <f>O70+P70</f>
        <v>0</v>
      </c>
      <c r="R70" s="130">
        <v>0</v>
      </c>
      <c r="S70" s="131">
        <f>+Q70-R70</f>
        <v>0</v>
      </c>
      <c r="T70" s="259"/>
      <c r="U70" s="271">
        <f>Q70+T70</f>
        <v>0</v>
      </c>
    </row>
    <row r="71" spans="1:21" s="9" customFormat="1" hidden="1">
      <c r="A71" s="22" t="s">
        <v>315</v>
      </c>
      <c r="B71" s="33"/>
      <c r="C71" s="262"/>
      <c r="D71" s="254">
        <v>2</v>
      </c>
      <c r="E71" s="255">
        <v>39120</v>
      </c>
      <c r="F71" s="275"/>
      <c r="G71" s="273"/>
      <c r="H71" s="258"/>
      <c r="I71" s="258"/>
      <c r="J71" s="258"/>
      <c r="K71" s="258"/>
      <c r="L71" s="258" t="s">
        <v>310</v>
      </c>
      <c r="M71" s="130">
        <f>IF(SUM($F$70:F71)&gt;$B$70,(SUM($F$70:F71)-$B$70)*$C$70,0)-SUM($M$70:M70)</f>
        <v>0</v>
      </c>
      <c r="N71" s="130">
        <f>IF(SUM($H$70:H71)&gt;$B$70,(SUM($H$70:H71)-$B$70)*$C$70,0)-SUM($N$70:N70)</f>
        <v>0</v>
      </c>
      <c r="O71" s="130">
        <f>IF(SUM($J$70:J71)&gt;$B$70,(SUM($J$70:J71)-$B$70)*$C$70,0)-SUM($O$70:O70)</f>
        <v>0</v>
      </c>
      <c r="P71" s="259">
        <v>0</v>
      </c>
      <c r="Q71" s="131">
        <f t="shared" ref="Q71:Q81" si="24">O71+P71</f>
        <v>0</v>
      </c>
      <c r="R71" s="130">
        <v>0</v>
      </c>
      <c r="S71" s="131">
        <f>+Q71-R71</f>
        <v>0</v>
      </c>
      <c r="T71" s="259"/>
      <c r="U71" s="271">
        <f t="shared" ref="U71:U81" si="25">Q71+T71</f>
        <v>0</v>
      </c>
    </row>
    <row r="72" spans="1:21" s="9" customFormat="1" hidden="1">
      <c r="A72" s="22" t="s">
        <v>312</v>
      </c>
      <c r="B72" s="33"/>
      <c r="C72" s="262"/>
      <c r="D72" s="254">
        <v>3</v>
      </c>
      <c r="E72" s="255">
        <v>39148</v>
      </c>
      <c r="F72" s="275"/>
      <c r="G72" s="273"/>
      <c r="H72" s="258"/>
      <c r="I72" s="258"/>
      <c r="J72" s="258"/>
      <c r="K72" s="258"/>
      <c r="L72" s="258" t="s">
        <v>310</v>
      </c>
      <c r="M72" s="130">
        <f>IF(SUM($F$70:F72)&gt;$B$70,(SUM($F$70:F72)-$B$70)*$C$70,0)-SUM($M$70:M71)</f>
        <v>0</v>
      </c>
      <c r="N72" s="130">
        <f>IF(SUM($H$70:H72)&gt;$B$70,(SUM($H$70:H72)-$B$70)*$C$70,0)-SUM($N$70:N71)</f>
        <v>0</v>
      </c>
      <c r="O72" s="130">
        <f>IF(SUM($J$70:J72)&gt;$B$70,(SUM($J$70:J72)-$B$70)*$C$70,0)-SUM($O$70:O71)</f>
        <v>0</v>
      </c>
      <c r="P72" s="259">
        <v>0</v>
      </c>
      <c r="Q72" s="131">
        <f t="shared" si="24"/>
        <v>0</v>
      </c>
      <c r="R72" s="130">
        <v>0</v>
      </c>
      <c r="S72" s="131">
        <f>+Q72-R72</f>
        <v>0</v>
      </c>
      <c r="T72" s="259"/>
      <c r="U72" s="271">
        <f t="shared" si="25"/>
        <v>0</v>
      </c>
    </row>
    <row r="73" spans="1:21" s="9" customFormat="1" hidden="1">
      <c r="A73" s="22"/>
      <c r="B73" s="33"/>
      <c r="C73" s="262"/>
      <c r="D73" s="254">
        <v>4</v>
      </c>
      <c r="E73" s="255">
        <v>39179</v>
      </c>
      <c r="F73" s="275"/>
      <c r="G73" s="273"/>
      <c r="H73" s="258"/>
      <c r="I73" s="258"/>
      <c r="J73" s="258"/>
      <c r="K73" s="258"/>
      <c r="L73" s="258" t="s">
        <v>310</v>
      </c>
      <c r="M73" s="130">
        <f>IF(SUM($F$70:F73)&gt;$B$70,(SUM($F$70:F73)-$B$70)*$C$70,0)-SUM($M$70:M72)</f>
        <v>0</v>
      </c>
      <c r="N73" s="130">
        <f>IF(SUM($H$70:H73)&gt;$B$70,(SUM($H$70:H73)-$B$70)*$C$70,0)-SUM($N$70:N72)</f>
        <v>0</v>
      </c>
      <c r="O73" s="130">
        <f>IF(SUM($J$70:J73)&gt;$B$70,(SUM($J$70:J73)-$B$70)*$C$70,0)-SUM($O$70:O72)</f>
        <v>0</v>
      </c>
      <c r="P73" s="259">
        <v>0</v>
      </c>
      <c r="Q73" s="131">
        <f t="shared" si="24"/>
        <v>0</v>
      </c>
      <c r="R73" s="130">
        <v>0</v>
      </c>
      <c r="S73" s="131">
        <f>+Q73-R73</f>
        <v>0</v>
      </c>
      <c r="T73" s="259"/>
      <c r="U73" s="271">
        <f t="shared" si="25"/>
        <v>0</v>
      </c>
    </row>
    <row r="74" spans="1:21" s="9" customFormat="1" hidden="1">
      <c r="A74" s="22"/>
      <c r="B74" s="33"/>
      <c r="C74" s="262"/>
      <c r="D74" s="254">
        <v>5</v>
      </c>
      <c r="E74" s="255">
        <v>39209</v>
      </c>
      <c r="F74" s="275"/>
      <c r="G74" s="273"/>
      <c r="H74" s="258"/>
      <c r="I74" s="258"/>
      <c r="J74" s="258"/>
      <c r="K74" s="258"/>
      <c r="L74" s="258" t="s">
        <v>310</v>
      </c>
      <c r="M74" s="130">
        <f>IF(SUM($F$70:F74)&gt;$B$70,(SUM($F$70:F74)-$B$70)*$C$70,0)-SUM($M$70:M73)</f>
        <v>0</v>
      </c>
      <c r="N74" s="130">
        <f>IF(SUM($H$70:H74)&gt;$B$70,(SUM($H$70:H74)-$B$70)*$C$70,0)-SUM($N$70:N73)</f>
        <v>0</v>
      </c>
      <c r="O74" s="130">
        <f>IF(SUM($J$70:J74)&gt;$B$70,(SUM($J$70:J74)-$B$70)*$C$70,0)-SUM($O$70:O73)</f>
        <v>0</v>
      </c>
      <c r="P74" s="259">
        <v>0</v>
      </c>
      <c r="Q74" s="131">
        <f t="shared" si="24"/>
        <v>0</v>
      </c>
      <c r="R74" s="130">
        <v>0</v>
      </c>
      <c r="S74" s="131">
        <f t="shared" ref="S74:S81" si="26">+Q74-R74</f>
        <v>0</v>
      </c>
      <c r="T74" s="259"/>
      <c r="U74" s="271">
        <f t="shared" si="25"/>
        <v>0</v>
      </c>
    </row>
    <row r="75" spans="1:21" s="9" customFormat="1" hidden="1">
      <c r="A75" s="22"/>
      <c r="B75" s="33"/>
      <c r="C75" s="262"/>
      <c r="D75" s="254">
        <v>6</v>
      </c>
      <c r="E75" s="255">
        <v>39240</v>
      </c>
      <c r="F75" s="275"/>
      <c r="G75" s="273"/>
      <c r="H75" s="258"/>
      <c r="I75" s="258"/>
      <c r="J75" s="258"/>
      <c r="K75" s="258"/>
      <c r="L75" s="258" t="s">
        <v>310</v>
      </c>
      <c r="M75" s="130">
        <f>IF(SUM($F$70:F75)&gt;$B$70,(SUM($F$70:F75)-$B$70)*$C$70,0)-SUM($M$70:M74)</f>
        <v>0</v>
      </c>
      <c r="N75" s="130">
        <f>IF(SUM($H$70:H75)&gt;$B$70,(SUM($H$70:H75)-$B$70)*$C$70,0)-SUM($N$70:N74)</f>
        <v>0</v>
      </c>
      <c r="O75" s="130">
        <f>IF(SUM($J$70:J75)&gt;$B$70,(SUM($J$70:J75)-$B$70)*$C$70,0)-SUM($O$70:O74)</f>
        <v>0</v>
      </c>
      <c r="P75" s="259">
        <v>0</v>
      </c>
      <c r="Q75" s="131">
        <f t="shared" si="24"/>
        <v>0</v>
      </c>
      <c r="R75" s="130">
        <v>0</v>
      </c>
      <c r="S75" s="131">
        <f t="shared" si="26"/>
        <v>0</v>
      </c>
      <c r="T75" s="259"/>
      <c r="U75" s="271">
        <f t="shared" si="25"/>
        <v>0</v>
      </c>
    </row>
    <row r="76" spans="1:21" s="9" customFormat="1" hidden="1">
      <c r="A76" s="22"/>
      <c r="B76" s="33"/>
      <c r="C76" s="262"/>
      <c r="D76" s="254">
        <v>7</v>
      </c>
      <c r="E76" s="255">
        <v>39270</v>
      </c>
      <c r="F76" s="275"/>
      <c r="G76" s="273"/>
      <c r="H76" s="258"/>
      <c r="I76" s="258"/>
      <c r="J76" s="258"/>
      <c r="K76" s="258"/>
      <c r="L76" s="258" t="s">
        <v>310</v>
      </c>
      <c r="M76" s="130">
        <f>IF(SUM($F$70:F76)&gt;$B$70,(SUM($F$70:F76)-$B$70)*$C$70,0)-SUM($M$70:M75)</f>
        <v>0</v>
      </c>
      <c r="N76" s="130">
        <f>IF(SUM($H$70:H76)&gt;$B$70,(SUM($H$70:H76)-$B$70)*$C$70,0)-SUM($N$70:N75)</f>
        <v>0</v>
      </c>
      <c r="O76" s="130">
        <f>IF(SUM($J$70:J76)&gt;$B$70,(SUM($J$70:J76)-$B$70)*$C$70,0)-SUM($O$70:O75)</f>
        <v>0</v>
      </c>
      <c r="P76" s="259">
        <v>0</v>
      </c>
      <c r="Q76" s="131">
        <f t="shared" si="24"/>
        <v>0</v>
      </c>
      <c r="R76" s="130">
        <v>0</v>
      </c>
      <c r="S76" s="131">
        <f t="shared" si="26"/>
        <v>0</v>
      </c>
      <c r="T76" s="259">
        <v>0</v>
      </c>
      <c r="U76" s="271">
        <f t="shared" si="25"/>
        <v>0</v>
      </c>
    </row>
    <row r="77" spans="1:21" s="9" customFormat="1" hidden="1">
      <c r="A77" s="22"/>
      <c r="B77" s="33"/>
      <c r="C77" s="262"/>
      <c r="D77" s="254">
        <v>8</v>
      </c>
      <c r="E77" s="255">
        <v>39301</v>
      </c>
      <c r="F77" s="275"/>
      <c r="G77" s="273"/>
      <c r="H77" s="258"/>
      <c r="I77" s="258"/>
      <c r="J77" s="258"/>
      <c r="K77" s="258"/>
      <c r="L77" s="258" t="s">
        <v>310</v>
      </c>
      <c r="M77" s="130">
        <f>IF(SUM($F$70:F77)&gt;$B$70,(SUM($F$70:F77)-$B$70)*$C$70,0)-SUM($M$70:M76)</f>
        <v>0</v>
      </c>
      <c r="N77" s="130">
        <f>IF(SUM($H$70:H77)&gt;$B$70,(SUM($H$70:H77)-$B$70)*$C$70,0)-SUM($N$70:N76)</f>
        <v>0</v>
      </c>
      <c r="O77" s="130">
        <f>IF(SUM($J$70:J77)&gt;$B$70,(SUM($J$70:J77)-$B$70)*$C$70,0)-SUM($O$70:O76)</f>
        <v>0</v>
      </c>
      <c r="P77" s="259">
        <v>0</v>
      </c>
      <c r="Q77" s="131">
        <f t="shared" si="24"/>
        <v>0</v>
      </c>
      <c r="R77" s="130">
        <v>0</v>
      </c>
      <c r="S77" s="131">
        <f t="shared" si="26"/>
        <v>0</v>
      </c>
      <c r="T77" s="259"/>
      <c r="U77" s="271">
        <f t="shared" si="25"/>
        <v>0</v>
      </c>
    </row>
    <row r="78" spans="1:21" s="9" customFormat="1" hidden="1">
      <c r="A78" s="22"/>
      <c r="B78" s="33"/>
      <c r="C78" s="262"/>
      <c r="D78" s="254">
        <v>9</v>
      </c>
      <c r="E78" s="255">
        <v>39332</v>
      </c>
      <c r="F78" s="275"/>
      <c r="G78" s="273"/>
      <c r="H78" s="258"/>
      <c r="I78" s="258"/>
      <c r="J78" s="258"/>
      <c r="K78" s="258"/>
      <c r="L78" s="258" t="s">
        <v>310</v>
      </c>
      <c r="M78" s="130">
        <f>IF(SUM($F$70:F78)&gt;$B$70,(SUM($F$70:F78)-$B$70)*$C$70,0)-SUM($M$70:M77)</f>
        <v>0</v>
      </c>
      <c r="N78" s="130">
        <f>IF(SUM($H$70:H78)&gt;$B$70,(SUM($H$70:H78)-$B$70)*$C$70,0)-SUM($N$70:N77)</f>
        <v>0</v>
      </c>
      <c r="O78" s="130">
        <f>IF(SUM($J$70:J78)&gt;$B$70,(SUM($J$70:J78)-$B$70)*$C$70,0)-SUM($O$70:O77)</f>
        <v>0</v>
      </c>
      <c r="P78" s="259">
        <v>0</v>
      </c>
      <c r="Q78" s="131">
        <f t="shared" si="24"/>
        <v>0</v>
      </c>
      <c r="R78" s="130">
        <v>0</v>
      </c>
      <c r="S78" s="131">
        <f t="shared" si="26"/>
        <v>0</v>
      </c>
      <c r="T78" s="259"/>
      <c r="U78" s="271">
        <f t="shared" si="25"/>
        <v>0</v>
      </c>
    </row>
    <row r="79" spans="1:21" s="9" customFormat="1" hidden="1">
      <c r="A79" s="22"/>
      <c r="B79" s="33"/>
      <c r="C79" s="262"/>
      <c r="D79" s="254">
        <v>10</v>
      </c>
      <c r="E79" s="255">
        <v>39362</v>
      </c>
      <c r="F79" s="275"/>
      <c r="G79" s="273"/>
      <c r="H79" s="274"/>
      <c r="I79" s="258"/>
      <c r="J79" s="258"/>
      <c r="K79" s="258"/>
      <c r="L79" s="258" t="s">
        <v>310</v>
      </c>
      <c r="M79" s="130">
        <f>IF(SUM($F$70:F79)&gt;$B$70,(SUM($F$70:F79)-$B$70)*$C$70,0)-SUM($M$70:M78)</f>
        <v>0</v>
      </c>
      <c r="N79" s="130">
        <f>IF(SUM($H$70:H79)&gt;$B$70,(SUM($H$70:H79)-$B$70)*$C$70,0)-SUM($N$70:N78)</f>
        <v>0</v>
      </c>
      <c r="O79" s="130">
        <f>IF(SUM($J$70:J79)&gt;$B$70,(SUM($J$70:J79)-$B$70)*$C$70,0)-SUM($O$70:O78)</f>
        <v>0</v>
      </c>
      <c r="P79" s="259">
        <v>0</v>
      </c>
      <c r="Q79" s="131">
        <f t="shared" si="24"/>
        <v>0</v>
      </c>
      <c r="R79" s="130">
        <v>0</v>
      </c>
      <c r="S79" s="131">
        <f t="shared" si="26"/>
        <v>0</v>
      </c>
      <c r="T79" s="259"/>
      <c r="U79" s="271">
        <f t="shared" si="25"/>
        <v>0</v>
      </c>
    </row>
    <row r="80" spans="1:21" s="9" customFormat="1" hidden="1">
      <c r="A80" s="22"/>
      <c r="B80" s="33"/>
      <c r="C80" s="262"/>
      <c r="D80" s="254">
        <v>11</v>
      </c>
      <c r="E80" s="255">
        <v>39393</v>
      </c>
      <c r="F80" s="275"/>
      <c r="G80" s="273"/>
      <c r="H80" s="274"/>
      <c r="I80" s="258"/>
      <c r="J80" s="258"/>
      <c r="K80" s="258"/>
      <c r="L80" s="258" t="s">
        <v>310</v>
      </c>
      <c r="M80" s="130">
        <f>IF(SUM($F$70:F80)&gt;$B$70,(SUM($F$70:F80)-$B$70)*$C$70,0)-SUM($M$70:M79)</f>
        <v>0</v>
      </c>
      <c r="N80" s="130">
        <f>IF(SUM($H$70:H80)&gt;$B$70,(SUM($H$70:H80)-$B$70)*$C$70,0)-SUM($N$70:N79)</f>
        <v>0</v>
      </c>
      <c r="O80" s="130">
        <f>IF(SUM($J$70:J80)&gt;$B$70,(SUM($J$70:J80)-$B$70)*$C$70,0)-SUM($O$70:O79)</f>
        <v>0</v>
      </c>
      <c r="P80" s="259">
        <v>0</v>
      </c>
      <c r="Q80" s="131">
        <f t="shared" si="24"/>
        <v>0</v>
      </c>
      <c r="R80" s="130">
        <v>0</v>
      </c>
      <c r="S80" s="131">
        <f t="shared" si="26"/>
        <v>0</v>
      </c>
      <c r="T80" s="259"/>
      <c r="U80" s="271">
        <f t="shared" si="25"/>
        <v>0</v>
      </c>
    </row>
    <row r="81" spans="1:21" s="9" customFormat="1" hidden="1">
      <c r="A81" s="22"/>
      <c r="B81" s="33"/>
      <c r="C81" s="262"/>
      <c r="D81" s="254">
        <v>12</v>
      </c>
      <c r="E81" s="255">
        <v>39423</v>
      </c>
      <c r="F81" s="275"/>
      <c r="G81" s="273"/>
      <c r="H81" s="274"/>
      <c r="I81" s="258"/>
      <c r="J81" s="264"/>
      <c r="K81" s="264"/>
      <c r="L81" s="258" t="s">
        <v>310</v>
      </c>
      <c r="M81" s="130">
        <f>IF(SUM($F$70:F81)&gt;$B$70,(SUM($F$70:F81)-$B$70)*$C$70,0)-SUM($M$70:M80)</f>
        <v>0</v>
      </c>
      <c r="N81" s="130">
        <f>IF(SUM($H$70:H81)&gt;$B$70,(SUM($H$70:H81)-$B$70)*$C$70,0)-SUM($N$70:N80)</f>
        <v>0</v>
      </c>
      <c r="O81" s="130">
        <f>IF(SUM($J$70:J81)&gt;$B$70,(SUM($J$70:J81)-$B$70)*$C$70,0)-SUM($O$70:O80)</f>
        <v>0</v>
      </c>
      <c r="P81" s="259">
        <v>0</v>
      </c>
      <c r="Q81" s="131">
        <f t="shared" si="24"/>
        <v>0</v>
      </c>
      <c r="R81" s="130">
        <v>0</v>
      </c>
      <c r="S81" s="131">
        <f t="shared" si="26"/>
        <v>0</v>
      </c>
      <c r="T81" s="259"/>
      <c r="U81" s="271">
        <f t="shared" si="25"/>
        <v>0</v>
      </c>
    </row>
    <row r="82" spans="1:21" s="3" customFormat="1" hidden="1">
      <c r="B82" s="252"/>
      <c r="C82" s="265"/>
      <c r="D82" s="265"/>
      <c r="E82" s="266" t="s">
        <v>147</v>
      </c>
      <c r="F82" s="268">
        <f>SUM(F70:F81)</f>
        <v>0</v>
      </c>
      <c r="G82" s="268"/>
      <c r="H82" s="268">
        <f>SUM(H70:H81)</f>
        <v>0</v>
      </c>
      <c r="I82" s="268"/>
      <c r="J82" s="268">
        <f>SUM(J70:J81)</f>
        <v>0</v>
      </c>
      <c r="K82" s="268"/>
      <c r="L82" s="268">
        <f>SUM(L70:L81)</f>
        <v>0</v>
      </c>
      <c r="M82" s="268">
        <f t="shared" ref="M82:U82" si="27">SUBTOTAL(9,M70:M81)</f>
        <v>0</v>
      </c>
      <c r="N82" s="268">
        <f t="shared" si="27"/>
        <v>0</v>
      </c>
      <c r="O82" s="268">
        <f t="shared" si="27"/>
        <v>0</v>
      </c>
      <c r="P82" s="268">
        <f t="shared" si="27"/>
        <v>0</v>
      </c>
      <c r="Q82" s="268">
        <f t="shared" si="27"/>
        <v>0</v>
      </c>
      <c r="R82" s="268">
        <f t="shared" si="27"/>
        <v>0</v>
      </c>
      <c r="S82" s="268">
        <f t="shared" si="27"/>
        <v>0</v>
      </c>
      <c r="T82" s="268">
        <f t="shared" si="27"/>
        <v>0</v>
      </c>
      <c r="U82" s="268">
        <f t="shared" si="27"/>
        <v>0</v>
      </c>
    </row>
    <row r="83" spans="1:21" s="3" customFormat="1" hidden="1">
      <c r="B83" s="252"/>
      <c r="C83" s="265"/>
      <c r="D83" s="265"/>
      <c r="E83" s="266"/>
      <c r="F83" s="304"/>
      <c r="G83" s="304"/>
      <c r="H83" s="304"/>
      <c r="I83" s="304"/>
      <c r="J83" s="304"/>
      <c r="K83" s="304"/>
      <c r="L83" s="304"/>
      <c r="M83" s="304"/>
      <c r="N83" s="304"/>
      <c r="O83" s="304"/>
      <c r="P83" s="304"/>
      <c r="Q83" s="304"/>
      <c r="R83" s="304"/>
      <c r="S83" s="304"/>
      <c r="T83" s="304"/>
      <c r="U83" s="304"/>
    </row>
    <row r="84" spans="1:21" s="3" customFormat="1" hidden="1">
      <c r="B84" s="252"/>
      <c r="C84" s="265"/>
      <c r="D84" s="265"/>
      <c r="E84" s="266"/>
      <c r="F84" s="304"/>
      <c r="G84" s="304"/>
      <c r="H84" s="304"/>
      <c r="I84" s="304"/>
      <c r="J84" s="304"/>
      <c r="K84" s="304"/>
      <c r="L84" s="304"/>
      <c r="M84" s="304"/>
      <c r="N84" s="304"/>
      <c r="O84" s="304"/>
      <c r="P84" s="304"/>
      <c r="Q84" s="304"/>
      <c r="R84" s="304"/>
      <c r="S84" s="304"/>
      <c r="T84" s="304"/>
      <c r="U84" s="304"/>
    </row>
    <row r="85" spans="1:21" s="9" customFormat="1">
      <c r="A85" s="3" t="s">
        <v>80</v>
      </c>
      <c r="B85" s="252">
        <f>532350/12*11+553637.5/12*1</f>
        <v>534123.95833333337</v>
      </c>
      <c r="C85" s="253">
        <v>0.08</v>
      </c>
      <c r="D85" s="254">
        <v>1</v>
      </c>
      <c r="E85" s="255">
        <v>39822</v>
      </c>
      <c r="F85" s="275"/>
      <c r="G85" s="273"/>
      <c r="H85" s="258"/>
      <c r="I85" s="258"/>
      <c r="J85" s="258">
        <v>12200</v>
      </c>
      <c r="K85" s="258"/>
      <c r="L85" s="258" t="s">
        <v>310</v>
      </c>
      <c r="M85" s="130">
        <f>IF(F85&gt;$B$85,($F$85-B85)*$C$85,0)</f>
        <v>0</v>
      </c>
      <c r="N85" s="130">
        <f>IF(H85&gt;$B$85,($H$85-C85)*$C$85,0)</f>
        <v>0</v>
      </c>
      <c r="O85" s="130">
        <f>IF(J85&gt;$B$85,($J$85-B85)*$C$85,0)</f>
        <v>0</v>
      </c>
      <c r="P85" s="259">
        <v>0</v>
      </c>
      <c r="Q85" s="131">
        <f>O85+P85</f>
        <v>0</v>
      </c>
      <c r="R85" s="130">
        <v>0</v>
      </c>
      <c r="S85" s="131">
        <f>+Q85-R85</f>
        <v>0</v>
      </c>
      <c r="T85" s="259"/>
      <c r="U85" s="271">
        <f>Q85+T85</f>
        <v>0</v>
      </c>
    </row>
    <row r="86" spans="1:21" s="9" customFormat="1">
      <c r="A86" s="22" t="s">
        <v>313</v>
      </c>
      <c r="B86" s="33"/>
      <c r="C86" s="262"/>
      <c r="D86" s="254">
        <v>2</v>
      </c>
      <c r="E86" s="255">
        <f>+E85+31</f>
        <v>39853</v>
      </c>
      <c r="F86" s="275"/>
      <c r="G86" s="273"/>
      <c r="H86" s="258"/>
      <c r="I86" s="258"/>
      <c r="J86" s="258">
        <v>10392</v>
      </c>
      <c r="K86" s="258"/>
      <c r="L86" s="258" t="s">
        <v>310</v>
      </c>
      <c r="M86" s="130">
        <f>IF(SUM($F$85:F86)&gt;$B$85,(SUM($F$85:F86)-$B$85)*$C$85,0)-SUM($M$85:M85)</f>
        <v>0</v>
      </c>
      <c r="N86" s="130">
        <f>IF(SUM($H$85:H86)&gt;$B$85,(SUM($H$85:H86)-$B$85)*$C$85,0)-SUM($N$85:N85)</f>
        <v>0</v>
      </c>
      <c r="O86" s="130">
        <f>IF(SUM($J$85:J86)&gt;$B$85,(SUM($J$85:J86)-$B$85)*$C$85,0)-SUM($O$85:O85)</f>
        <v>0</v>
      </c>
      <c r="P86" s="259">
        <v>0</v>
      </c>
      <c r="Q86" s="131">
        <f t="shared" ref="Q86:Q96" si="28">O86+P86</f>
        <v>0</v>
      </c>
      <c r="R86" s="130">
        <v>0</v>
      </c>
      <c r="S86" s="131">
        <f>+Q86-R86</f>
        <v>0</v>
      </c>
      <c r="T86" s="259"/>
      <c r="U86" s="271">
        <f t="shared" ref="U86:U96" si="29">Q86+T86</f>
        <v>0</v>
      </c>
    </row>
    <row r="87" spans="1:21" s="9" customFormat="1">
      <c r="A87" s="22" t="s">
        <v>312</v>
      </c>
      <c r="B87" s="33"/>
      <c r="C87" s="262"/>
      <c r="D87" s="254">
        <v>3</v>
      </c>
      <c r="E87" s="255">
        <f t="shared" ref="E87:E96" si="30">+E86+31</f>
        <v>39884</v>
      </c>
      <c r="F87" s="275"/>
      <c r="G87" s="273"/>
      <c r="H87" s="258"/>
      <c r="I87" s="258"/>
      <c r="J87" s="258">
        <v>13055</v>
      </c>
      <c r="K87" s="258"/>
      <c r="L87" s="258" t="s">
        <v>310</v>
      </c>
      <c r="M87" s="130">
        <f>IF(SUM($F$85:F87)&gt;$B$85,(SUM($F$85:F87)-$B$85)*$C$85,0)-SUM($M$85:M86)</f>
        <v>0</v>
      </c>
      <c r="N87" s="130">
        <f>IF(SUM($H$85:H87)&gt;$B$85,(SUM($H$85:H87)-$B$85)*$C$85,0)-SUM($N$85:N86)</f>
        <v>0</v>
      </c>
      <c r="O87" s="130">
        <f>IF(SUM($J$85:J87)&gt;$B$85,(SUM($J$85:J87)-$B$85)*$C$85,0)-SUM($O$85:O86)</f>
        <v>0</v>
      </c>
      <c r="P87" s="259">
        <v>0</v>
      </c>
      <c r="Q87" s="131">
        <f t="shared" si="28"/>
        <v>0</v>
      </c>
      <c r="R87" s="130">
        <v>0</v>
      </c>
      <c r="S87" s="131">
        <f>+Q87-R87</f>
        <v>0</v>
      </c>
      <c r="T87" s="259"/>
      <c r="U87" s="271">
        <f t="shared" si="29"/>
        <v>0</v>
      </c>
    </row>
    <row r="88" spans="1:21" s="9" customFormat="1">
      <c r="A88" s="22"/>
      <c r="B88" s="33"/>
      <c r="C88" s="262"/>
      <c r="D88" s="254">
        <v>4</v>
      </c>
      <c r="E88" s="255">
        <f t="shared" si="30"/>
        <v>39915</v>
      </c>
      <c r="F88" s="275"/>
      <c r="G88" s="273"/>
      <c r="H88" s="258"/>
      <c r="I88" s="258"/>
      <c r="J88" s="258">
        <v>10498</v>
      </c>
      <c r="K88" s="258"/>
      <c r="L88" s="258" t="s">
        <v>310</v>
      </c>
      <c r="M88" s="130">
        <f>IF(SUM($F$85:F88)&gt;$B$85,(SUM($F$85:F88)-$B$85)*$C$85,0)-SUM($M$85:M87)</f>
        <v>0</v>
      </c>
      <c r="N88" s="130">
        <f>IF(SUM($H$85:H88)&gt;$B$85,(SUM($H$85:H88)-$B$85)*$C$85,0)-SUM($N$85:N87)</f>
        <v>0</v>
      </c>
      <c r="O88" s="130">
        <f>IF(SUM($J$85:J88)&gt;$B$85,(SUM($J$85:J88)-$B$85)*$C$85,0)-SUM($O$85:O87)</f>
        <v>0</v>
      </c>
      <c r="P88" s="259">
        <v>0</v>
      </c>
      <c r="Q88" s="131">
        <f t="shared" si="28"/>
        <v>0</v>
      </c>
      <c r="R88" s="130">
        <v>1805.8</v>
      </c>
      <c r="S88" s="131">
        <f>+Q88-R88</f>
        <v>-1805.8</v>
      </c>
      <c r="T88" s="259"/>
      <c r="U88" s="271">
        <f t="shared" si="29"/>
        <v>0</v>
      </c>
    </row>
    <row r="89" spans="1:21" s="9" customFormat="1">
      <c r="A89" s="22"/>
      <c r="B89" s="33"/>
      <c r="C89" s="262"/>
      <c r="D89" s="254">
        <v>5</v>
      </c>
      <c r="E89" s="255">
        <f t="shared" si="30"/>
        <v>39946</v>
      </c>
      <c r="F89" s="275"/>
      <c r="G89" s="273"/>
      <c r="H89" s="258"/>
      <c r="I89" s="258"/>
      <c r="J89" s="258">
        <v>11413</v>
      </c>
      <c r="K89" s="258"/>
      <c r="L89" s="258" t="s">
        <v>310</v>
      </c>
      <c r="M89" s="130">
        <f>IF(SUM($F$85:F89)&gt;$B$85,(SUM($F$85:F89)-$B$85)*$C$85,0)-SUM($M$85:M88)</f>
        <v>0</v>
      </c>
      <c r="N89" s="130">
        <f>IF(SUM($H$85:H89)&gt;$B$85,(SUM($H$85:H89)-$B$85)*$C$85,0)-SUM($N$85:N88)</f>
        <v>0</v>
      </c>
      <c r="O89" s="130">
        <f>IF(SUM($J$85:J89)&gt;$B$85,(SUM($J$85:J89)-$B$85)*$C$85,0)-SUM($O$85:O88)</f>
        <v>0</v>
      </c>
      <c r="P89" s="259">
        <v>0</v>
      </c>
      <c r="Q89" s="131">
        <f t="shared" si="28"/>
        <v>0</v>
      </c>
      <c r="R89" s="130">
        <v>-1805.8</v>
      </c>
      <c r="S89" s="131">
        <f t="shared" ref="S89:S96" si="31">+Q89-R89</f>
        <v>1805.8</v>
      </c>
      <c r="T89" s="259"/>
      <c r="U89" s="271">
        <f t="shared" si="29"/>
        <v>0</v>
      </c>
    </row>
    <row r="90" spans="1:21" s="9" customFormat="1">
      <c r="A90" s="22"/>
      <c r="B90" s="33"/>
      <c r="C90" s="262"/>
      <c r="D90" s="254">
        <v>6</v>
      </c>
      <c r="E90" s="255">
        <f t="shared" si="30"/>
        <v>39977</v>
      </c>
      <c r="F90" s="275"/>
      <c r="G90" s="273"/>
      <c r="H90" s="258"/>
      <c r="I90" s="258"/>
      <c r="J90" s="258">
        <v>12506</v>
      </c>
      <c r="K90" s="258"/>
      <c r="L90" s="258" t="s">
        <v>310</v>
      </c>
      <c r="M90" s="130">
        <f>IF(SUM($F$85:F90)&gt;$B$85,(SUM($F$85:F90)-$B$85)*$C$85,0)-SUM($M$85:M89)</f>
        <v>0</v>
      </c>
      <c r="N90" s="130">
        <f>IF(SUM($H$85:H90)&gt;$B$85,(SUM($H$85:H90)-$B$85)*$C$85,0)-SUM($N$85:N89)</f>
        <v>0</v>
      </c>
      <c r="O90" s="130">
        <f>IF(SUM($J$85:J90)&gt;$B$85,(SUM($J$85:J90)-$B$85)*$C$85,0)-SUM($O$85:O89)</f>
        <v>0</v>
      </c>
      <c r="P90" s="259">
        <v>0</v>
      </c>
      <c r="Q90" s="131">
        <f t="shared" si="28"/>
        <v>0</v>
      </c>
      <c r="R90" s="130">
        <v>0</v>
      </c>
      <c r="S90" s="131">
        <f t="shared" si="31"/>
        <v>0</v>
      </c>
      <c r="T90" s="259"/>
      <c r="U90" s="271">
        <f t="shared" si="29"/>
        <v>0</v>
      </c>
    </row>
    <row r="91" spans="1:21" s="9" customFormat="1">
      <c r="A91" s="22"/>
      <c r="B91" s="33"/>
      <c r="C91" s="262"/>
      <c r="D91" s="254">
        <v>7</v>
      </c>
      <c r="E91" s="255">
        <f t="shared" si="30"/>
        <v>40008</v>
      </c>
      <c r="F91" s="275"/>
      <c r="G91" s="273"/>
      <c r="H91" s="258"/>
      <c r="I91" s="258"/>
      <c r="J91" s="258">
        <v>12724</v>
      </c>
      <c r="K91" s="258"/>
      <c r="L91" s="258" t="s">
        <v>310</v>
      </c>
      <c r="M91" s="130">
        <f>IF(SUM($F$85:F91)&gt;$B$85,(SUM($F$85:F91)-$B$85)*$C$85,0)-SUM($M$85:M90)</f>
        <v>0</v>
      </c>
      <c r="N91" s="130">
        <f>IF(SUM($H$85:H91)&gt;$B$85,(SUM($H$85:H91)-$B$85)*$C$85,0)-SUM($N$85:N90)</f>
        <v>0</v>
      </c>
      <c r="O91" s="130">
        <f>IF(SUM($J$85:J91)&gt;$B$85,(SUM($J$85:J91)-$B$85)*$C$85,0)-SUM($O$85:O90)</f>
        <v>0</v>
      </c>
      <c r="P91" s="259">
        <v>0</v>
      </c>
      <c r="Q91" s="131">
        <f t="shared" si="28"/>
        <v>0</v>
      </c>
      <c r="R91" s="130">
        <v>0</v>
      </c>
      <c r="S91" s="131">
        <f t="shared" si="31"/>
        <v>0</v>
      </c>
      <c r="T91" s="259">
        <v>0</v>
      </c>
      <c r="U91" s="271">
        <f t="shared" si="29"/>
        <v>0</v>
      </c>
    </row>
    <row r="92" spans="1:21" s="9" customFormat="1">
      <c r="A92" s="22"/>
      <c r="B92" s="33"/>
      <c r="C92" s="262"/>
      <c r="D92" s="254">
        <v>8</v>
      </c>
      <c r="E92" s="255">
        <f t="shared" si="30"/>
        <v>40039</v>
      </c>
      <c r="F92" s="275"/>
      <c r="G92" s="273"/>
      <c r="H92" s="258"/>
      <c r="I92" s="258"/>
      <c r="J92" s="258">
        <v>10513</v>
      </c>
      <c r="K92" s="258"/>
      <c r="L92" s="258" t="s">
        <v>310</v>
      </c>
      <c r="M92" s="130">
        <f>IF(SUM($F$85:F92)&gt;$B$85,(SUM($F$85:F92)-$B$85)*$C$85,0)-SUM($M$85:M91)</f>
        <v>0</v>
      </c>
      <c r="N92" s="130">
        <f>IF(SUM($H$85:H92)&gt;$B$85,(SUM($H$85:H92)-$B$85)*$C$85,0)-SUM($N$85:N91)</f>
        <v>0</v>
      </c>
      <c r="O92" s="130">
        <f>IF(SUM($J$85:J92)&gt;$B$85,(SUM($J$85:J92)-$B$85)*$C$85,0)-SUM($O$85:O91)</f>
        <v>0</v>
      </c>
      <c r="P92" s="259">
        <v>0</v>
      </c>
      <c r="Q92" s="131">
        <f t="shared" si="28"/>
        <v>0</v>
      </c>
      <c r="R92" s="130">
        <v>0</v>
      </c>
      <c r="S92" s="131">
        <f t="shared" si="31"/>
        <v>0</v>
      </c>
      <c r="T92" s="259"/>
      <c r="U92" s="271">
        <f t="shared" si="29"/>
        <v>0</v>
      </c>
    </row>
    <row r="93" spans="1:21" s="9" customFormat="1">
      <c r="A93" s="22"/>
      <c r="B93" s="33"/>
      <c r="C93" s="262"/>
      <c r="D93" s="254">
        <v>9</v>
      </c>
      <c r="E93" s="255">
        <f t="shared" si="30"/>
        <v>40070</v>
      </c>
      <c r="F93" s="275"/>
      <c r="G93" s="273"/>
      <c r="H93" s="258"/>
      <c r="I93" s="258"/>
      <c r="J93" s="258">
        <v>8618</v>
      </c>
      <c r="K93" s="258"/>
      <c r="L93" s="258" t="s">
        <v>310</v>
      </c>
      <c r="M93" s="130">
        <f>IF(SUM($F$85:F93)&gt;$B$85,(SUM($F$85:F93)-$B$85)*$C$85,0)-SUM($M$85:M92)</f>
        <v>0</v>
      </c>
      <c r="N93" s="130">
        <f>IF(SUM($H$85:H93)&gt;$B$85,(SUM($H$85:H93)-$B$85)*$C$85,0)-SUM($N$85:N92)</f>
        <v>0</v>
      </c>
      <c r="O93" s="130">
        <f>IF(SUM($J$85:J93)&gt;$B$85,(SUM($J$85:J93)-$B$85)*$C$85,0)-SUM($O$85:O92)</f>
        <v>0</v>
      </c>
      <c r="P93" s="259">
        <v>0</v>
      </c>
      <c r="Q93" s="131">
        <f t="shared" si="28"/>
        <v>0</v>
      </c>
      <c r="R93" s="130">
        <v>0</v>
      </c>
      <c r="S93" s="131">
        <f t="shared" si="31"/>
        <v>0</v>
      </c>
      <c r="T93" s="259"/>
      <c r="U93" s="271">
        <f t="shared" si="29"/>
        <v>0</v>
      </c>
    </row>
    <row r="94" spans="1:21" s="9" customFormat="1">
      <c r="A94" s="22"/>
      <c r="B94" s="384"/>
      <c r="C94" s="262"/>
      <c r="D94" s="254">
        <v>10</v>
      </c>
      <c r="E94" s="255">
        <f t="shared" si="30"/>
        <v>40101</v>
      </c>
      <c r="F94" s="275"/>
      <c r="G94" s="273"/>
      <c r="H94" s="274"/>
      <c r="I94" s="258"/>
      <c r="J94" s="258">
        <v>9679</v>
      </c>
      <c r="K94" s="258"/>
      <c r="L94" s="258" t="s">
        <v>310</v>
      </c>
      <c r="M94" s="130">
        <f>IF(SUM($F$85:F94)&gt;$B$85,(SUM($F$85:F94)-$B$85)*$C$85,0)-SUM($M$85:M93)</f>
        <v>0</v>
      </c>
      <c r="N94" s="130">
        <f>IF(SUM($H$85:H94)&gt;$B$85,(SUM($H$85:H94)-$B$85)*$C$85,0)-SUM($N$85:N93)</f>
        <v>0</v>
      </c>
      <c r="O94" s="130">
        <f>IF(SUM($J$85:J94)&gt;$B$85,(SUM($J$85:J94)-$B$85)*$C$85,0)-SUM($O$85:O93)</f>
        <v>0</v>
      </c>
      <c r="P94" s="259">
        <v>0</v>
      </c>
      <c r="Q94" s="131">
        <f t="shared" si="28"/>
        <v>0</v>
      </c>
      <c r="R94" s="130">
        <v>0</v>
      </c>
      <c r="S94" s="131">
        <f t="shared" si="31"/>
        <v>0</v>
      </c>
      <c r="T94" s="259"/>
      <c r="U94" s="271">
        <f t="shared" si="29"/>
        <v>0</v>
      </c>
    </row>
    <row r="95" spans="1:21" s="9" customFormat="1">
      <c r="A95" s="22"/>
      <c r="B95" s="33"/>
      <c r="C95" s="262"/>
      <c r="D95" s="254">
        <v>11</v>
      </c>
      <c r="E95" s="255">
        <f t="shared" si="30"/>
        <v>40132</v>
      </c>
      <c r="F95" s="275"/>
      <c r="G95" s="273"/>
      <c r="H95" s="274"/>
      <c r="I95" s="258"/>
      <c r="J95" s="258">
        <v>10075</v>
      </c>
      <c r="K95" s="258"/>
      <c r="L95" s="258" t="s">
        <v>310</v>
      </c>
      <c r="M95" s="130">
        <f>IF(SUM($F$85:F95)&gt;$B$85,(SUM($F$85:F95)-$B$85)*$C$85,0)-SUM($M$85:M94)</f>
        <v>0</v>
      </c>
      <c r="N95" s="130">
        <f>IF(SUM($H$85:H95)&gt;$B$85,(SUM($H$85:H95)-$B$85)*$C$85,0)-SUM($N$85:N94)</f>
        <v>0</v>
      </c>
      <c r="O95" s="130">
        <f>IF(SUM($J$85:J95)&gt;$B$85,(SUM($J$85:J95)-$B$85)*$C$85,0)-SUM($O$85:O94)</f>
        <v>0</v>
      </c>
      <c r="P95" s="259">
        <v>0</v>
      </c>
      <c r="Q95" s="131">
        <f t="shared" si="28"/>
        <v>0</v>
      </c>
      <c r="R95" s="130">
        <v>0</v>
      </c>
      <c r="S95" s="131">
        <f t="shared" si="31"/>
        <v>0</v>
      </c>
      <c r="T95" s="259"/>
      <c r="U95" s="271">
        <f t="shared" si="29"/>
        <v>0</v>
      </c>
    </row>
    <row r="96" spans="1:21" s="9" customFormat="1">
      <c r="A96" s="22"/>
      <c r="B96" s="33"/>
      <c r="C96" s="262"/>
      <c r="D96" s="254">
        <v>12</v>
      </c>
      <c r="E96" s="255">
        <f t="shared" si="30"/>
        <v>40163</v>
      </c>
      <c r="F96" s="275"/>
      <c r="G96" s="273"/>
      <c r="H96" s="274"/>
      <c r="I96" s="258"/>
      <c r="J96" s="264">
        <v>8014</v>
      </c>
      <c r="K96" s="264"/>
      <c r="L96" s="258" t="s">
        <v>310</v>
      </c>
      <c r="M96" s="130">
        <f>IF(SUM($F$85:F96)&gt;$B$85,(SUM($F$85:F96)-$B$85)*$C$85,0)-SUM($M$85:M95)</f>
        <v>0</v>
      </c>
      <c r="N96" s="130">
        <f>IF(SUM($H$85:H96)&gt;$B$85,(SUM($H$85:H96)-$B$85)*$C$85,0)-SUM($N$85:N95)</f>
        <v>0</v>
      </c>
      <c r="O96" s="130">
        <f>IF(SUM($J$85:J96)&gt;$B$85,(SUM($J$85:J96)-$B$85)*$C$85,0)-SUM($O$85:O95)</f>
        <v>0</v>
      </c>
      <c r="P96" s="259">
        <v>0</v>
      </c>
      <c r="Q96" s="131">
        <f t="shared" si="28"/>
        <v>0</v>
      </c>
      <c r="R96" s="130">
        <f>235.11-235.11</f>
        <v>0</v>
      </c>
      <c r="S96" s="131">
        <f t="shared" si="31"/>
        <v>0</v>
      </c>
      <c r="T96" s="259"/>
      <c r="U96" s="271">
        <f t="shared" si="29"/>
        <v>0</v>
      </c>
    </row>
    <row r="97" spans="1:21" s="3" customFormat="1">
      <c r="B97" s="252"/>
      <c r="C97" s="265"/>
      <c r="D97" s="265"/>
      <c r="E97" s="266" t="s">
        <v>147</v>
      </c>
      <c r="F97" s="268">
        <f>SUM(F85:F96)</f>
        <v>0</v>
      </c>
      <c r="G97" s="268"/>
      <c r="H97" s="268">
        <f>SUM(H85:H96)</f>
        <v>0</v>
      </c>
      <c r="I97" s="268"/>
      <c r="J97" s="268">
        <f>SUM(J85:J96)</f>
        <v>129687</v>
      </c>
      <c r="K97" s="268"/>
      <c r="L97" s="268">
        <f>SUM(L85:L96)</f>
        <v>0</v>
      </c>
      <c r="M97" s="268">
        <f t="shared" ref="M97:U97" si="32">SUBTOTAL(9,M85:M96)</f>
        <v>0</v>
      </c>
      <c r="N97" s="268">
        <f t="shared" si="32"/>
        <v>0</v>
      </c>
      <c r="O97" s="268">
        <f t="shared" si="32"/>
        <v>0</v>
      </c>
      <c r="P97" s="268">
        <f t="shared" si="32"/>
        <v>0</v>
      </c>
      <c r="Q97" s="268">
        <f t="shared" si="32"/>
        <v>0</v>
      </c>
      <c r="R97" s="268">
        <f t="shared" si="32"/>
        <v>0</v>
      </c>
      <c r="S97" s="268">
        <f t="shared" si="32"/>
        <v>0</v>
      </c>
      <c r="T97" s="268">
        <f t="shared" si="32"/>
        <v>0</v>
      </c>
      <c r="U97" s="268">
        <f t="shared" si="32"/>
        <v>0</v>
      </c>
    </row>
    <row r="98" spans="1:21" s="3" customFormat="1">
      <c r="B98" s="252"/>
      <c r="C98" s="265"/>
      <c r="D98" s="265"/>
      <c r="E98" s="266"/>
      <c r="F98" s="304"/>
      <c r="G98" s="304"/>
      <c r="H98" s="304"/>
      <c r="I98" s="304"/>
      <c r="J98" s="304"/>
      <c r="K98" s="304"/>
      <c r="L98" s="304"/>
      <c r="M98" s="304"/>
      <c r="N98" s="304"/>
      <c r="O98" s="304"/>
      <c r="P98" s="304"/>
      <c r="Q98" s="304"/>
      <c r="R98" s="304"/>
      <c r="S98" s="304"/>
      <c r="T98" s="304"/>
      <c r="U98" s="304"/>
    </row>
    <row r="99" spans="1:21" s="3" customFormat="1">
      <c r="A99" s="3" t="s">
        <v>198</v>
      </c>
      <c r="B99" s="252">
        <f>(1083486/12*6)+(1132190/12*6)</f>
        <v>1107838</v>
      </c>
      <c r="C99" s="265">
        <v>0.06</v>
      </c>
      <c r="D99" s="254">
        <v>1</v>
      </c>
      <c r="E99" s="255">
        <v>39822</v>
      </c>
      <c r="F99" s="275"/>
      <c r="G99" s="273"/>
      <c r="H99" s="258"/>
      <c r="I99" s="258"/>
      <c r="J99" s="258">
        <v>40398</v>
      </c>
      <c r="K99" s="258"/>
      <c r="L99" s="258" t="s">
        <v>310</v>
      </c>
      <c r="M99" s="130">
        <f>IF(F99&gt;$B$99,($F$99-B99)*$C$99,0)</f>
        <v>0</v>
      </c>
      <c r="N99" s="130">
        <f>IF(H99&gt;$B$99,($H$99-C99)*$C$99,0)</f>
        <v>0</v>
      </c>
      <c r="O99" s="130">
        <f>IF(J99&gt;$B$99,($J$99-B99)*$C$99,0)</f>
        <v>0</v>
      </c>
      <c r="P99" s="259">
        <v>0</v>
      </c>
      <c r="Q99" s="131">
        <f>O99+P99</f>
        <v>0</v>
      </c>
      <c r="R99" s="130">
        <v>0</v>
      </c>
      <c r="S99" s="131">
        <f>+Q99-R99</f>
        <v>0</v>
      </c>
      <c r="T99" s="259"/>
      <c r="U99" s="271">
        <f>Q99+T99</f>
        <v>0</v>
      </c>
    </row>
    <row r="100" spans="1:21" s="3" customFormat="1">
      <c r="A100" s="22" t="s">
        <v>313</v>
      </c>
      <c r="B100" s="252"/>
      <c r="C100" s="265"/>
      <c r="D100" s="254">
        <v>2</v>
      </c>
      <c r="E100" s="255">
        <f>+E99+31</f>
        <v>39853</v>
      </c>
      <c r="F100" s="275"/>
      <c r="G100" s="273"/>
      <c r="H100" s="258"/>
      <c r="I100" s="258"/>
      <c r="J100" s="258">
        <v>28110</v>
      </c>
      <c r="K100" s="258"/>
      <c r="L100" s="258" t="s">
        <v>310</v>
      </c>
      <c r="M100" s="130">
        <f>IF(SUM($F$99:F100)&gt;$B$99,(SUM($F$99:F100)-$B$99)*$C$99,0)-SUM($M$99:M99)</f>
        <v>0</v>
      </c>
      <c r="N100" s="130">
        <f>IF(SUM($H$99:H100)&gt;$B$99,(SUM($H$99:H100)-$B$99)*$C$99,0)-SUM($N$99:N99)</f>
        <v>0</v>
      </c>
      <c r="O100" s="130">
        <f>IF(SUM($J$99:J100)&gt;$B$99,(SUM($J$99:J100)-$B$99)*$C$99,0)-SUM($O$99:O99)</f>
        <v>0</v>
      </c>
      <c r="P100" s="259">
        <v>0</v>
      </c>
      <c r="Q100" s="131">
        <f t="shared" ref="Q100:Q110" si="33">O100+P100</f>
        <v>0</v>
      </c>
      <c r="R100" s="130">
        <v>0</v>
      </c>
      <c r="S100" s="131">
        <f>+Q100-R100</f>
        <v>0</v>
      </c>
      <c r="T100" s="259"/>
      <c r="U100" s="271">
        <f t="shared" ref="U100:U110" si="34">Q100+T100</f>
        <v>0</v>
      </c>
    </row>
    <row r="101" spans="1:21" s="3" customFormat="1">
      <c r="A101" s="22" t="s">
        <v>312</v>
      </c>
      <c r="B101" s="252"/>
      <c r="C101" s="265"/>
      <c r="D101" s="254">
        <v>3</v>
      </c>
      <c r="E101" s="255">
        <f t="shared" ref="E101:E110" si="35">+E100+31</f>
        <v>39884</v>
      </c>
      <c r="F101" s="275"/>
      <c r="G101" s="273"/>
      <c r="H101" s="258"/>
      <c r="I101" s="258"/>
      <c r="J101" s="258">
        <v>17844.48</v>
      </c>
      <c r="K101" s="258"/>
      <c r="L101" s="258" t="s">
        <v>310</v>
      </c>
      <c r="M101" s="130">
        <f>IF(SUM($F$99:F101)&gt;$B$99,(SUM($F$99:F101)-$B$99)*$C$99,0)-SUM($M$99:M100)</f>
        <v>0</v>
      </c>
      <c r="N101" s="130">
        <f>IF(SUM($H$99:H101)&gt;$B$99,(SUM($H$99:H101)-$B$99)*$C$99,0)-SUM($N$99:N100)</f>
        <v>0</v>
      </c>
      <c r="O101" s="130">
        <f>IF(SUM($J$99:J101)&gt;$B$99,(SUM($J$99:J101)-$B$99)*$C$99,0)-SUM($O$99:O100)</f>
        <v>0</v>
      </c>
      <c r="P101" s="259">
        <v>0</v>
      </c>
      <c r="Q101" s="131">
        <f t="shared" si="33"/>
        <v>0</v>
      </c>
      <c r="R101" s="130">
        <v>0</v>
      </c>
      <c r="S101" s="131">
        <f>+Q101-R101</f>
        <v>0</v>
      </c>
      <c r="T101" s="259"/>
      <c r="U101" s="271">
        <f t="shared" si="34"/>
        <v>0</v>
      </c>
    </row>
    <row r="102" spans="1:21" s="3" customFormat="1">
      <c r="B102" s="252"/>
      <c r="C102" s="265"/>
      <c r="D102" s="254">
        <v>4</v>
      </c>
      <c r="E102" s="255">
        <f t="shared" si="35"/>
        <v>39915</v>
      </c>
      <c r="F102" s="275"/>
      <c r="G102" s="273"/>
      <c r="H102" s="258"/>
      <c r="I102" s="258"/>
      <c r="J102" s="258">
        <v>23129</v>
      </c>
      <c r="K102" s="258"/>
      <c r="L102" s="258" t="s">
        <v>310</v>
      </c>
      <c r="M102" s="130">
        <f>IF(SUM($F$99:F102)&gt;$B$99,(SUM($F$99:F102)-$B$99)*$C$99,0)-SUM($M$99:M101)</f>
        <v>0</v>
      </c>
      <c r="N102" s="130">
        <f>IF(SUM($H$99:H102)&gt;$B$99,(SUM($H$99:H102)-$B$99)*$C$99,0)-SUM($N$99:N101)</f>
        <v>0</v>
      </c>
      <c r="O102" s="130">
        <f>IF(SUM($J$99:J102)&gt;$B$99,(SUM($J$99:J102)-$B$99)*$C$99,0)-SUM($O$99:O101)</f>
        <v>0</v>
      </c>
      <c r="P102" s="259">
        <v>0</v>
      </c>
      <c r="Q102" s="131">
        <f t="shared" si="33"/>
        <v>0</v>
      </c>
      <c r="R102" s="130">
        <v>0</v>
      </c>
      <c r="S102" s="131">
        <f>+Q102-R102</f>
        <v>0</v>
      </c>
      <c r="T102" s="259"/>
      <c r="U102" s="271">
        <f t="shared" si="34"/>
        <v>0</v>
      </c>
    </row>
    <row r="103" spans="1:21" s="3" customFormat="1">
      <c r="B103" s="252"/>
      <c r="C103" s="265"/>
      <c r="D103" s="254">
        <v>5</v>
      </c>
      <c r="E103" s="255">
        <f t="shared" si="35"/>
        <v>39946</v>
      </c>
      <c r="F103" s="275"/>
      <c r="G103" s="273"/>
      <c r="H103" s="258"/>
      <c r="I103" s="258"/>
      <c r="J103" s="258">
        <v>62726.12</v>
      </c>
      <c r="K103" s="258"/>
      <c r="L103" s="258" t="s">
        <v>310</v>
      </c>
      <c r="M103" s="130">
        <f>IF(SUM($F$99:F103)&gt;$B$99,(SUM($F$99:F103)-$B$99)*$C$99,0)-SUM($M$99:M102)</f>
        <v>0</v>
      </c>
      <c r="N103" s="130">
        <f>IF(SUM($H$99:H103)&gt;$B$99,(SUM($H$99:H103)-$B$99)*$C$99,0)-SUM($N$99:N102)</f>
        <v>0</v>
      </c>
      <c r="O103" s="130">
        <f>IF(SUM($J$99:J103)&gt;$B$99,(SUM($J$99:J103)-$B$99)*$C$99,0)-SUM($O$99:O102)</f>
        <v>0</v>
      </c>
      <c r="P103" s="259">
        <v>0</v>
      </c>
      <c r="Q103" s="131">
        <f t="shared" si="33"/>
        <v>0</v>
      </c>
      <c r="R103" s="130">
        <v>0</v>
      </c>
      <c r="S103" s="131">
        <f t="shared" ref="S103:S110" si="36">+Q103-R103</f>
        <v>0</v>
      </c>
      <c r="T103" s="259"/>
      <c r="U103" s="271">
        <f t="shared" si="34"/>
        <v>0</v>
      </c>
    </row>
    <row r="104" spans="1:21" s="3" customFormat="1">
      <c r="B104" s="252"/>
      <c r="C104" s="265"/>
      <c r="D104" s="254">
        <v>6</v>
      </c>
      <c r="E104" s="255">
        <f t="shared" si="35"/>
        <v>39977</v>
      </c>
      <c r="F104" s="275"/>
      <c r="G104" s="273"/>
      <c r="H104" s="258"/>
      <c r="I104" s="258"/>
      <c r="J104" s="258">
        <v>17438.59</v>
      </c>
      <c r="K104" s="258"/>
      <c r="L104" s="258" t="s">
        <v>310</v>
      </c>
      <c r="M104" s="130">
        <f>IF(SUM($F$99:F104)&gt;$B$99,(SUM($F$99:F104)-$B$99)*$C$99,0)-SUM($M$99:M103)</f>
        <v>0</v>
      </c>
      <c r="N104" s="130">
        <f>IF(SUM($H$99:H104)&gt;$B$99,(SUM($H$99:H104)-$B$99)*$C$99,0)-SUM($N$99:N103)</f>
        <v>0</v>
      </c>
      <c r="O104" s="130">
        <f>IF(SUM($J$99:J104)&gt;$B$99,(SUM($J$99:J104)-$B$99)*$C$99,0)-SUM($O$99:O103)</f>
        <v>0</v>
      </c>
      <c r="P104" s="259">
        <v>0</v>
      </c>
      <c r="Q104" s="131">
        <f t="shared" si="33"/>
        <v>0</v>
      </c>
      <c r="R104" s="130">
        <v>0</v>
      </c>
      <c r="S104" s="131">
        <f t="shared" si="36"/>
        <v>0</v>
      </c>
      <c r="T104" s="259"/>
      <c r="U104" s="271">
        <f t="shared" si="34"/>
        <v>0</v>
      </c>
    </row>
    <row r="105" spans="1:21" s="3" customFormat="1">
      <c r="B105" s="252"/>
      <c r="C105" s="265"/>
      <c r="D105" s="254">
        <v>7</v>
      </c>
      <c r="E105" s="255">
        <f t="shared" si="35"/>
        <v>40008</v>
      </c>
      <c r="F105" s="275"/>
      <c r="G105" s="273"/>
      <c r="H105" s="258"/>
      <c r="I105" s="258"/>
      <c r="J105" s="258">
        <v>18707.36</v>
      </c>
      <c r="K105" s="258"/>
      <c r="L105" s="258" t="s">
        <v>310</v>
      </c>
      <c r="M105" s="130">
        <f>IF(SUM($F$99:F105)&gt;$B$99,(SUM($F$99:F105)-$B$99)*$C$99,0)-SUM($M$99:M104)</f>
        <v>0</v>
      </c>
      <c r="N105" s="130">
        <f>IF(SUM($H$99:H105)&gt;$B$99,(SUM($H$99:H105)-$B$99)*$C$99,0)-SUM($N$99:N104)</f>
        <v>0</v>
      </c>
      <c r="O105" s="130">
        <f>IF(SUM($J$99:J105)&gt;$B$99,(SUM($J$99:J105)-$B$99)*$C$99,0)-SUM($O$99:O104)</f>
        <v>0</v>
      </c>
      <c r="P105" s="259">
        <v>0</v>
      </c>
      <c r="Q105" s="131">
        <f t="shared" si="33"/>
        <v>0</v>
      </c>
      <c r="R105" s="130">
        <v>0</v>
      </c>
      <c r="S105" s="131">
        <f t="shared" si="36"/>
        <v>0</v>
      </c>
      <c r="T105" s="259">
        <v>0</v>
      </c>
      <c r="U105" s="271">
        <f t="shared" si="34"/>
        <v>0</v>
      </c>
    </row>
    <row r="106" spans="1:21" s="3" customFormat="1">
      <c r="B106" s="252"/>
      <c r="C106" s="265"/>
      <c r="D106" s="254">
        <v>8</v>
      </c>
      <c r="E106" s="255">
        <f t="shared" si="35"/>
        <v>40039</v>
      </c>
      <c r="F106" s="275"/>
      <c r="G106" s="273"/>
      <c r="H106" s="258"/>
      <c r="I106" s="258"/>
      <c r="J106" s="258">
        <v>35255.699999999997</v>
      </c>
      <c r="K106" s="258"/>
      <c r="L106" s="258" t="s">
        <v>310</v>
      </c>
      <c r="M106" s="130">
        <f>IF(SUM($F$99:F106)&gt;$B$99,(SUM($F$99:F106)-$B$99)*$C$99,0)-SUM($M$99:M105)</f>
        <v>0</v>
      </c>
      <c r="N106" s="130">
        <f>IF(SUM($H$99:H106)&gt;$B$99,(SUM($H$99:H106)-$B$99)*$C$99,0)-SUM($N$99:N105)</f>
        <v>0</v>
      </c>
      <c r="O106" s="130">
        <f>IF(SUM($J$99:J106)&gt;$B$99,(SUM($J$99:J106)-$B$99)*$C$99,0)-SUM($O$99:O105)</f>
        <v>0</v>
      </c>
      <c r="P106" s="259">
        <v>0</v>
      </c>
      <c r="Q106" s="131">
        <f t="shared" si="33"/>
        <v>0</v>
      </c>
      <c r="R106" s="130">
        <v>0</v>
      </c>
      <c r="S106" s="131">
        <f t="shared" si="36"/>
        <v>0</v>
      </c>
      <c r="T106" s="259"/>
      <c r="U106" s="271">
        <f t="shared" si="34"/>
        <v>0</v>
      </c>
    </row>
    <row r="107" spans="1:21" s="3" customFormat="1">
      <c r="B107" s="252"/>
      <c r="C107" s="265"/>
      <c r="D107" s="254">
        <v>9</v>
      </c>
      <c r="E107" s="255">
        <f t="shared" si="35"/>
        <v>40070</v>
      </c>
      <c r="F107" s="275"/>
      <c r="G107" s="273"/>
      <c r="H107" s="258"/>
      <c r="I107" s="258"/>
      <c r="J107" s="258">
        <v>58800.14</v>
      </c>
      <c r="K107" s="258"/>
      <c r="L107" s="258" t="s">
        <v>310</v>
      </c>
      <c r="M107" s="130">
        <f>IF(SUM($F$99:F107)&gt;$B$99,(SUM($F$99:F107)-$B$99)*$C$99,0)-SUM($M$99:M106)</f>
        <v>0</v>
      </c>
      <c r="N107" s="130">
        <f>IF(SUM($H$99:H107)&gt;$B$99,(SUM($H$99:H107)-$B$99)*$C$99,0)-SUM($N$99:N106)</f>
        <v>0</v>
      </c>
      <c r="O107" s="130">
        <f>IF(SUM($J$99:J107)&gt;$B$99,(SUM($J$99:J107)-$B$99)*$C$99,0)-SUM($O$99:O106)</f>
        <v>0</v>
      </c>
      <c r="P107" s="259">
        <v>0</v>
      </c>
      <c r="Q107" s="131">
        <f t="shared" si="33"/>
        <v>0</v>
      </c>
      <c r="R107" s="130">
        <v>0</v>
      </c>
      <c r="S107" s="131">
        <f t="shared" si="36"/>
        <v>0</v>
      </c>
      <c r="T107" s="259"/>
      <c r="U107" s="271">
        <f t="shared" si="34"/>
        <v>0</v>
      </c>
    </row>
    <row r="108" spans="1:21" s="3" customFormat="1">
      <c r="B108" s="252"/>
      <c r="C108" s="265"/>
      <c r="D108" s="254">
        <v>10</v>
      </c>
      <c r="E108" s="255">
        <f t="shared" si="35"/>
        <v>40101</v>
      </c>
      <c r="F108" s="275"/>
      <c r="G108" s="273"/>
      <c r="H108" s="274"/>
      <c r="I108" s="258"/>
      <c r="J108" s="258">
        <v>65174.48</v>
      </c>
      <c r="K108" s="258"/>
      <c r="L108" s="258" t="s">
        <v>310</v>
      </c>
      <c r="M108" s="130">
        <f>IF(SUM($F$99:F108)&gt;$B$99,(SUM($F$99:F108)-$B$99)*$C$99,0)-SUM($M$99:M107)</f>
        <v>0</v>
      </c>
      <c r="N108" s="130">
        <f>IF(SUM($H$99:H108)&gt;$B$99,(SUM($H$99:H108)-$B$99)*$C$99,0)-SUM($N$99:N107)</f>
        <v>0</v>
      </c>
      <c r="O108" s="130">
        <f>IF(SUM($J$99:J108)&gt;$B$99,(SUM($J$99:J108)-$B$99)*$C$99,0)-SUM($O$99:O107)</f>
        <v>0</v>
      </c>
      <c r="P108" s="259">
        <v>0</v>
      </c>
      <c r="Q108" s="131">
        <f t="shared" si="33"/>
        <v>0</v>
      </c>
      <c r="R108" s="130">
        <v>0</v>
      </c>
      <c r="S108" s="131">
        <f t="shared" si="36"/>
        <v>0</v>
      </c>
      <c r="T108" s="259"/>
      <c r="U108" s="271">
        <f t="shared" si="34"/>
        <v>0</v>
      </c>
    </row>
    <row r="109" spans="1:21" s="3" customFormat="1">
      <c r="B109" s="252"/>
      <c r="C109" s="265"/>
      <c r="D109" s="254">
        <v>11</v>
      </c>
      <c r="E109" s="255">
        <f t="shared" si="35"/>
        <v>40132</v>
      </c>
      <c r="F109" s="275"/>
      <c r="G109" s="273"/>
      <c r="H109" s="274"/>
      <c r="I109" s="258"/>
      <c r="J109" s="258">
        <v>21460</v>
      </c>
      <c r="K109" s="258"/>
      <c r="L109" s="258" t="s">
        <v>310</v>
      </c>
      <c r="M109" s="130">
        <f>IF(SUM($F$99:F109)&gt;$B$99,(SUM($F$99:F109)-$B$99)*$C$99,0)-SUM($M$99:M108)</f>
        <v>0</v>
      </c>
      <c r="N109" s="130">
        <f>IF(SUM($H$99:H109)&gt;$B$99,(SUM($H$99:H109)-$B$99)*$C$99,0)-SUM($N$99:N108)</f>
        <v>0</v>
      </c>
      <c r="O109" s="130">
        <f>IF(SUM($J$99:J109)&gt;$B$99,(SUM($J$99:J109)-$B$99)*$C$99,0)-SUM($O$99:O108)</f>
        <v>0</v>
      </c>
      <c r="P109" s="259">
        <v>0</v>
      </c>
      <c r="Q109" s="131">
        <f t="shared" si="33"/>
        <v>0</v>
      </c>
      <c r="R109" s="130">
        <f>1596.58</f>
        <v>1596.58</v>
      </c>
      <c r="S109" s="131">
        <f t="shared" si="36"/>
        <v>-1596.58</v>
      </c>
      <c r="T109" s="259"/>
      <c r="U109" s="271">
        <f t="shared" si="34"/>
        <v>0</v>
      </c>
    </row>
    <row r="110" spans="1:21" s="3" customFormat="1">
      <c r="B110" s="252"/>
      <c r="C110" s="265"/>
      <c r="D110" s="254">
        <v>12</v>
      </c>
      <c r="E110" s="255">
        <f t="shared" si="35"/>
        <v>40163</v>
      </c>
      <c r="F110" s="275"/>
      <c r="G110" s="273"/>
      <c r="H110" s="274"/>
      <c r="I110" s="258"/>
      <c r="J110" s="264">
        <v>116900.16</v>
      </c>
      <c r="K110" s="264"/>
      <c r="L110" s="258" t="s">
        <v>310</v>
      </c>
      <c r="M110" s="130">
        <f>IF(SUM($F$99:F110)&gt;$B$99,(SUM($F$99:F110)-$B$99)*$C$99,0)-SUM($M$99:M109)</f>
        <v>0</v>
      </c>
      <c r="N110" s="130">
        <f>IF(SUM($H$99:H110)&gt;$B$99,(SUM($H$99:H110)-$B$99)*$C$99,0)-SUM($N$99:N109)</f>
        <v>0</v>
      </c>
      <c r="O110" s="130">
        <f>IF(SUM($J$99:J110)&gt;$B$99,(SUM($J$99:J110)-$B$99)*$C$99,0)-SUM($O$99:O109)</f>
        <v>0</v>
      </c>
      <c r="P110" s="259">
        <v>0</v>
      </c>
      <c r="Q110" s="131">
        <f t="shared" si="33"/>
        <v>0</v>
      </c>
      <c r="R110" s="130">
        <f>-1596.58</f>
        <v>-1596.58</v>
      </c>
      <c r="S110" s="131">
        <f t="shared" si="36"/>
        <v>1596.58</v>
      </c>
      <c r="T110" s="259"/>
      <c r="U110" s="271">
        <f t="shared" si="34"/>
        <v>0</v>
      </c>
    </row>
    <row r="111" spans="1:21" s="3" customFormat="1">
      <c r="B111" s="252"/>
      <c r="C111" s="265"/>
      <c r="D111" s="265"/>
      <c r="E111" s="266" t="s">
        <v>147</v>
      </c>
      <c r="F111" s="268">
        <f>SUM(F99:F110)</f>
        <v>0</v>
      </c>
      <c r="G111" s="268"/>
      <c r="H111" s="268">
        <f>SUM(H99:H110)</f>
        <v>0</v>
      </c>
      <c r="I111" s="268"/>
      <c r="J111" s="268">
        <f>SUM(J99:J110)</f>
        <v>505944.03</v>
      </c>
      <c r="K111" s="268"/>
      <c r="L111" s="268">
        <f>SUM(L99:L110)</f>
        <v>0</v>
      </c>
      <c r="M111" s="268">
        <f t="shared" ref="M111:U111" si="37">SUBTOTAL(9,M99:M110)</f>
        <v>0</v>
      </c>
      <c r="N111" s="268">
        <f t="shared" si="37"/>
        <v>0</v>
      </c>
      <c r="O111" s="268">
        <f t="shared" si="37"/>
        <v>0</v>
      </c>
      <c r="P111" s="268">
        <f t="shared" si="37"/>
        <v>0</v>
      </c>
      <c r="Q111" s="268">
        <f t="shared" si="37"/>
        <v>0</v>
      </c>
      <c r="R111" s="268">
        <f t="shared" si="37"/>
        <v>0</v>
      </c>
      <c r="S111" s="268">
        <f t="shared" si="37"/>
        <v>0</v>
      </c>
      <c r="T111" s="268">
        <f t="shared" si="37"/>
        <v>0</v>
      </c>
      <c r="U111" s="268">
        <f t="shared" si="37"/>
        <v>0</v>
      </c>
    </row>
    <row r="112" spans="1:21" s="3" customFormat="1">
      <c r="B112" s="252"/>
      <c r="C112" s="265"/>
      <c r="D112" s="265"/>
      <c r="E112" s="266"/>
      <c r="F112" s="304"/>
      <c r="G112" s="304"/>
      <c r="H112" s="304"/>
      <c r="I112" s="304"/>
      <c r="J112" s="304"/>
      <c r="K112" s="304"/>
      <c r="L112" s="304"/>
      <c r="M112" s="304"/>
      <c r="N112" s="304"/>
      <c r="O112" s="304"/>
      <c r="P112" s="304"/>
      <c r="Q112" s="304"/>
      <c r="R112" s="304"/>
      <c r="S112" s="304"/>
      <c r="T112" s="304"/>
      <c r="U112" s="304"/>
    </row>
    <row r="113" spans="1:21" s="3" customFormat="1" ht="13.5" thickBot="1">
      <c r="B113" s="252"/>
      <c r="C113" s="265"/>
      <c r="D113" s="265"/>
      <c r="E113" s="266"/>
      <c r="F113" s="304"/>
      <c r="G113" s="304"/>
      <c r="H113" s="304"/>
      <c r="I113" s="304"/>
      <c r="J113" s="304"/>
      <c r="K113" s="304"/>
      <c r="L113" s="304"/>
      <c r="M113" s="304"/>
      <c r="N113" s="304"/>
      <c r="O113" s="304"/>
      <c r="P113" s="304"/>
      <c r="Q113" s="304"/>
      <c r="R113" s="304"/>
      <c r="S113" s="304"/>
      <c r="T113" s="304"/>
      <c r="U113" s="304"/>
    </row>
    <row r="114" spans="1:21" s="9" customFormat="1" ht="33.75" customHeight="1" thickBot="1">
      <c r="A114" s="22"/>
      <c r="B114" s="33"/>
      <c r="C114" s="262"/>
      <c r="D114" s="262"/>
      <c r="E114" s="255"/>
      <c r="F114" s="258"/>
      <c r="G114" s="258"/>
      <c r="H114" s="258"/>
      <c r="I114" s="258"/>
      <c r="J114" s="258"/>
      <c r="K114" s="258"/>
      <c r="L114" s="288" t="s">
        <v>316</v>
      </c>
      <c r="M114" s="276">
        <f t="shared" ref="M114:U114" si="38">SUBTOTAL(9,M9:M111)</f>
        <v>103284.6</v>
      </c>
      <c r="N114" s="276">
        <f t="shared" si="38"/>
        <v>97348.613500000007</v>
      </c>
      <c r="O114" s="276">
        <f t="shared" si="38"/>
        <v>96995.563500000004</v>
      </c>
      <c r="P114" s="276">
        <f t="shared" si="38"/>
        <v>0</v>
      </c>
      <c r="Q114" s="276">
        <f t="shared" si="38"/>
        <v>96995.563500000004</v>
      </c>
      <c r="R114" s="276">
        <f t="shared" si="38"/>
        <v>96995.57</v>
      </c>
      <c r="S114" s="276">
        <f t="shared" si="38"/>
        <v>-6.5000000031432137E-3</v>
      </c>
      <c r="T114" s="276">
        <f t="shared" si="38"/>
        <v>0</v>
      </c>
      <c r="U114" s="276">
        <f t="shared" si="38"/>
        <v>96995.563500000004</v>
      </c>
    </row>
    <row r="115" spans="1:21" s="277" customFormat="1" ht="12.75" customHeight="1">
      <c r="A115" s="380"/>
      <c r="B115" s="380"/>
      <c r="C115" s="380"/>
      <c r="D115" s="380"/>
      <c r="E115" s="380"/>
      <c r="F115" s="645"/>
      <c r="G115" s="380"/>
      <c r="H115" s="380"/>
      <c r="I115" s="380"/>
      <c r="J115" s="647"/>
      <c r="K115" s="380"/>
      <c r="L115" s="288"/>
      <c r="M115" s="381"/>
      <c r="N115" s="381"/>
      <c r="O115" s="381"/>
      <c r="P115" s="381"/>
      <c r="Q115" s="381"/>
      <c r="R115" s="381"/>
      <c r="S115" s="644" t="s">
        <v>317</v>
      </c>
      <c r="T115" s="381"/>
      <c r="U115" s="644" t="s">
        <v>318</v>
      </c>
    </row>
    <row r="116" spans="1:21" s="22" customFormat="1">
      <c r="C116" s="245"/>
      <c r="D116" s="245"/>
      <c r="E116" s="278"/>
      <c r="F116" s="646"/>
      <c r="G116" s="132"/>
      <c r="H116" s="132"/>
      <c r="I116" s="132"/>
      <c r="J116" s="132"/>
      <c r="K116" s="132"/>
      <c r="L116" s="132"/>
      <c r="M116" s="132"/>
      <c r="N116" s="132"/>
      <c r="O116" s="132"/>
      <c r="P116" s="213"/>
      <c r="Q116" s="227"/>
      <c r="R116" s="132"/>
      <c r="S116" s="151">
        <v>0</v>
      </c>
      <c r="T116" s="279" t="s">
        <v>319</v>
      </c>
      <c r="U116" s="218">
        <v>-96995.57</v>
      </c>
    </row>
    <row r="117" spans="1:21" s="22" customFormat="1">
      <c r="C117" s="245"/>
      <c r="D117" s="245"/>
      <c r="E117" s="278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213"/>
      <c r="Q117" s="227"/>
      <c r="R117" s="132"/>
      <c r="S117" s="873">
        <f>S114-S116</f>
        <v>-6.5000000031432137E-3</v>
      </c>
      <c r="T117" s="279" t="s">
        <v>320</v>
      </c>
      <c r="U117" s="651">
        <f>S117</f>
        <v>-6.5000000031432137E-3</v>
      </c>
    </row>
    <row r="118" spans="1:21" s="22" customFormat="1">
      <c r="C118" s="245"/>
      <c r="D118" s="245"/>
      <c r="E118" s="278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213"/>
      <c r="Q118" s="227"/>
      <c r="R118" s="132"/>
      <c r="S118" s="151">
        <f>SUM(S116:S117)</f>
        <v>-6.5000000031432137E-3</v>
      </c>
      <c r="T118" s="279" t="s">
        <v>147</v>
      </c>
      <c r="U118" s="218">
        <f>-U116+U117</f>
        <v>96995.563500000004</v>
      </c>
    </row>
    <row r="119" spans="1:21" s="22" customFormat="1">
      <c r="C119" s="245"/>
      <c r="D119" s="245"/>
      <c r="E119" s="278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213"/>
      <c r="Q119" s="227"/>
      <c r="R119" s="132"/>
      <c r="S119" s="151"/>
      <c r="T119" s="279"/>
      <c r="U119" s="218"/>
    </row>
    <row r="120" spans="1:21" s="22" customFormat="1">
      <c r="C120" s="245"/>
      <c r="D120" s="245"/>
      <c r="E120" s="278"/>
      <c r="F120" s="132"/>
      <c r="G120" s="132"/>
      <c r="H120" s="132"/>
      <c r="I120" s="132"/>
      <c r="J120" s="132"/>
      <c r="K120" s="132"/>
      <c r="L120" s="132"/>
      <c r="M120" s="132"/>
      <c r="N120" s="132"/>
      <c r="O120" s="34"/>
      <c r="P120" s="213"/>
      <c r="Q120" s="227"/>
      <c r="R120" s="132"/>
      <c r="S120" s="151">
        <f>S114-S118</f>
        <v>0</v>
      </c>
      <c r="T120" s="279" t="s">
        <v>321</v>
      </c>
      <c r="U120" s="218">
        <f>U114-U118</f>
        <v>0</v>
      </c>
    </row>
    <row r="121" spans="1:21" s="22" customFormat="1">
      <c r="C121" s="245"/>
      <c r="D121" s="245"/>
      <c r="E121" s="278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213"/>
      <c r="Q121" s="227"/>
      <c r="R121" s="132"/>
      <c r="S121" s="151"/>
      <c r="T121" s="279"/>
      <c r="U121" s="218"/>
    </row>
    <row r="122" spans="1:21" s="22" customFormat="1">
      <c r="C122" s="245"/>
      <c r="D122" s="245"/>
      <c r="E122" s="278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213"/>
      <c r="Q122" s="227"/>
      <c r="R122" s="132"/>
      <c r="S122" s="151"/>
      <c r="T122" s="279"/>
      <c r="U122" s="218"/>
    </row>
    <row r="123" spans="1:21" s="22" customFormat="1">
      <c r="C123" s="245"/>
      <c r="D123" s="245"/>
      <c r="E123" s="278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213"/>
      <c r="Q123" s="227"/>
      <c r="R123" s="132"/>
      <c r="S123" s="151"/>
      <c r="T123" s="279"/>
      <c r="U123" s="218"/>
    </row>
    <row r="124" spans="1:21" s="22" customFormat="1" ht="13.5" thickBot="1">
      <c r="C124" s="245"/>
      <c r="D124" s="245"/>
      <c r="E124" s="278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213"/>
      <c r="Q124" s="227"/>
      <c r="R124" s="132"/>
      <c r="S124" s="151"/>
      <c r="T124" s="279"/>
      <c r="U124" s="218"/>
    </row>
    <row r="125" spans="1:21" s="22" customFormat="1">
      <c r="C125" s="245"/>
      <c r="D125" s="245"/>
      <c r="E125" s="278"/>
      <c r="F125" s="1175" t="s">
        <v>322</v>
      </c>
      <c r="G125" s="1176"/>
      <c r="H125" s="1176"/>
      <c r="I125" s="1176"/>
      <c r="J125" s="1176"/>
      <c r="K125" s="1177"/>
      <c r="L125" s="132"/>
      <c r="M125" s="1175" t="s">
        <v>323</v>
      </c>
      <c r="N125" s="1176"/>
      <c r="O125" s="1178"/>
      <c r="P125" s="213"/>
      <c r="Q125" s="1179" t="s">
        <v>324</v>
      </c>
      <c r="R125" s="1161"/>
      <c r="U125" s="112"/>
    </row>
    <row r="126" spans="1:21" s="22" customFormat="1" ht="13.5" thickBot="1">
      <c r="C126" s="245"/>
      <c r="D126" s="245"/>
      <c r="E126" s="278"/>
      <c r="F126" s="280" t="s">
        <v>301</v>
      </c>
      <c r="G126" s="239" t="s">
        <v>130</v>
      </c>
      <c r="H126" s="239" t="s">
        <v>122</v>
      </c>
      <c r="I126" s="239" t="s">
        <v>130</v>
      </c>
      <c r="J126" s="239" t="s">
        <v>64</v>
      </c>
      <c r="K126" s="281" t="s">
        <v>130</v>
      </c>
      <c r="L126" s="132"/>
      <c r="M126" s="282" t="s">
        <v>303</v>
      </c>
      <c r="N126" s="241" t="s">
        <v>304</v>
      </c>
      <c r="O126" s="281" t="s">
        <v>64</v>
      </c>
      <c r="P126" s="213"/>
      <c r="Q126" s="283" t="s">
        <v>303</v>
      </c>
      <c r="R126" s="284" t="s">
        <v>325</v>
      </c>
      <c r="S126" s="151"/>
      <c r="T126" s="363"/>
      <c r="U126" s="218"/>
    </row>
    <row r="127" spans="1:21" s="22" customFormat="1">
      <c r="C127" s="245"/>
      <c r="D127" s="254">
        <v>1</v>
      </c>
      <c r="E127" s="255">
        <f>VLOOKUP($D127,$D$10:$E$54,2)</f>
        <v>39814</v>
      </c>
      <c r="F127" s="132">
        <f>SUMIF($D$10:$D$114,$D127,F$10:F$114)</f>
        <v>681586</v>
      </c>
      <c r="G127" s="132">
        <f>F127</f>
        <v>681586</v>
      </c>
      <c r="H127" s="132">
        <f t="shared" ref="H127:H138" si="39">SUMIF($D$10:$D$114,$D127,H$10:H$114)</f>
        <v>681586</v>
      </c>
      <c r="I127" s="132">
        <f>H127</f>
        <v>681586</v>
      </c>
      <c r="J127" s="132">
        <f t="shared" ref="J127:J138" si="40">SUMIF($D$10:$D$114,$D127,J$10:J$114)</f>
        <v>734184</v>
      </c>
      <c r="K127" s="132">
        <f>J127</f>
        <v>734184</v>
      </c>
      <c r="L127" s="132"/>
      <c r="M127" s="132">
        <f t="shared" ref="M127:N138" si="41">SUMIF($D$10:$D$114,$D127,M$10:M$114)</f>
        <v>0</v>
      </c>
      <c r="N127" s="132">
        <f t="shared" si="41"/>
        <v>0</v>
      </c>
      <c r="O127" s="132">
        <f t="shared" ref="O127:O138" si="42">SUMIF($D$10:$D$114,$D127,Q$10:Q$114)</f>
        <v>0</v>
      </c>
      <c r="P127" s="213"/>
      <c r="Q127" s="151">
        <f>IF(J127=0,0,+O127-M127)</f>
        <v>0</v>
      </c>
      <c r="R127" s="151">
        <f>IF(J127=0,0,+O127-N127)</f>
        <v>0</v>
      </c>
      <c r="S127" s="151"/>
      <c r="T127" s="213"/>
      <c r="U127" s="218"/>
    </row>
    <row r="128" spans="1:21" s="22" customFormat="1">
      <c r="C128" s="245"/>
      <c r="D128" s="254">
        <v>2</v>
      </c>
      <c r="E128" s="255">
        <f t="shared" ref="E128:E138" si="43">VLOOKUP($D128,$D$10:$E$54,2)</f>
        <v>39845</v>
      </c>
      <c r="F128" s="132">
        <f t="shared" ref="F128:F138" si="44">SUMIF($D$10:$D$114,$D128,F$10:F$114)</f>
        <v>887433</v>
      </c>
      <c r="G128" s="132">
        <f>G127+F128</f>
        <v>1569019</v>
      </c>
      <c r="H128" s="132">
        <f t="shared" si="39"/>
        <v>882921</v>
      </c>
      <c r="I128" s="132">
        <f>I127+H128</f>
        <v>1564507</v>
      </c>
      <c r="J128" s="132">
        <f t="shared" si="40"/>
        <v>921423</v>
      </c>
      <c r="K128" s="132">
        <f t="shared" ref="K128:K138" si="45">K127+J128</f>
        <v>1655607</v>
      </c>
      <c r="L128" s="132"/>
      <c r="M128" s="132">
        <f t="shared" si="41"/>
        <v>0</v>
      </c>
      <c r="N128" s="132">
        <f t="shared" si="41"/>
        <v>0</v>
      </c>
      <c r="O128" s="132">
        <f t="shared" si="42"/>
        <v>0</v>
      </c>
      <c r="P128" s="213"/>
      <c r="Q128" s="151">
        <f>IF(J128=0,0,+O128-M128)</f>
        <v>0</v>
      </c>
      <c r="R128" s="151">
        <f t="shared" ref="R128:R136" si="46">IF(J128=0,0,+O128-N128)</f>
        <v>0</v>
      </c>
      <c r="S128" s="151"/>
      <c r="T128" s="213"/>
      <c r="U128" s="218"/>
    </row>
    <row r="129" spans="3:21" s="22" customFormat="1">
      <c r="C129" s="245"/>
      <c r="D129" s="254">
        <v>3</v>
      </c>
      <c r="E129" s="255">
        <f t="shared" si="43"/>
        <v>39876</v>
      </c>
      <c r="F129" s="132">
        <f t="shared" si="44"/>
        <v>721548</v>
      </c>
      <c r="G129" s="132">
        <f t="shared" ref="G129:G138" si="47">G128+F129</f>
        <v>2290567</v>
      </c>
      <c r="H129" s="132">
        <f t="shared" si="39"/>
        <v>676267</v>
      </c>
      <c r="I129" s="132">
        <f t="shared" ref="I129:I138" si="48">I128+H129</f>
        <v>2240774</v>
      </c>
      <c r="J129" s="132">
        <f t="shared" si="40"/>
        <v>707166.48</v>
      </c>
      <c r="K129" s="132">
        <f t="shared" si="45"/>
        <v>2362773.48</v>
      </c>
      <c r="L129" s="132"/>
      <c r="M129" s="132">
        <f t="shared" si="41"/>
        <v>0</v>
      </c>
      <c r="N129" s="132">
        <f t="shared" si="41"/>
        <v>0</v>
      </c>
      <c r="O129" s="132">
        <f t="shared" si="42"/>
        <v>0</v>
      </c>
      <c r="P129" s="213"/>
      <c r="Q129" s="151">
        <f>IF(J129=0,0,+O129-M129)</f>
        <v>0</v>
      </c>
      <c r="R129" s="151">
        <f t="shared" si="46"/>
        <v>0</v>
      </c>
      <c r="S129" s="151"/>
      <c r="T129" s="213"/>
      <c r="U129" s="218"/>
    </row>
    <row r="130" spans="3:21" s="22" customFormat="1">
      <c r="C130" s="245"/>
      <c r="D130" s="254">
        <v>4</v>
      </c>
      <c r="E130" s="255">
        <f t="shared" si="43"/>
        <v>39907</v>
      </c>
      <c r="F130" s="132">
        <f t="shared" si="44"/>
        <v>698054</v>
      </c>
      <c r="G130" s="132">
        <f t="shared" si="47"/>
        <v>2988621</v>
      </c>
      <c r="H130" s="132">
        <f t="shared" si="39"/>
        <v>682679</v>
      </c>
      <c r="I130" s="132">
        <f t="shared" si="48"/>
        <v>2923453</v>
      </c>
      <c r="J130" s="132">
        <f t="shared" si="40"/>
        <v>716306</v>
      </c>
      <c r="K130" s="132">
        <f t="shared" si="45"/>
        <v>3079079.48</v>
      </c>
      <c r="L130" s="132"/>
      <c r="M130" s="132">
        <f t="shared" si="41"/>
        <v>0</v>
      </c>
      <c r="N130" s="132">
        <f t="shared" si="41"/>
        <v>0</v>
      </c>
      <c r="O130" s="132">
        <f t="shared" si="42"/>
        <v>0</v>
      </c>
      <c r="P130" s="213"/>
      <c r="Q130" s="151">
        <f>IF(J130=0,0,+O130-M130)</f>
        <v>0</v>
      </c>
      <c r="R130" s="151">
        <f t="shared" si="46"/>
        <v>0</v>
      </c>
      <c r="S130" s="151"/>
      <c r="T130" s="213"/>
      <c r="U130" s="218"/>
    </row>
    <row r="131" spans="3:21" s="22" customFormat="1">
      <c r="C131" s="245"/>
      <c r="D131" s="254">
        <v>5</v>
      </c>
      <c r="E131" s="255">
        <f t="shared" si="43"/>
        <v>39938</v>
      </c>
      <c r="F131" s="132">
        <f t="shared" si="44"/>
        <v>862811</v>
      </c>
      <c r="G131" s="132">
        <f t="shared" si="47"/>
        <v>3851432</v>
      </c>
      <c r="H131" s="132">
        <f t="shared" si="39"/>
        <v>858947</v>
      </c>
      <c r="I131" s="132">
        <f t="shared" si="48"/>
        <v>3782400</v>
      </c>
      <c r="J131" s="132">
        <f t="shared" si="40"/>
        <v>933086.12</v>
      </c>
      <c r="K131" s="132">
        <f t="shared" si="45"/>
        <v>4012165.6</v>
      </c>
      <c r="L131" s="132"/>
      <c r="M131" s="132">
        <f t="shared" si="41"/>
        <v>0</v>
      </c>
      <c r="N131" s="132">
        <f t="shared" si="41"/>
        <v>0</v>
      </c>
      <c r="O131" s="132">
        <f t="shared" si="42"/>
        <v>0</v>
      </c>
      <c r="P131" s="213"/>
      <c r="Q131" s="151">
        <f t="shared" ref="Q131:Q136" si="49">IF(J131=0,0,+O131-M131)</f>
        <v>0</v>
      </c>
      <c r="R131" s="151">
        <f t="shared" si="46"/>
        <v>0</v>
      </c>
      <c r="S131" s="151"/>
      <c r="T131" s="213"/>
      <c r="U131" s="218"/>
    </row>
    <row r="132" spans="3:21" s="22" customFormat="1">
      <c r="C132" s="245"/>
      <c r="D132" s="254">
        <v>6</v>
      </c>
      <c r="E132" s="255">
        <f t="shared" si="43"/>
        <v>39969</v>
      </c>
      <c r="F132" s="132">
        <f t="shared" si="44"/>
        <v>715035</v>
      </c>
      <c r="G132" s="132">
        <f t="shared" si="47"/>
        <v>4566467</v>
      </c>
      <c r="H132" s="132">
        <f t="shared" si="39"/>
        <v>713614</v>
      </c>
      <c r="I132" s="132">
        <f t="shared" si="48"/>
        <v>4496014</v>
      </c>
      <c r="J132" s="132">
        <f t="shared" si="40"/>
        <v>743558.59</v>
      </c>
      <c r="K132" s="132">
        <f t="shared" si="45"/>
        <v>4755724.1900000004</v>
      </c>
      <c r="L132" s="132"/>
      <c r="M132" s="132">
        <f t="shared" si="41"/>
        <v>0</v>
      </c>
      <c r="N132" s="132">
        <f t="shared" si="41"/>
        <v>0</v>
      </c>
      <c r="O132" s="132">
        <f t="shared" si="42"/>
        <v>0</v>
      </c>
      <c r="P132" s="213"/>
      <c r="Q132" s="151">
        <f>IF(J132=0,0,+O132-M132)</f>
        <v>0</v>
      </c>
      <c r="R132" s="151">
        <f t="shared" si="46"/>
        <v>0</v>
      </c>
      <c r="S132" s="151"/>
      <c r="T132" s="213"/>
      <c r="U132" s="218"/>
    </row>
    <row r="133" spans="3:21" s="22" customFormat="1">
      <c r="C133" s="245"/>
      <c r="D133" s="254">
        <v>7</v>
      </c>
      <c r="E133" s="255">
        <f t="shared" si="43"/>
        <v>40000</v>
      </c>
      <c r="F133" s="132">
        <f t="shared" si="44"/>
        <v>732074</v>
      </c>
      <c r="G133" s="132">
        <f t="shared" si="47"/>
        <v>5298541</v>
      </c>
      <c r="H133" s="132">
        <f t="shared" si="39"/>
        <v>695936</v>
      </c>
      <c r="I133" s="132">
        <f t="shared" si="48"/>
        <v>5191950</v>
      </c>
      <c r="J133" s="132">
        <f t="shared" si="40"/>
        <v>727367.36</v>
      </c>
      <c r="K133" s="132">
        <f t="shared" si="45"/>
        <v>5483091.5500000007</v>
      </c>
      <c r="L133" s="132"/>
      <c r="M133" s="132">
        <f t="shared" si="41"/>
        <v>5817.6</v>
      </c>
      <c r="N133" s="132">
        <f t="shared" si="41"/>
        <v>3419.2934999999916</v>
      </c>
      <c r="O133" s="132">
        <f t="shared" si="42"/>
        <v>3419.2934999999916</v>
      </c>
      <c r="P133" s="213"/>
      <c r="Q133" s="151">
        <f>IF(J133=0,0,+O133-M133)</f>
        <v>-2398.3065000000088</v>
      </c>
      <c r="R133" s="151">
        <f t="shared" si="46"/>
        <v>0</v>
      </c>
      <c r="S133" s="151"/>
      <c r="T133" s="213"/>
      <c r="U133" s="218"/>
    </row>
    <row r="134" spans="3:21" s="22" customFormat="1">
      <c r="C134" s="245"/>
      <c r="D134" s="254">
        <v>8</v>
      </c>
      <c r="E134" s="255">
        <f>VLOOKUP($D134,$D$10:$E$52,2)</f>
        <v>40031</v>
      </c>
      <c r="F134" s="132">
        <f t="shared" si="44"/>
        <v>914520</v>
      </c>
      <c r="G134" s="132">
        <f t="shared" si="47"/>
        <v>6213061</v>
      </c>
      <c r="H134" s="132">
        <f t="shared" si="39"/>
        <v>858893</v>
      </c>
      <c r="I134" s="132">
        <f t="shared" si="48"/>
        <v>6050843</v>
      </c>
      <c r="J134" s="132">
        <f t="shared" si="40"/>
        <v>904661.7</v>
      </c>
      <c r="K134" s="132">
        <f t="shared" si="45"/>
        <v>6387753.2500000009</v>
      </c>
      <c r="L134" s="132"/>
      <c r="M134" s="132">
        <f t="shared" si="41"/>
        <v>22540</v>
      </c>
      <c r="N134" s="132">
        <f t="shared" si="41"/>
        <v>20883.02</v>
      </c>
      <c r="O134" s="132">
        <f t="shared" si="42"/>
        <v>20883.02</v>
      </c>
      <c r="P134" s="213"/>
      <c r="Q134" s="151">
        <f t="shared" si="49"/>
        <v>-1656.9799999999996</v>
      </c>
      <c r="R134" s="151">
        <f t="shared" si="46"/>
        <v>0</v>
      </c>
      <c r="S134" s="151"/>
      <c r="T134" s="213"/>
      <c r="U134" s="218"/>
    </row>
    <row r="135" spans="3:21" s="22" customFormat="1">
      <c r="C135" s="245"/>
      <c r="D135" s="254">
        <v>9</v>
      </c>
      <c r="E135" s="255">
        <f t="shared" si="43"/>
        <v>40062</v>
      </c>
      <c r="F135" s="132">
        <f t="shared" si="44"/>
        <v>702708</v>
      </c>
      <c r="G135" s="132">
        <f t="shared" si="47"/>
        <v>6915769</v>
      </c>
      <c r="H135" s="132">
        <f t="shared" si="39"/>
        <v>691062</v>
      </c>
      <c r="I135" s="132">
        <f t="shared" si="48"/>
        <v>6741905</v>
      </c>
      <c r="J135" s="132">
        <f t="shared" si="40"/>
        <v>758480.14</v>
      </c>
      <c r="K135" s="132">
        <f t="shared" si="45"/>
        <v>7146233.3900000006</v>
      </c>
      <c r="L135" s="132"/>
      <c r="M135" s="132">
        <f t="shared" si="41"/>
        <v>17567</v>
      </c>
      <c r="N135" s="132">
        <f t="shared" si="41"/>
        <v>17276.55</v>
      </c>
      <c r="O135" s="132">
        <f t="shared" si="42"/>
        <v>17276.55</v>
      </c>
      <c r="P135" s="213"/>
      <c r="Q135" s="151">
        <f t="shared" si="49"/>
        <v>-290.45000000000073</v>
      </c>
      <c r="R135" s="151">
        <f t="shared" si="46"/>
        <v>0</v>
      </c>
      <c r="S135" s="151"/>
      <c r="T135" s="213"/>
      <c r="U135" s="218"/>
    </row>
    <row r="136" spans="3:21" s="22" customFormat="1">
      <c r="C136" s="245"/>
      <c r="D136" s="254">
        <v>10</v>
      </c>
      <c r="E136" s="255">
        <f t="shared" si="43"/>
        <v>40093</v>
      </c>
      <c r="F136" s="132">
        <f t="shared" si="44"/>
        <v>700171</v>
      </c>
      <c r="G136" s="132">
        <f t="shared" si="47"/>
        <v>7615940</v>
      </c>
      <c r="H136" s="132">
        <f t="shared" si="39"/>
        <v>663569</v>
      </c>
      <c r="I136" s="132">
        <f t="shared" si="48"/>
        <v>7405474</v>
      </c>
      <c r="J136" s="132">
        <f t="shared" si="40"/>
        <v>738422.48</v>
      </c>
      <c r="K136" s="132">
        <f t="shared" si="45"/>
        <v>7884655.870000001</v>
      </c>
      <c r="L136" s="132"/>
      <c r="M136" s="132">
        <f t="shared" si="41"/>
        <v>17505</v>
      </c>
      <c r="N136" s="132">
        <f t="shared" si="41"/>
        <v>16589.225000000006</v>
      </c>
      <c r="O136" s="132">
        <f t="shared" si="42"/>
        <v>16589.225000000006</v>
      </c>
      <c r="P136" s="213"/>
      <c r="Q136" s="151">
        <f t="shared" si="49"/>
        <v>-915.77499999999418</v>
      </c>
      <c r="R136" s="151">
        <f t="shared" si="46"/>
        <v>0</v>
      </c>
      <c r="S136" s="151"/>
      <c r="T136" s="213"/>
      <c r="U136" s="218"/>
    </row>
    <row r="137" spans="3:21" s="22" customFormat="1">
      <c r="C137" s="245"/>
      <c r="D137" s="254">
        <v>11</v>
      </c>
      <c r="E137" s="255">
        <f t="shared" si="43"/>
        <v>40124</v>
      </c>
      <c r="F137" s="132">
        <f t="shared" si="44"/>
        <v>858899</v>
      </c>
      <c r="G137" s="132">
        <f t="shared" si="47"/>
        <v>8474839</v>
      </c>
      <c r="H137" s="132">
        <f t="shared" si="39"/>
        <v>838527</v>
      </c>
      <c r="I137" s="132">
        <f t="shared" si="48"/>
        <v>8244001</v>
      </c>
      <c r="J137" s="132">
        <f t="shared" si="40"/>
        <v>873756</v>
      </c>
      <c r="K137" s="132">
        <f t="shared" si="45"/>
        <v>8758411.870000001</v>
      </c>
      <c r="L137" s="132"/>
      <c r="M137" s="132">
        <f t="shared" si="41"/>
        <v>21472</v>
      </c>
      <c r="N137" s="132">
        <f t="shared" si="41"/>
        <v>20963.175000000003</v>
      </c>
      <c r="O137" s="132">
        <f t="shared" si="42"/>
        <v>21055.524999999994</v>
      </c>
      <c r="P137" s="213"/>
      <c r="Q137" s="151"/>
      <c r="R137" s="151">
        <f>IF(J137=0,0,+O137-N137)</f>
        <v>92.349999999991269</v>
      </c>
      <c r="S137" s="151"/>
      <c r="T137" s="213"/>
      <c r="U137" s="218"/>
    </row>
    <row r="138" spans="3:21" s="22" customFormat="1">
      <c r="C138" s="245"/>
      <c r="D138" s="254">
        <v>12</v>
      </c>
      <c r="E138" s="255">
        <f t="shared" si="43"/>
        <v>40155</v>
      </c>
      <c r="F138" s="132">
        <f t="shared" si="44"/>
        <v>735319</v>
      </c>
      <c r="G138" s="132">
        <f t="shared" si="47"/>
        <v>9210158</v>
      </c>
      <c r="H138" s="132">
        <f t="shared" si="39"/>
        <v>728694</v>
      </c>
      <c r="I138" s="132">
        <f t="shared" si="48"/>
        <v>8972695</v>
      </c>
      <c r="J138" s="132">
        <f t="shared" si="40"/>
        <v>835792.16</v>
      </c>
      <c r="K138" s="132">
        <f t="shared" si="45"/>
        <v>9594204.0300000012</v>
      </c>
      <c r="L138" s="132"/>
      <c r="M138" s="132">
        <f t="shared" si="41"/>
        <v>18383</v>
      </c>
      <c r="N138" s="132">
        <f t="shared" si="41"/>
        <v>18217.350000000006</v>
      </c>
      <c r="O138" s="132">
        <f t="shared" si="42"/>
        <v>17771.950000000012</v>
      </c>
      <c r="P138" s="213"/>
      <c r="Q138" s="151"/>
      <c r="R138" s="151">
        <f>IF(J138=0,0,+O138-N138)</f>
        <v>-445.39999999999418</v>
      </c>
      <c r="S138" s="151"/>
      <c r="T138" s="213"/>
      <c r="U138" s="218"/>
    </row>
    <row r="139" spans="3:21" s="22" customFormat="1">
      <c r="C139" s="245"/>
      <c r="D139" s="245"/>
      <c r="E139" s="278"/>
      <c r="F139" s="285">
        <f>SUM(F127:F138)</f>
        <v>9210158</v>
      </c>
      <c r="G139" s="286"/>
      <c r="H139" s="286">
        <f>SUM(H127:H138)</f>
        <v>8972695</v>
      </c>
      <c r="I139" s="286"/>
      <c r="J139" s="286">
        <f>SUM(J127:J138)</f>
        <v>9594204.0300000012</v>
      </c>
      <c r="K139" s="287"/>
      <c r="L139" s="132"/>
      <c r="M139" s="285">
        <f>SUM(M127:M138)</f>
        <v>103284.6</v>
      </c>
      <c r="N139" s="286">
        <f>SUM(N127:N138)</f>
        <v>97348.613500000007</v>
      </c>
      <c r="O139" s="287">
        <f>SUM(O127:O138)</f>
        <v>96995.563500000004</v>
      </c>
      <c r="P139" s="213"/>
      <c r="Q139" s="285">
        <f>SUM(Q127:Q138)</f>
        <v>-5261.5115000000033</v>
      </c>
      <c r="R139" s="287">
        <f>SUM(R127:R138)</f>
        <v>-353.05000000000291</v>
      </c>
      <c r="S139" s="151"/>
      <c r="T139" s="213"/>
      <c r="U139" s="218"/>
    </row>
    <row r="140" spans="3:21" s="22" customFormat="1">
      <c r="C140" s="245"/>
      <c r="D140" s="245"/>
      <c r="E140" s="278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213"/>
      <c r="Q140" s="227"/>
      <c r="R140" s="151"/>
      <c r="S140" s="151"/>
      <c r="T140" s="213"/>
      <c r="U140" s="218"/>
    </row>
    <row r="141" spans="3:21" s="22" customFormat="1">
      <c r="C141" s="245"/>
      <c r="D141" s="245"/>
      <c r="E141" s="278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213"/>
      <c r="Q141" s="227"/>
      <c r="R141" s="151"/>
      <c r="S141" s="151"/>
      <c r="T141" s="213"/>
      <c r="U141" s="218"/>
    </row>
  </sheetData>
  <mergeCells count="10">
    <mergeCell ref="F125:K125"/>
    <mergeCell ref="M125:O125"/>
    <mergeCell ref="Q125:R125"/>
    <mergeCell ref="A1:U1"/>
    <mergeCell ref="A2:U2"/>
    <mergeCell ref="A3:U3"/>
    <mergeCell ref="F7:J7"/>
    <mergeCell ref="M7:O7"/>
    <mergeCell ref="Q7:S7"/>
    <mergeCell ref="D8:E8"/>
  </mergeCells>
  <phoneticPr fontId="40" type="noConversion"/>
  <pageMargins left="0.75" right="0.75" top="1" bottom="1" header="0.5" footer="0.5"/>
  <pageSetup paperSize="5" scale="70" fitToHeight="2" orientation="landscape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pageSetUpPr autoPageBreaks="0" fitToPage="1"/>
  </sheetPr>
  <dimension ref="A1:F14"/>
  <sheetViews>
    <sheetView workbookViewId="0">
      <selection activeCell="A11" sqref="A11:E12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47.179687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326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330</v>
      </c>
    </row>
    <row r="10" spans="1:6" s="9" customFormat="1">
      <c r="A10" s="52"/>
      <c r="F10" s="106"/>
    </row>
    <row r="11" spans="1:6" s="9" customFormat="1">
      <c r="A11" s="52"/>
      <c r="C11" s="16"/>
      <c r="E11" s="154"/>
      <c r="F11" s="107"/>
    </row>
    <row r="12" spans="1:6" s="9" customFormat="1">
      <c r="A12" s="52"/>
      <c r="E12" s="154"/>
      <c r="F12" s="107"/>
    </row>
    <row r="13" spans="1:6" s="9" customFormat="1">
      <c r="A13" s="84"/>
      <c r="E13" s="154"/>
      <c r="F13" s="107"/>
    </row>
    <row r="14" spans="1:6" s="13" customFormat="1" ht="13.5" thickBot="1">
      <c r="A14" s="136"/>
      <c r="B14" s="135"/>
      <c r="C14" s="135" t="s">
        <v>331</v>
      </c>
      <c r="D14" s="135"/>
      <c r="E14" s="965">
        <f>SUM(E11:E13)</f>
        <v>0</v>
      </c>
      <c r="F14" s="137"/>
    </row>
  </sheetData>
  <customSheetViews>
    <customSheetView guid="{407D59A7-4157-4601-BF25-0D4BC2569A3E}" showRuler="0">
      <selection activeCell="A4" sqref="A4"/>
      <pageMargins left="0" right="0" top="0" bottom="0" header="0" footer="0"/>
      <pageSetup orientation="landscape" r:id="rId1"/>
      <headerFooter alignWithMargins="0">
        <oddFooter>&amp;R&amp;F
&amp;D</oddFooter>
      </headerFooter>
    </customSheetView>
    <customSheetView guid="{C5E32A41-FC3E-4628-B0E4-BCDB4BDAC35C}" showRuler="0">
      <selection activeCell="A4" sqref="A4"/>
      <pageMargins left="0" right="0" top="0" bottom="0" header="0" footer="0"/>
      <printOptions horizontalCentered="1"/>
      <pageSetup orientation="landscape" r:id="rId2"/>
      <headerFooter alignWithMargins="0">
        <oddFooter>&amp;R&amp;F
&amp;D</oddFooter>
      </headerFooter>
    </customSheetView>
    <customSheetView guid="{239276AE-B7E9-4788-B341-6859AA10E393}" showRuler="0">
      <selection activeCell="A4" sqref="A4"/>
      <pageMargins left="0" right="0" top="0" bottom="0" header="0" footer="0"/>
      <pageSetup orientation="landscape" r:id="rId3"/>
      <headerFooter alignWithMargins="0">
        <oddFooter>&amp;R&amp;F
&amp;D</oddFooter>
      </headerFooter>
    </customSheetView>
  </customSheetViews>
  <mergeCells count="3">
    <mergeCell ref="A1:F1"/>
    <mergeCell ref="A2:F2"/>
    <mergeCell ref="A3:F3"/>
  </mergeCells>
  <phoneticPr fontId="0" type="noConversion"/>
  <printOptions horizontalCentered="1"/>
  <pageMargins left="0.75" right="0.75" top="1" bottom="1" header="0.5" footer="0.5"/>
  <pageSetup scale="68" orientation="portrait" r:id="rId4"/>
  <headerFooter alignWithMargins="0">
    <oddFooter>&amp;R&amp;F
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2">
    <pageSetUpPr autoPageBreaks="0" fitToPage="1"/>
  </sheetPr>
  <dimension ref="A1:I17"/>
  <sheetViews>
    <sheetView topLeftCell="C1" workbookViewId="0">
      <selection activeCell="C11" sqref="C11:H12"/>
    </sheetView>
  </sheetViews>
  <sheetFormatPr defaultRowHeight="12.5"/>
  <cols>
    <col min="1" max="1" width="12.7265625" hidden="1" customWidth="1"/>
    <col min="2" max="2" width="2.7265625" hidden="1" customWidth="1"/>
    <col min="3" max="3" width="22.54296875" customWidth="1"/>
    <col min="4" max="4" width="24.54296875" customWidth="1"/>
    <col min="5" max="7" width="16.54296875" customWidth="1"/>
    <col min="8" max="8" width="20.81640625" customWidth="1"/>
    <col min="9" max="9" width="47.1796875" customWidth="1"/>
  </cols>
  <sheetData>
    <row r="1" spans="1:9" s="9" customFormat="1" ht="18">
      <c r="A1" s="1194" t="str">
        <f>+'Review Comments'!B11</f>
        <v>ABI PROPERTIES</v>
      </c>
      <c r="B1" s="1195"/>
      <c r="C1" s="1195"/>
      <c r="D1" s="1195"/>
      <c r="E1" s="1195"/>
      <c r="F1" s="1195"/>
      <c r="G1" s="1195"/>
      <c r="H1" s="1195"/>
      <c r="I1" s="1196"/>
    </row>
    <row r="2" spans="1:9" s="9" customFormat="1" ht="18">
      <c r="A2" s="1197" t="s">
        <v>332</v>
      </c>
      <c r="B2" s="1198"/>
      <c r="C2" s="1198"/>
      <c r="D2" s="1198"/>
      <c r="E2" s="1198"/>
      <c r="F2" s="1198"/>
      <c r="G2" s="1198"/>
      <c r="H2" s="1198"/>
      <c r="I2" s="1199"/>
    </row>
    <row r="3" spans="1:9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1"/>
      <c r="G3" s="1201"/>
      <c r="H3" s="1201"/>
      <c r="I3" s="1202"/>
    </row>
    <row r="4" spans="1:9" s="9" customFormat="1"/>
    <row r="5" spans="1:9" s="9" customFormat="1"/>
    <row r="6" spans="1:9" s="9" customFormat="1"/>
    <row r="7" spans="1:9" s="9" customFormat="1" ht="13" thickBot="1"/>
    <row r="8" spans="1:9" s="9" customFormat="1" ht="13">
      <c r="A8" s="338"/>
      <c r="B8" s="339"/>
      <c r="C8" s="338"/>
      <c r="D8" s="339"/>
      <c r="E8" s="339"/>
      <c r="F8" s="339"/>
      <c r="G8" s="339"/>
      <c r="H8" s="339"/>
      <c r="I8" s="341"/>
    </row>
    <row r="9" spans="1:9" s="9" customFormat="1" ht="26.5" thickBot="1">
      <c r="A9" s="315" t="s">
        <v>327</v>
      </c>
      <c r="B9" s="316"/>
      <c r="C9" s="315" t="s">
        <v>27</v>
      </c>
      <c r="D9" s="316" t="s">
        <v>333</v>
      </c>
      <c r="E9" s="316" t="s">
        <v>334</v>
      </c>
      <c r="F9" s="316" t="s">
        <v>335</v>
      </c>
      <c r="G9" s="316" t="s">
        <v>336</v>
      </c>
      <c r="H9" s="316" t="s">
        <v>337</v>
      </c>
      <c r="I9" s="357" t="s">
        <v>338</v>
      </c>
    </row>
    <row r="17" spans="5:8" s="13" customFormat="1" ht="13.5" thickBot="1">
      <c r="E17" s="965">
        <f>SUM(E11:E16)</f>
        <v>0</v>
      </c>
      <c r="F17" s="965">
        <f>SUM(F11:F16)</f>
        <v>0</v>
      </c>
      <c r="G17" s="965">
        <f>SUM(G11:G16)</f>
        <v>0</v>
      </c>
      <c r="H17" s="965">
        <f>SUM(H11:H16)</f>
        <v>0</v>
      </c>
    </row>
  </sheetData>
  <mergeCells count="3">
    <mergeCell ref="A1:I1"/>
    <mergeCell ref="A2:I2"/>
    <mergeCell ref="A3:I3"/>
  </mergeCells>
  <phoneticPr fontId="0" type="noConversion"/>
  <printOptions horizontalCentered="1"/>
  <pageMargins left="0.75" right="0.75" top="1" bottom="1" header="0.5" footer="0.5"/>
  <pageSetup scale="54" orientation="portrait" r:id="rId1"/>
  <headerFooter alignWithMargins="0">
    <oddFooter>&amp;R&amp;F
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8"/>
  <sheetViews>
    <sheetView topLeftCell="A13" workbookViewId="0">
      <selection activeCell="M38" sqref="M38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339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 t="s">
        <v>342</v>
      </c>
      <c r="D11" s="997"/>
      <c r="E11" s="1005"/>
      <c r="F11" s="999">
        <v>756000</v>
      </c>
    </row>
    <row r="12" spans="1:6" s="9" customFormat="1" ht="13">
      <c r="A12" s="1004">
        <v>44196</v>
      </c>
      <c r="B12" s="997"/>
      <c r="C12" s="998" t="s">
        <v>525</v>
      </c>
      <c r="D12" s="997"/>
      <c r="E12" s="1005">
        <v>-65100</v>
      </c>
      <c r="F12" s="999">
        <f t="shared" ref="F12:F14" si="0">F11+E12</f>
        <v>690900</v>
      </c>
    </row>
    <row r="13" spans="1:6" s="9" customFormat="1" ht="13">
      <c r="A13" s="1004">
        <v>44229</v>
      </c>
      <c r="B13" s="997"/>
      <c r="C13" s="998" t="s">
        <v>526</v>
      </c>
      <c r="D13" s="997"/>
      <c r="E13" s="1005">
        <v>-65100</v>
      </c>
      <c r="F13" s="999">
        <f t="shared" si="0"/>
        <v>625800</v>
      </c>
    </row>
    <row r="14" spans="1:6" s="9" customFormat="1" ht="13">
      <c r="A14" s="1004">
        <v>44260</v>
      </c>
      <c r="B14" s="997"/>
      <c r="C14" s="998" t="s">
        <v>536</v>
      </c>
      <c r="D14" s="997"/>
      <c r="E14" s="1005">
        <v>-58800</v>
      </c>
      <c r="F14" s="999">
        <f t="shared" si="0"/>
        <v>567000</v>
      </c>
    </row>
    <row r="15" spans="1:6" s="9" customFormat="1" ht="13">
      <c r="A15" s="1004">
        <v>44286</v>
      </c>
      <c r="B15" s="997"/>
      <c r="C15" s="998" t="s">
        <v>568</v>
      </c>
      <c r="D15" s="997"/>
      <c r="E15" s="1005">
        <v>-65100</v>
      </c>
      <c r="F15" s="999">
        <f t="shared" ref="F15:F16" si="1">F14+E15</f>
        <v>501900</v>
      </c>
    </row>
    <row r="16" spans="1:6" s="9" customFormat="1" ht="13">
      <c r="A16" s="1004">
        <v>44317</v>
      </c>
      <c r="B16" s="997"/>
      <c r="C16" s="998" t="s">
        <v>572</v>
      </c>
      <c r="D16" s="997"/>
      <c r="E16" s="1005">
        <v>-63000</v>
      </c>
      <c r="F16" s="999">
        <f t="shared" si="1"/>
        <v>438900</v>
      </c>
    </row>
    <row r="17" spans="1:6" s="9" customFormat="1" ht="13">
      <c r="A17" s="1004">
        <v>44348</v>
      </c>
      <c r="B17" s="997"/>
      <c r="C17" s="998" t="s">
        <v>578</v>
      </c>
      <c r="D17" s="997"/>
      <c r="E17" s="1005">
        <v>-65100</v>
      </c>
      <c r="F17" s="999">
        <f t="shared" ref="F17:F20" si="2">F16+E17</f>
        <v>373800</v>
      </c>
    </row>
    <row r="18" spans="1:6" s="9" customFormat="1" ht="13">
      <c r="A18" s="1004">
        <v>44378</v>
      </c>
      <c r="B18" s="997"/>
      <c r="C18" s="998" t="s">
        <v>587</v>
      </c>
      <c r="D18" s="997"/>
      <c r="E18" s="1005">
        <v>-63000</v>
      </c>
      <c r="F18" s="999">
        <f t="shared" si="2"/>
        <v>310800</v>
      </c>
    </row>
    <row r="19" spans="1:6" s="9" customFormat="1" ht="13">
      <c r="A19" s="1004">
        <v>44409</v>
      </c>
      <c r="B19" s="997"/>
      <c r="C19" s="998" t="s">
        <v>594</v>
      </c>
      <c r="D19" s="997"/>
      <c r="E19" s="1005">
        <v>-65100</v>
      </c>
      <c r="F19" s="999">
        <f t="shared" si="2"/>
        <v>245700</v>
      </c>
    </row>
    <row r="20" spans="1:6" s="9" customFormat="1" ht="13">
      <c r="A20" s="1004">
        <v>44440</v>
      </c>
      <c r="B20" s="997"/>
      <c r="C20" s="998" t="s">
        <v>595</v>
      </c>
      <c r="D20" s="997"/>
      <c r="E20" s="1005">
        <v>-65100</v>
      </c>
      <c r="F20" s="999">
        <f t="shared" si="2"/>
        <v>180600</v>
      </c>
    </row>
    <row r="21" spans="1:6" s="9" customFormat="1" ht="13">
      <c r="A21" s="1004">
        <v>44470</v>
      </c>
      <c r="B21" s="997"/>
      <c r="C21" s="998" t="s">
        <v>599</v>
      </c>
      <c r="D21" s="997"/>
      <c r="E21" s="1005">
        <v>-63000</v>
      </c>
      <c r="F21" s="999">
        <f t="shared" ref="F21:F23" si="3">F20+E21</f>
        <v>117600</v>
      </c>
    </row>
    <row r="22" spans="1:6" s="9" customFormat="1" ht="13">
      <c r="A22" s="1004">
        <v>44501</v>
      </c>
      <c r="B22" s="997"/>
      <c r="C22" s="998" t="s">
        <v>607</v>
      </c>
      <c r="D22" s="997"/>
      <c r="E22" s="1005">
        <v>-65100</v>
      </c>
      <c r="F22" s="999">
        <f t="shared" si="3"/>
        <v>52500</v>
      </c>
    </row>
    <row r="23" spans="1:6" s="9" customFormat="1" ht="13">
      <c r="A23" s="1004">
        <v>44509</v>
      </c>
      <c r="B23" s="997"/>
      <c r="C23" s="998" t="s">
        <v>608</v>
      </c>
      <c r="D23" s="997"/>
      <c r="E23" s="1005">
        <v>756000</v>
      </c>
      <c r="F23" s="999">
        <f t="shared" si="3"/>
        <v>808500</v>
      </c>
    </row>
    <row r="24" spans="1:6" s="9" customFormat="1" ht="13">
      <c r="A24" s="1004">
        <v>44531</v>
      </c>
      <c r="B24" s="997"/>
      <c r="C24" s="998" t="s">
        <v>612</v>
      </c>
      <c r="D24" s="997"/>
      <c r="E24" s="1005">
        <v>-63000</v>
      </c>
      <c r="F24" s="999">
        <f t="shared" ref="F24:F25" si="4">F23+E24</f>
        <v>745500</v>
      </c>
    </row>
    <row r="25" spans="1:6" s="9" customFormat="1" ht="13">
      <c r="A25" s="1004">
        <v>44562</v>
      </c>
      <c r="B25" s="997"/>
      <c r="C25" s="998" t="s">
        <v>614</v>
      </c>
      <c r="D25" s="997"/>
      <c r="E25" s="1005">
        <v>-65100</v>
      </c>
      <c r="F25" s="999">
        <f t="shared" si="4"/>
        <v>680400</v>
      </c>
    </row>
    <row r="26" spans="1:6" s="9" customFormat="1" ht="13">
      <c r="A26" s="1004">
        <v>44593</v>
      </c>
      <c r="B26" s="997"/>
      <c r="C26" s="998" t="s">
        <v>619</v>
      </c>
      <c r="D26" s="997"/>
      <c r="E26" s="1005">
        <v>-65100</v>
      </c>
      <c r="F26" s="999">
        <f t="shared" ref="F26" si="5">F25+E26</f>
        <v>615300</v>
      </c>
    </row>
    <row r="27" spans="1:6" s="9" customFormat="1" ht="13">
      <c r="A27" s="1004">
        <v>44621</v>
      </c>
      <c r="B27" s="997"/>
      <c r="C27" s="998" t="s">
        <v>624</v>
      </c>
      <c r="D27" s="997"/>
      <c r="E27" s="1005">
        <v>-58800</v>
      </c>
      <c r="F27" s="999">
        <f t="shared" ref="F27" si="6">F26+E27</f>
        <v>556500</v>
      </c>
    </row>
    <row r="28" spans="1:6" s="9" customFormat="1" ht="13">
      <c r="A28" s="1004">
        <v>44652</v>
      </c>
      <c r="B28" s="997"/>
      <c r="C28" s="998" t="s">
        <v>625</v>
      </c>
      <c r="D28" s="997"/>
      <c r="E28" s="1005">
        <v>-65100</v>
      </c>
      <c r="F28" s="999">
        <f t="shared" ref="F28" si="7">F27+E28</f>
        <v>491400</v>
      </c>
    </row>
    <row r="29" spans="1:6" s="9" customFormat="1" ht="13">
      <c r="A29" s="1004">
        <v>44682</v>
      </c>
      <c r="B29" s="997"/>
      <c r="C29" s="998" t="s">
        <v>627</v>
      </c>
      <c r="D29" s="997"/>
      <c r="E29" s="1005">
        <v>-63000</v>
      </c>
      <c r="F29" s="999">
        <f t="shared" ref="F29" si="8">F28+E29</f>
        <v>428400</v>
      </c>
    </row>
    <row r="30" spans="1:6" s="9" customFormat="1" ht="13">
      <c r="A30" s="1004">
        <v>44713</v>
      </c>
      <c r="B30" s="997"/>
      <c r="C30" s="998" t="s">
        <v>628</v>
      </c>
      <c r="D30" s="997"/>
      <c r="E30" s="1005">
        <v>-65100</v>
      </c>
      <c r="F30" s="999">
        <f t="shared" ref="F30" si="9">F29+E30</f>
        <v>363300</v>
      </c>
    </row>
    <row r="31" spans="1:6" s="9" customFormat="1" ht="13">
      <c r="A31" s="1004">
        <v>44743</v>
      </c>
      <c r="B31" s="997"/>
      <c r="C31" s="998" t="s">
        <v>631</v>
      </c>
      <c r="D31" s="997"/>
      <c r="E31" s="1005">
        <v>-63000</v>
      </c>
      <c r="F31" s="999">
        <f t="shared" ref="F31:F36" si="10">F30+E31</f>
        <v>300300</v>
      </c>
    </row>
    <row r="32" spans="1:6" s="9" customFormat="1" ht="13">
      <c r="A32" s="1004">
        <v>44774</v>
      </c>
      <c r="B32" s="997"/>
      <c r="C32" s="998" t="s">
        <v>633</v>
      </c>
      <c r="D32" s="997"/>
      <c r="E32" s="1005">
        <v>-85425</v>
      </c>
      <c r="F32" s="999">
        <f t="shared" si="10"/>
        <v>214875</v>
      </c>
    </row>
    <row r="33" spans="1:6" s="9" customFormat="1" ht="13">
      <c r="A33" s="1004">
        <v>44805</v>
      </c>
      <c r="B33" s="997"/>
      <c r="C33" s="998" t="s">
        <v>635</v>
      </c>
      <c r="D33" s="997"/>
      <c r="E33" s="1005">
        <v>-67425</v>
      </c>
      <c r="F33" s="999">
        <f t="shared" si="10"/>
        <v>147450</v>
      </c>
    </row>
    <row r="34" spans="1:6" s="9" customFormat="1" ht="13">
      <c r="A34" s="1004">
        <v>44835</v>
      </c>
      <c r="B34" s="997"/>
      <c r="C34" s="998" t="s">
        <v>635</v>
      </c>
      <c r="D34" s="997"/>
      <c r="E34" s="1005">
        <v>-65250</v>
      </c>
      <c r="F34" s="999">
        <f t="shared" si="10"/>
        <v>82200</v>
      </c>
    </row>
    <row r="35" spans="1:6" s="9" customFormat="1" ht="13">
      <c r="A35" s="1004">
        <v>44848</v>
      </c>
      <c r="B35" s="997"/>
      <c r="C35" s="998" t="s">
        <v>638</v>
      </c>
      <c r="D35" s="997"/>
      <c r="E35" s="1005">
        <v>821250</v>
      </c>
      <c r="F35" s="999">
        <f t="shared" si="10"/>
        <v>903450</v>
      </c>
    </row>
    <row r="36" spans="1:6" s="9" customFormat="1" ht="13">
      <c r="A36" s="1004">
        <v>44866</v>
      </c>
      <c r="B36" s="997"/>
      <c r="C36" s="998" t="s">
        <v>639</v>
      </c>
      <c r="D36" s="997"/>
      <c r="E36" s="1005">
        <v>-67425</v>
      </c>
      <c r="F36" s="999">
        <f t="shared" si="10"/>
        <v>836025</v>
      </c>
    </row>
    <row r="37" spans="1:6" s="9" customFormat="1" ht="13">
      <c r="A37" s="1004">
        <v>44896</v>
      </c>
      <c r="B37" s="997"/>
      <c r="C37" s="998" t="s">
        <v>641</v>
      </c>
      <c r="D37" s="997"/>
      <c r="E37" s="1005">
        <v>-67350</v>
      </c>
      <c r="F37" s="999">
        <f t="shared" ref="F37" si="11">F36+E37</f>
        <v>768675</v>
      </c>
    </row>
    <row r="38" spans="1:6" s="9" customFormat="1" ht="13">
      <c r="A38" s="1004">
        <v>44927</v>
      </c>
      <c r="B38" s="997"/>
      <c r="C38" s="998" t="s">
        <v>648</v>
      </c>
      <c r="D38" s="997"/>
      <c r="E38" s="1005">
        <v>-69750</v>
      </c>
      <c r="F38" s="999">
        <f t="shared" ref="F38" si="12">F37+E38</f>
        <v>698925</v>
      </c>
    </row>
    <row r="39" spans="1:6" s="9" customFormat="1" ht="13">
      <c r="A39" s="1004">
        <v>44958</v>
      </c>
      <c r="B39" s="997"/>
      <c r="C39" s="998" t="s">
        <v>650</v>
      </c>
      <c r="D39" s="997"/>
      <c r="E39" s="1005">
        <v>-69750</v>
      </c>
      <c r="F39" s="999">
        <f t="shared" ref="F39" si="13">F38+E39</f>
        <v>629175</v>
      </c>
    </row>
    <row r="40" spans="1:6" s="9" customFormat="1" ht="13">
      <c r="A40" s="1004">
        <v>44986</v>
      </c>
      <c r="B40" s="997"/>
      <c r="C40" s="998" t="s">
        <v>653</v>
      </c>
      <c r="D40" s="997"/>
      <c r="E40" s="1005">
        <v>-63000</v>
      </c>
      <c r="F40" s="999">
        <f t="shared" ref="F40" si="14">F39+E40</f>
        <v>566175</v>
      </c>
    </row>
    <row r="41" spans="1:6" s="9" customFormat="1" ht="13">
      <c r="A41" s="1004">
        <v>45017</v>
      </c>
      <c r="B41" s="997"/>
      <c r="C41" s="998" t="s">
        <v>658</v>
      </c>
      <c r="D41" s="997"/>
      <c r="E41" s="1005">
        <v>-69750</v>
      </c>
      <c r="F41" s="999">
        <f t="shared" ref="F41" si="15">F40+E41</f>
        <v>496425</v>
      </c>
    </row>
    <row r="42" spans="1:6" s="9" customFormat="1" ht="13">
      <c r="A42" s="1004">
        <v>45047</v>
      </c>
      <c r="B42" s="997"/>
      <c r="C42" s="998" t="s">
        <v>664</v>
      </c>
      <c r="D42" s="997"/>
      <c r="E42" s="1005">
        <f>-69750+2250</f>
        <v>-67500</v>
      </c>
      <c r="F42" s="999">
        <f t="shared" ref="F42" si="16">F41+E42</f>
        <v>428925</v>
      </c>
    </row>
    <row r="43" spans="1:6" s="9" customFormat="1" ht="13">
      <c r="A43" s="1004">
        <v>45078</v>
      </c>
      <c r="B43" s="997"/>
      <c r="C43" s="998" t="s">
        <v>665</v>
      </c>
      <c r="D43" s="997"/>
      <c r="E43" s="1005">
        <v>-69750</v>
      </c>
      <c r="F43" s="999">
        <f t="shared" ref="F43:F44" si="17">F42+E43</f>
        <v>359175</v>
      </c>
    </row>
    <row r="44" spans="1:6" s="9" customFormat="1" ht="13">
      <c r="A44" s="1004">
        <v>45108</v>
      </c>
      <c r="B44" s="997"/>
      <c r="C44" s="998" t="s">
        <v>669</v>
      </c>
      <c r="D44" s="997"/>
      <c r="E44" s="1005">
        <v>-67500</v>
      </c>
      <c r="F44" s="999">
        <f t="shared" si="17"/>
        <v>291675</v>
      </c>
    </row>
    <row r="45" spans="1:6" s="9" customFormat="1" ht="13">
      <c r="A45" s="1004"/>
      <c r="B45" s="997"/>
      <c r="C45" s="998"/>
      <c r="D45" s="997"/>
      <c r="E45" s="1005"/>
      <c r="F45" s="999"/>
    </row>
    <row r="46" spans="1:6" s="9" customFormat="1" ht="13">
      <c r="A46" s="1000"/>
      <c r="B46" s="997"/>
      <c r="C46" s="997"/>
      <c r="D46" s="997"/>
      <c r="E46" s="1005"/>
      <c r="F46" s="1007"/>
    </row>
    <row r="47" spans="1:6" s="13" customFormat="1" ht="13.5" thickBot="1">
      <c r="A47" s="1008"/>
      <c r="B47" s="1009"/>
      <c r="C47" s="1009" t="s">
        <v>331</v>
      </c>
      <c r="D47" s="1009"/>
      <c r="E47" s="1010"/>
      <c r="F47" s="1011">
        <f>F44</f>
        <v>291675</v>
      </c>
    </row>
    <row r="58" spans="6:6">
      <c r="F58" t="s">
        <v>343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2C8B-2DBD-4D6C-B611-2BBB8986E336}">
  <dimension ref="A1:M79"/>
  <sheetViews>
    <sheetView tabSelected="1" workbookViewId="0">
      <selection sqref="A1:F1048576"/>
    </sheetView>
  </sheetViews>
  <sheetFormatPr defaultRowHeight="12.5"/>
  <cols>
    <col min="1" max="1" width="10.7265625" customWidth="1"/>
    <col min="2" max="2" width="25.7265625" customWidth="1"/>
    <col min="3" max="3" width="11.7265625" customWidth="1"/>
    <col min="4" max="4" width="1.7265625" customWidth="1"/>
    <col min="5" max="5" width="12.7265625" customWidth="1"/>
    <col min="6" max="6" width="7.7265625" customWidth="1"/>
    <col min="7" max="7" width="13.1796875" bestFit="1" customWidth="1"/>
  </cols>
  <sheetData>
    <row r="1" spans="1:13">
      <c r="A1" s="1107" t="s">
        <v>826</v>
      </c>
      <c r="B1" s="1107" t="s">
        <v>827</v>
      </c>
      <c r="E1" s="1107" t="s">
        <v>188</v>
      </c>
      <c r="F1" s="1107" t="s">
        <v>828</v>
      </c>
    </row>
    <row r="2" spans="1:13">
      <c r="A2" s="1107" t="s">
        <v>966</v>
      </c>
      <c r="B2" s="1108" t="s">
        <v>829</v>
      </c>
      <c r="E2" s="1107" t="s">
        <v>190</v>
      </c>
      <c r="F2" s="1109">
        <v>46273.612280092602</v>
      </c>
    </row>
    <row r="3" spans="1:13">
      <c r="A3" s="1107" t="s">
        <v>343</v>
      </c>
      <c r="B3" s="1108" t="s">
        <v>967</v>
      </c>
      <c r="E3" s="1107" t="s">
        <v>191</v>
      </c>
      <c r="F3" s="1110">
        <v>46273.612280092602</v>
      </c>
    </row>
    <row r="4" spans="1:13">
      <c r="A4" s="1107" t="s">
        <v>343</v>
      </c>
    </row>
    <row r="6" spans="1:13" ht="13">
      <c r="A6" s="1107" t="s">
        <v>830</v>
      </c>
      <c r="B6" s="1107" t="s">
        <v>1014</v>
      </c>
      <c r="I6" s="3"/>
      <c r="J6" s="3"/>
      <c r="K6" s="3"/>
      <c r="L6" s="3"/>
      <c r="M6" s="3"/>
    </row>
    <row r="7" spans="1:13">
      <c r="B7" s="1107" t="s">
        <v>831</v>
      </c>
    </row>
    <row r="9" spans="1:13">
      <c r="A9" s="1107" t="s">
        <v>340</v>
      </c>
      <c r="B9" s="1107" t="s">
        <v>328</v>
      </c>
      <c r="C9" s="1107" t="s">
        <v>478</v>
      </c>
      <c r="E9" s="1107" t="s">
        <v>479</v>
      </c>
    </row>
    <row r="12" spans="1:13">
      <c r="A12" s="1107" t="s">
        <v>832</v>
      </c>
    </row>
    <row r="14" spans="1:13">
      <c r="A14" s="1107" t="s">
        <v>988</v>
      </c>
      <c r="B14" s="1107" t="s">
        <v>989</v>
      </c>
      <c r="C14" s="1111">
        <v>84488.12</v>
      </c>
      <c r="G14" s="1090">
        <f>C14-E14</f>
        <v>84488.12</v>
      </c>
    </row>
    <row r="15" spans="1:13">
      <c r="A15" s="1107" t="s">
        <v>916</v>
      </c>
      <c r="B15" s="1107" t="s">
        <v>990</v>
      </c>
      <c r="C15" s="1111">
        <v>3001</v>
      </c>
      <c r="G15" s="1090">
        <f t="shared" ref="G15:G78" si="0">C15-E15</f>
        <v>3001</v>
      </c>
    </row>
    <row r="16" spans="1:13">
      <c r="A16" s="1107" t="s">
        <v>834</v>
      </c>
      <c r="B16" s="1107" t="s">
        <v>968</v>
      </c>
      <c r="C16" s="1111">
        <v>35214381</v>
      </c>
      <c r="G16" s="1090">
        <f t="shared" si="0"/>
        <v>35214381</v>
      </c>
    </row>
    <row r="17" spans="1:7">
      <c r="A17" s="1107" t="s">
        <v>969</v>
      </c>
      <c r="B17" s="1107" t="s">
        <v>970</v>
      </c>
      <c r="C17" s="1111">
        <v>13521</v>
      </c>
      <c r="G17" s="1090">
        <f t="shared" si="0"/>
        <v>13521</v>
      </c>
    </row>
    <row r="18" spans="1:7">
      <c r="A18" s="1107" t="s">
        <v>847</v>
      </c>
      <c r="B18" s="1107" t="s">
        <v>971</v>
      </c>
      <c r="E18" s="1111">
        <v>70080.08</v>
      </c>
      <c r="G18" s="1090">
        <f t="shared" si="0"/>
        <v>-70080.08</v>
      </c>
    </row>
    <row r="19" spans="1:7">
      <c r="A19" s="1107" t="s">
        <v>849</v>
      </c>
      <c r="B19" s="1107" t="s">
        <v>1015</v>
      </c>
      <c r="C19" s="1111">
        <v>200000</v>
      </c>
      <c r="G19" s="1090">
        <f t="shared" si="0"/>
        <v>200000</v>
      </c>
    </row>
    <row r="20" spans="1:7">
      <c r="A20" s="1107" t="s">
        <v>904</v>
      </c>
      <c r="B20" s="1107" t="s">
        <v>972</v>
      </c>
      <c r="E20" s="1111">
        <v>34973087.939999998</v>
      </c>
      <c r="G20" s="1090">
        <f t="shared" si="0"/>
        <v>-34973087.939999998</v>
      </c>
    </row>
    <row r="21" spans="1:7">
      <c r="A21" s="1107" t="s">
        <v>973</v>
      </c>
      <c r="B21" s="1107" t="s">
        <v>800</v>
      </c>
      <c r="E21" s="1111">
        <v>454498.66</v>
      </c>
      <c r="G21" s="1090">
        <f t="shared" si="0"/>
        <v>-454498.66</v>
      </c>
    </row>
    <row r="22" spans="1:7">
      <c r="A22" s="1107" t="s">
        <v>974</v>
      </c>
      <c r="B22" s="1107" t="s">
        <v>801</v>
      </c>
      <c r="E22" s="1111">
        <v>59394.15</v>
      </c>
      <c r="G22" s="1090">
        <f t="shared" si="0"/>
        <v>-59394.15</v>
      </c>
    </row>
    <row r="23" spans="1:7">
      <c r="A23" s="1107" t="s">
        <v>991</v>
      </c>
      <c r="B23" s="1107" t="s">
        <v>899</v>
      </c>
      <c r="E23" s="1111">
        <v>2589.29</v>
      </c>
      <c r="G23" s="1090">
        <f t="shared" si="0"/>
        <v>-2589.29</v>
      </c>
    </row>
    <row r="24" spans="1:7">
      <c r="A24" s="1107" t="s">
        <v>992</v>
      </c>
      <c r="B24" s="1107" t="s">
        <v>900</v>
      </c>
      <c r="E24" s="1111">
        <v>19887.41</v>
      </c>
      <c r="G24" s="1090">
        <f t="shared" si="0"/>
        <v>-19887.41</v>
      </c>
    </row>
    <row r="25" spans="1:7">
      <c r="A25" s="1107" t="s">
        <v>975</v>
      </c>
      <c r="B25" s="1107" t="s">
        <v>976</v>
      </c>
      <c r="E25" s="1111">
        <v>13430.25</v>
      </c>
      <c r="G25" s="1090">
        <f t="shared" si="0"/>
        <v>-13430.25</v>
      </c>
    </row>
    <row r="26" spans="1:7">
      <c r="A26" s="1107" t="s">
        <v>1016</v>
      </c>
      <c r="B26" s="1107" t="s">
        <v>1009</v>
      </c>
      <c r="C26" s="1111">
        <v>18215</v>
      </c>
      <c r="G26" s="1090">
        <f t="shared" si="0"/>
        <v>18215</v>
      </c>
    </row>
    <row r="27" spans="1:7">
      <c r="A27" s="1107" t="s">
        <v>1017</v>
      </c>
      <c r="B27" s="1107" t="s">
        <v>1010</v>
      </c>
      <c r="C27" s="1111">
        <v>3128</v>
      </c>
      <c r="G27" s="1090">
        <f t="shared" si="0"/>
        <v>3128</v>
      </c>
    </row>
    <row r="28" spans="1:7">
      <c r="A28" s="1107" t="s">
        <v>1018</v>
      </c>
      <c r="B28" s="1107" t="s">
        <v>1011</v>
      </c>
      <c r="C28" s="1111">
        <v>970</v>
      </c>
      <c r="G28" s="1090">
        <f t="shared" si="0"/>
        <v>970</v>
      </c>
    </row>
    <row r="29" spans="1:7">
      <c r="A29" s="1107" t="s">
        <v>1019</v>
      </c>
      <c r="B29" s="1107" t="s">
        <v>1020</v>
      </c>
      <c r="C29" s="1111">
        <v>1840</v>
      </c>
      <c r="G29" s="1090">
        <f t="shared" si="0"/>
        <v>1840</v>
      </c>
    </row>
    <row r="30" spans="1:7">
      <c r="A30" s="1107" t="s">
        <v>993</v>
      </c>
      <c r="B30" s="1107" t="s">
        <v>994</v>
      </c>
      <c r="C30" s="1111">
        <v>4728</v>
      </c>
      <c r="G30" s="1090">
        <f t="shared" si="0"/>
        <v>4728</v>
      </c>
    </row>
    <row r="31" spans="1:7">
      <c r="A31" s="1107" t="s">
        <v>1021</v>
      </c>
      <c r="B31" s="1107" t="s">
        <v>1022</v>
      </c>
      <c r="C31" s="1111">
        <v>20</v>
      </c>
      <c r="G31" s="1090">
        <f t="shared" si="0"/>
        <v>20</v>
      </c>
    </row>
    <row r="32" spans="1:7">
      <c r="A32" s="1107" t="s">
        <v>995</v>
      </c>
      <c r="B32" s="1107" t="s">
        <v>996</v>
      </c>
      <c r="C32" s="1111">
        <v>2037</v>
      </c>
      <c r="G32" s="1090">
        <f t="shared" si="0"/>
        <v>2037</v>
      </c>
    </row>
    <row r="33" spans="1:7">
      <c r="A33" s="1107" t="s">
        <v>997</v>
      </c>
      <c r="B33" s="1107" t="s">
        <v>998</v>
      </c>
      <c r="C33" s="1111">
        <v>12495.32</v>
      </c>
      <c r="G33" s="1090">
        <f t="shared" si="0"/>
        <v>12495.32</v>
      </c>
    </row>
    <row r="34" spans="1:7">
      <c r="A34" s="1107" t="s">
        <v>999</v>
      </c>
      <c r="B34" s="1107" t="s">
        <v>1000</v>
      </c>
      <c r="C34" s="1111">
        <v>300</v>
      </c>
      <c r="G34" s="1090">
        <f t="shared" si="0"/>
        <v>300</v>
      </c>
    </row>
    <row r="35" spans="1:7">
      <c r="A35" s="1107" t="s">
        <v>1023</v>
      </c>
      <c r="B35" s="1107" t="s">
        <v>1012</v>
      </c>
      <c r="C35" s="1111">
        <v>3165</v>
      </c>
      <c r="G35" s="1090">
        <f t="shared" si="0"/>
        <v>3165</v>
      </c>
    </row>
    <row r="36" spans="1:7">
      <c r="A36" s="1107" t="s">
        <v>977</v>
      </c>
      <c r="B36" s="1107" t="s">
        <v>851</v>
      </c>
      <c r="E36" s="1111">
        <v>24127.67</v>
      </c>
      <c r="G36" s="1090">
        <f t="shared" si="0"/>
        <v>-24127.67</v>
      </c>
    </row>
    <row r="37" spans="1:7">
      <c r="A37" s="1107" t="s">
        <v>1001</v>
      </c>
      <c r="B37" s="1107" t="s">
        <v>1002</v>
      </c>
      <c r="C37" s="1111">
        <v>310.87</v>
      </c>
      <c r="G37" s="1090">
        <f t="shared" si="0"/>
        <v>310.87</v>
      </c>
    </row>
    <row r="38" spans="1:7">
      <c r="A38" s="1107" t="s">
        <v>1003</v>
      </c>
      <c r="B38" s="1107" t="s">
        <v>1004</v>
      </c>
      <c r="C38" s="1111">
        <v>1942.45</v>
      </c>
      <c r="G38" s="1090">
        <f t="shared" si="0"/>
        <v>1942.45</v>
      </c>
    </row>
    <row r="39" spans="1:7">
      <c r="A39" s="1107" t="s">
        <v>1005</v>
      </c>
      <c r="B39" s="1107" t="s">
        <v>1006</v>
      </c>
      <c r="C39" s="1111">
        <v>1918.94</v>
      </c>
      <c r="G39" s="1090">
        <f t="shared" si="0"/>
        <v>1918.94</v>
      </c>
    </row>
    <row r="40" spans="1:7">
      <c r="A40" s="1107" t="s">
        <v>1007</v>
      </c>
      <c r="B40" s="1107" t="s">
        <v>1008</v>
      </c>
      <c r="C40" s="1111">
        <v>633.75</v>
      </c>
      <c r="G40" s="1090">
        <f t="shared" si="0"/>
        <v>633.75</v>
      </c>
    </row>
    <row r="41" spans="1:7">
      <c r="A41" s="1107" t="s">
        <v>1024</v>
      </c>
      <c r="B41" s="1107" t="s">
        <v>1025</v>
      </c>
      <c r="C41" s="1111">
        <v>50000</v>
      </c>
      <c r="G41" s="1090">
        <f t="shared" si="0"/>
        <v>50000</v>
      </c>
    </row>
    <row r="42" spans="1:7">
      <c r="B42" s="1107" t="s">
        <v>978</v>
      </c>
      <c r="C42" s="1111">
        <v>35617095.450000003</v>
      </c>
      <c r="E42" s="1111">
        <v>35617095.450000003</v>
      </c>
      <c r="G42" s="1090">
        <f t="shared" si="0"/>
        <v>0</v>
      </c>
    </row>
    <row r="43" spans="1:7">
      <c r="G43" s="1090">
        <f t="shared" si="0"/>
        <v>0</v>
      </c>
    </row>
    <row r="44" spans="1:7">
      <c r="G44" s="1090">
        <f t="shared" si="0"/>
        <v>0</v>
      </c>
    </row>
    <row r="45" spans="1:7">
      <c r="G45" s="1090">
        <f t="shared" si="0"/>
        <v>0</v>
      </c>
    </row>
    <row r="46" spans="1:7">
      <c r="G46" s="1090">
        <f t="shared" si="0"/>
        <v>0</v>
      </c>
    </row>
    <row r="47" spans="1:7">
      <c r="G47" s="1090">
        <f t="shared" si="0"/>
        <v>0</v>
      </c>
    </row>
    <row r="48" spans="1:7">
      <c r="G48" s="1090">
        <f t="shared" si="0"/>
        <v>0</v>
      </c>
    </row>
    <row r="49" spans="7:7">
      <c r="G49" s="1090">
        <f t="shared" si="0"/>
        <v>0</v>
      </c>
    </row>
    <row r="50" spans="7:7">
      <c r="G50" s="1090">
        <f t="shared" si="0"/>
        <v>0</v>
      </c>
    </row>
    <row r="51" spans="7:7">
      <c r="G51" s="1090">
        <f t="shared" si="0"/>
        <v>0</v>
      </c>
    </row>
    <row r="52" spans="7:7">
      <c r="G52" s="1090">
        <f t="shared" si="0"/>
        <v>0</v>
      </c>
    </row>
    <row r="53" spans="7:7">
      <c r="G53" s="1090">
        <f t="shared" si="0"/>
        <v>0</v>
      </c>
    </row>
    <row r="54" spans="7:7">
      <c r="G54" s="1090">
        <f t="shared" si="0"/>
        <v>0</v>
      </c>
    </row>
    <row r="55" spans="7:7">
      <c r="G55" s="1090">
        <f t="shared" si="0"/>
        <v>0</v>
      </c>
    </row>
    <row r="56" spans="7:7">
      <c r="G56" s="1090">
        <f t="shared" si="0"/>
        <v>0</v>
      </c>
    </row>
    <row r="57" spans="7:7">
      <c r="G57" s="1090">
        <f t="shared" si="0"/>
        <v>0</v>
      </c>
    </row>
    <row r="58" spans="7:7">
      <c r="G58" s="1090">
        <f t="shared" si="0"/>
        <v>0</v>
      </c>
    </row>
    <row r="59" spans="7:7">
      <c r="G59" s="1090">
        <f t="shared" si="0"/>
        <v>0</v>
      </c>
    </row>
    <row r="60" spans="7:7">
      <c r="G60" s="1090">
        <f t="shared" si="0"/>
        <v>0</v>
      </c>
    </row>
    <row r="61" spans="7:7">
      <c r="G61" s="1090">
        <f t="shared" si="0"/>
        <v>0</v>
      </c>
    </row>
    <row r="62" spans="7:7">
      <c r="G62" s="1090">
        <f t="shared" si="0"/>
        <v>0</v>
      </c>
    </row>
    <row r="63" spans="7:7">
      <c r="G63" s="1090">
        <f t="shared" si="0"/>
        <v>0</v>
      </c>
    </row>
    <row r="64" spans="7:7">
      <c r="G64" s="1090">
        <f t="shared" si="0"/>
        <v>0</v>
      </c>
    </row>
    <row r="65" spans="7:7">
      <c r="G65" s="1090">
        <f t="shared" si="0"/>
        <v>0</v>
      </c>
    </row>
    <row r="66" spans="7:7">
      <c r="G66" s="1090">
        <f t="shared" si="0"/>
        <v>0</v>
      </c>
    </row>
    <row r="67" spans="7:7">
      <c r="G67" s="1090">
        <f t="shared" si="0"/>
        <v>0</v>
      </c>
    </row>
    <row r="68" spans="7:7">
      <c r="G68" s="1090">
        <f t="shared" si="0"/>
        <v>0</v>
      </c>
    </row>
    <row r="69" spans="7:7">
      <c r="G69" s="1090">
        <f t="shared" si="0"/>
        <v>0</v>
      </c>
    </row>
    <row r="70" spans="7:7">
      <c r="G70" s="1090">
        <f t="shared" si="0"/>
        <v>0</v>
      </c>
    </row>
    <row r="71" spans="7:7">
      <c r="G71" s="1090">
        <f t="shared" si="0"/>
        <v>0</v>
      </c>
    </row>
    <row r="72" spans="7:7">
      <c r="G72" s="1090">
        <f t="shared" si="0"/>
        <v>0</v>
      </c>
    </row>
    <row r="73" spans="7:7">
      <c r="G73" s="1090">
        <f t="shared" si="0"/>
        <v>0</v>
      </c>
    </row>
    <row r="74" spans="7:7">
      <c r="G74" s="1090">
        <f t="shared" si="0"/>
        <v>0</v>
      </c>
    </row>
    <row r="75" spans="7:7">
      <c r="G75" s="1090">
        <f t="shared" si="0"/>
        <v>0</v>
      </c>
    </row>
    <row r="76" spans="7:7">
      <c r="G76" s="1090">
        <f t="shared" si="0"/>
        <v>0</v>
      </c>
    </row>
    <row r="77" spans="7:7">
      <c r="G77" s="1090">
        <f t="shared" si="0"/>
        <v>0</v>
      </c>
    </row>
    <row r="78" spans="7:7">
      <c r="G78" s="1090">
        <f t="shared" si="0"/>
        <v>0</v>
      </c>
    </row>
    <row r="79" spans="7:7">
      <c r="G79" s="1090">
        <f t="shared" ref="G79" si="1">C79-E79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8F13-1269-4D94-8E51-51F711E2E29A}">
  <sheetPr>
    <pageSetUpPr autoPageBreaks="0" fitToPage="1"/>
  </sheetPr>
  <dimension ref="A1:F18"/>
  <sheetViews>
    <sheetView workbookViewId="0">
      <selection activeCell="F11" sqref="A11:F11"/>
    </sheetView>
  </sheetViews>
  <sheetFormatPr defaultRowHeight="12.5"/>
  <cols>
    <col min="1" max="1" width="12.7265625" customWidth="1"/>
    <col min="2" max="2" width="2.7265625" customWidth="1"/>
    <col min="3" max="3" width="33" bestFit="1" customWidth="1"/>
    <col min="4" max="4" width="40.26953125" bestFit="1" customWidth="1"/>
    <col min="5" max="5" width="2.7265625" customWidth="1"/>
    <col min="6" max="6" width="16.5429687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5"/>
    </row>
    <row r="2" spans="1:6" s="9" customFormat="1" ht="18">
      <c r="A2" s="1197" t="s">
        <v>586</v>
      </c>
      <c r="B2" s="1198"/>
      <c r="C2" s="1198"/>
      <c r="D2" s="1198"/>
      <c r="E2" s="1198"/>
      <c r="F2" s="1198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27</v>
      </c>
      <c r="D9" s="316" t="s">
        <v>328</v>
      </c>
      <c r="E9" s="316"/>
      <c r="F9" s="357" t="s">
        <v>329</v>
      </c>
    </row>
    <row r="10" spans="1:6" s="9" customFormat="1" ht="13">
      <c r="A10" s="1093"/>
      <c r="D10" s="1106"/>
      <c r="F10" s="1052"/>
    </row>
    <row r="11" spans="1:6" s="9" customFormat="1" ht="13">
      <c r="A11" s="1093"/>
      <c r="B11" s="997"/>
      <c r="C11" s="1113"/>
      <c r="D11" s="1113"/>
      <c r="E11" s="997"/>
      <c r="F11" s="1112"/>
    </row>
    <row r="12" spans="1:6" s="9" customFormat="1" ht="13">
      <c r="A12" s="994"/>
      <c r="B12" s="995"/>
      <c r="C12" s="995"/>
      <c r="D12" s="998"/>
      <c r="E12" s="995"/>
      <c r="F12" s="1052"/>
    </row>
    <row r="13" spans="1:6" s="9" customFormat="1" ht="13">
      <c r="A13" s="1000"/>
      <c r="B13" s="997"/>
      <c r="C13" s="997"/>
      <c r="D13" s="997"/>
      <c r="E13" s="997"/>
      <c r="F13" s="999"/>
    </row>
    <row r="14" spans="1:6" s="13" customFormat="1" ht="13.5" thickBot="1">
      <c r="A14" s="1008"/>
      <c r="B14" s="1009"/>
      <c r="C14" s="1009"/>
      <c r="D14" s="1009" t="s">
        <v>331</v>
      </c>
      <c r="E14" s="1009"/>
      <c r="F14" s="1014">
        <f>SUM(F10:F13)</f>
        <v>0</v>
      </c>
    </row>
    <row r="17" spans="1:6" ht="13">
      <c r="A17" s="3"/>
      <c r="B17" s="3"/>
      <c r="C17" s="3"/>
      <c r="D17" s="3" t="s">
        <v>833</v>
      </c>
      <c r="E17" s="3"/>
      <c r="F17" s="1091" cm="1">
        <f t="array" ref="F17">IFERROR(INDEX(TB!G:G,MATCH(D17,TB!A:A,0),0),0)</f>
        <v>0</v>
      </c>
    </row>
    <row r="18" spans="1:6" ht="13">
      <c r="A18" s="3"/>
      <c r="B18" s="3"/>
      <c r="C18" s="3"/>
      <c r="D18" s="3" t="s">
        <v>853</v>
      </c>
      <c r="E18" s="3"/>
      <c r="F18" s="1092">
        <f>F17-F14</f>
        <v>0</v>
      </c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A9EF-FEBB-4E59-AD02-AEF6837C5B97}">
  <dimension ref="A1:F20"/>
  <sheetViews>
    <sheetView workbookViewId="0">
      <selection activeCell="A12" sqref="A12:XFD15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939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9" customFormat="1" ht="13">
      <c r="A12" s="1004"/>
      <c r="B12" s="997"/>
      <c r="C12" s="998"/>
      <c r="D12" s="997"/>
      <c r="E12" s="1005"/>
      <c r="F12" s="999"/>
    </row>
    <row r="13" spans="1:6" s="9" customFormat="1" ht="13">
      <c r="A13" s="1004"/>
      <c r="B13" s="997"/>
      <c r="C13" s="998"/>
      <c r="D13" s="997"/>
      <c r="E13" s="1005"/>
      <c r="F13" s="999"/>
    </row>
    <row r="14" spans="1:6" s="9" customFormat="1" ht="13">
      <c r="A14" s="1004"/>
      <c r="B14" s="997"/>
      <c r="C14" s="998"/>
      <c r="D14" s="997"/>
      <c r="E14" s="1005"/>
      <c r="F14" s="999"/>
    </row>
    <row r="15" spans="1:6" s="9" customFormat="1" ht="13">
      <c r="A15" s="1004"/>
      <c r="B15" s="997"/>
      <c r="C15" s="997"/>
      <c r="D15" s="997"/>
      <c r="E15" s="1005"/>
      <c r="F15" s="1006"/>
    </row>
    <row r="16" spans="1:6" s="9" customFormat="1" ht="13">
      <c r="A16" s="1000"/>
      <c r="B16" s="997"/>
      <c r="C16" s="997"/>
      <c r="D16" s="997"/>
      <c r="E16" s="1005"/>
      <c r="F16" s="1007"/>
    </row>
    <row r="17" spans="1:6" s="13" customFormat="1" ht="13.5" thickBot="1">
      <c r="A17" s="1008"/>
      <c r="B17" s="1009"/>
      <c r="C17" s="1009" t="s">
        <v>331</v>
      </c>
      <c r="D17" s="1009"/>
      <c r="E17" s="1010"/>
      <c r="F17" s="1011">
        <f>SUM(F12:F16)</f>
        <v>0</v>
      </c>
    </row>
    <row r="19" spans="1:6" ht="13">
      <c r="C19" s="1105" t="s">
        <v>913</v>
      </c>
      <c r="D19" s="1099"/>
      <c r="E19" s="1099"/>
      <c r="F19" s="1100" cm="1">
        <f t="array" ref="F19">IFERROR(INDEX(TB!G:G,MATCH(C19,TB!A:A,0),0),0)</f>
        <v>0</v>
      </c>
    </row>
    <row r="20" spans="1:6" ht="13">
      <c r="C20" s="1105" t="s">
        <v>854</v>
      </c>
      <c r="D20" s="1099"/>
      <c r="E20" s="1099"/>
      <c r="F20" s="1104">
        <f>F19-F17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6872-9B11-46DC-9B3C-48515ACA93CD}">
  <dimension ref="A1:F21"/>
  <sheetViews>
    <sheetView topLeftCell="A3" workbookViewId="0">
      <selection activeCell="C14" sqref="A12:XFD14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937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9" customFormat="1" ht="13">
      <c r="A12" s="1004"/>
      <c r="B12" s="997"/>
      <c r="C12" s="998"/>
      <c r="D12" s="997"/>
      <c r="E12" s="1005"/>
      <c r="F12" s="999"/>
    </row>
    <row r="13" spans="1:6" s="9" customFormat="1" ht="13">
      <c r="A13" s="1004"/>
      <c r="B13" s="997"/>
      <c r="C13" s="998"/>
      <c r="D13" s="997"/>
      <c r="E13" s="1005"/>
      <c r="F13" s="999"/>
    </row>
    <row r="14" spans="1:6" s="9" customFormat="1" ht="13">
      <c r="A14" s="1004"/>
      <c r="B14" s="997"/>
      <c r="C14" s="998"/>
      <c r="D14" s="997"/>
      <c r="E14" s="1005"/>
      <c r="F14" s="999"/>
    </row>
    <row r="15" spans="1:6" s="9" customFormat="1" ht="13">
      <c r="A15" s="1004"/>
      <c r="B15" s="997"/>
      <c r="C15" s="998"/>
      <c r="D15" s="997"/>
      <c r="E15" s="1005"/>
      <c r="F15" s="999"/>
    </row>
    <row r="16" spans="1:6" s="9" customFormat="1" ht="13">
      <c r="A16" s="1004"/>
      <c r="B16" s="997"/>
      <c r="C16" s="997"/>
      <c r="D16" s="997"/>
      <c r="E16" s="1005"/>
      <c r="F16" s="1006"/>
    </row>
    <row r="17" spans="1:6" s="9" customFormat="1" ht="13">
      <c r="A17" s="1000"/>
      <c r="B17" s="997"/>
      <c r="C17" s="997"/>
      <c r="D17" s="997"/>
      <c r="E17" s="1005"/>
      <c r="F17" s="1007"/>
    </row>
    <row r="18" spans="1:6" s="13" customFormat="1" ht="13.5" thickBot="1">
      <c r="A18" s="1008"/>
      <c r="B18" s="1009"/>
      <c r="C18" s="1009" t="s">
        <v>331</v>
      </c>
      <c r="D18" s="1009"/>
      <c r="E18" s="1010"/>
      <c r="F18" s="1011">
        <f>SUM(F12:F17)</f>
        <v>0</v>
      </c>
    </row>
    <row r="20" spans="1:6" ht="13">
      <c r="C20" s="1105" t="s">
        <v>914</v>
      </c>
      <c r="D20" s="1099"/>
      <c r="E20" s="1099"/>
      <c r="F20" s="1100" cm="1">
        <f t="array" ref="F20">IFERROR(INDEX(TB!G:G,MATCH(C20,TB!A:A,0),0),0)</f>
        <v>0</v>
      </c>
    </row>
    <row r="21" spans="1:6" ht="13">
      <c r="C21" s="1105" t="s">
        <v>854</v>
      </c>
      <c r="D21" s="1099"/>
      <c r="E21" s="1099"/>
      <c r="F21" s="1104">
        <f>F20-F18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2F57-4C8C-4CF9-9889-CD1F4EE29BF6}">
  <dimension ref="A1:F21"/>
  <sheetViews>
    <sheetView workbookViewId="0">
      <selection activeCell="F14" sqref="A12:XFD14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938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9" customFormat="1" ht="13">
      <c r="A12" s="1004"/>
      <c r="B12" s="997"/>
      <c r="C12" s="998"/>
      <c r="D12" s="997"/>
      <c r="E12" s="1005"/>
      <c r="F12" s="999"/>
    </row>
    <row r="13" spans="1:6" s="9" customFormat="1" ht="13">
      <c r="A13" s="1004"/>
      <c r="B13" s="997"/>
      <c r="C13" s="998"/>
      <c r="D13" s="997"/>
      <c r="E13" s="1005"/>
      <c r="F13" s="999"/>
    </row>
    <row r="14" spans="1:6" s="9" customFormat="1" ht="13">
      <c r="A14" s="1004"/>
      <c r="B14" s="997"/>
      <c r="C14" s="998"/>
      <c r="D14" s="997"/>
      <c r="E14" s="1005"/>
      <c r="F14" s="999"/>
    </row>
    <row r="15" spans="1:6" s="9" customFormat="1" ht="13">
      <c r="A15" s="1004"/>
      <c r="B15" s="997"/>
      <c r="C15" s="998"/>
      <c r="D15" s="997"/>
      <c r="E15" s="1005"/>
      <c r="F15" s="999"/>
    </row>
    <row r="16" spans="1:6" s="9" customFormat="1" ht="13">
      <c r="A16" s="1004"/>
      <c r="B16" s="997"/>
      <c r="C16" s="997"/>
      <c r="D16" s="997"/>
      <c r="E16" s="1005"/>
      <c r="F16" s="1006"/>
    </row>
    <row r="17" spans="1:6" s="9" customFormat="1" ht="13">
      <c r="A17" s="1000"/>
      <c r="B17" s="997"/>
      <c r="C17" s="997"/>
      <c r="D17" s="997"/>
      <c r="E17" s="1005"/>
      <c r="F17" s="1007"/>
    </row>
    <row r="18" spans="1:6" s="13" customFormat="1" ht="13.5" thickBot="1">
      <c r="A18" s="1008"/>
      <c r="B18" s="1009"/>
      <c r="C18" s="1009" t="s">
        <v>331</v>
      </c>
      <c r="D18" s="1009"/>
      <c r="E18" s="1010"/>
      <c r="F18" s="1011">
        <f>SUM(F12:F17)</f>
        <v>0</v>
      </c>
    </row>
    <row r="20" spans="1:6" ht="13">
      <c r="C20" s="1105" t="s">
        <v>915</v>
      </c>
      <c r="D20" s="1099"/>
      <c r="E20" s="1099"/>
      <c r="F20" s="1100" cm="1">
        <f t="array" ref="F20">IFERROR(INDEX(TB!G:G,MATCH(C20,TB!A:A,0),0),0)</f>
        <v>0</v>
      </c>
    </row>
    <row r="21" spans="1:6" ht="13">
      <c r="C21" s="1105" t="s">
        <v>854</v>
      </c>
      <c r="D21" s="1099"/>
      <c r="E21" s="1099"/>
      <c r="F21" s="1104">
        <f>F20-F18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 fitToPage="1"/>
  </sheetPr>
  <dimension ref="A1:I18"/>
  <sheetViews>
    <sheetView workbookViewId="0">
      <selection activeCell="D11" sqref="A11:XFD11"/>
    </sheetView>
  </sheetViews>
  <sheetFormatPr defaultRowHeight="12.5"/>
  <cols>
    <col min="1" max="1" width="12.7265625" customWidth="1"/>
    <col min="2" max="2" width="2.7265625" customWidth="1"/>
    <col min="3" max="3" width="15" customWidth="1"/>
    <col min="4" max="4" width="37.453125" customWidth="1"/>
    <col min="5" max="5" width="2.7265625" customWidth="1"/>
    <col min="6" max="6" width="16.54296875" customWidth="1"/>
    <col min="9" max="9" width="10.26953125" style="27" bestFit="1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5"/>
    </row>
    <row r="2" spans="1:6" s="9" customFormat="1" ht="18">
      <c r="A2" s="1197" t="s">
        <v>527</v>
      </c>
      <c r="B2" s="1198"/>
      <c r="C2" s="1198"/>
      <c r="D2" s="1198"/>
      <c r="E2" s="1198"/>
      <c r="F2" s="1198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528</v>
      </c>
      <c r="D9" s="316" t="s">
        <v>529</v>
      </c>
      <c r="E9" s="316"/>
      <c r="F9" s="357" t="s">
        <v>329</v>
      </c>
    </row>
    <row r="10" spans="1:6" s="9" customFormat="1">
      <c r="A10" s="52"/>
      <c r="F10" s="87"/>
    </row>
    <row r="11" spans="1:6" s="9" customFormat="1">
      <c r="A11" s="968"/>
      <c r="B11" s="139"/>
      <c r="C11" s="139"/>
      <c r="D11" s="16"/>
      <c r="E11" s="139"/>
      <c r="F11" s="1013"/>
    </row>
    <row r="12" spans="1:6" s="9" customFormat="1">
      <c r="A12" s="968"/>
      <c r="C12" s="139"/>
      <c r="D12" s="16"/>
      <c r="F12" s="874"/>
    </row>
    <row r="13" spans="1:6" s="9" customFormat="1">
      <c r="A13" s="968"/>
      <c r="C13" s="139"/>
      <c r="D13" s="16"/>
      <c r="F13" s="874"/>
    </row>
    <row r="14" spans="1:6" s="9" customFormat="1" ht="13">
      <c r="A14" s="1000"/>
      <c r="B14" s="997"/>
      <c r="C14" s="997"/>
      <c r="D14" s="997"/>
      <c r="E14" s="997"/>
      <c r="F14" s="999"/>
    </row>
    <row r="15" spans="1:6" s="13" customFormat="1" ht="13.5" thickBot="1">
      <c r="A15" s="1008"/>
      <c r="B15" s="1009"/>
      <c r="C15" s="1009"/>
      <c r="D15" s="1009" t="s">
        <v>331</v>
      </c>
      <c r="E15" s="1009"/>
      <c r="F15" s="1014">
        <f>SUM(F11:F14)</f>
        <v>0</v>
      </c>
    </row>
    <row r="17" spans="3:6" ht="13">
      <c r="C17" s="1105" t="s">
        <v>916</v>
      </c>
      <c r="D17" s="1099"/>
      <c r="E17" s="1099"/>
      <c r="F17" s="1100" cm="1">
        <f t="array" ref="F17">IFERROR(INDEX(TB!G:G,MATCH(C17,TB!A:A,0),0),0)</f>
        <v>3001</v>
      </c>
    </row>
    <row r="18" spans="3:6" ht="13">
      <c r="C18" s="1105" t="s">
        <v>854</v>
      </c>
      <c r="D18" s="1099"/>
      <c r="E18" s="1099"/>
      <c r="F18" s="1104">
        <f>F17-F15</f>
        <v>3001</v>
      </c>
    </row>
  </sheetData>
  <mergeCells count="3">
    <mergeCell ref="A1:F1"/>
    <mergeCell ref="A2:F2"/>
    <mergeCell ref="A3:F3"/>
  </mergeCells>
  <phoneticPr fontId="81" type="noConversion"/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3">
    <pageSetUpPr autoPageBreaks="0" fitToPage="1"/>
  </sheetPr>
  <dimension ref="A1:G14"/>
  <sheetViews>
    <sheetView workbookViewId="0">
      <selection activeCell="D19" sqref="D19"/>
    </sheetView>
  </sheetViews>
  <sheetFormatPr defaultRowHeight="12.5"/>
  <cols>
    <col min="1" max="1" width="12.7265625" customWidth="1"/>
    <col min="2" max="2" width="2.7265625" customWidth="1"/>
    <col min="3" max="3" width="15" customWidth="1"/>
    <col min="4" max="4" width="50.7265625" customWidth="1"/>
    <col min="5" max="5" width="2.7265625" customWidth="1"/>
    <col min="6" max="6" width="16.54296875" customWidth="1"/>
    <col min="7" max="7" width="47.1796875" customWidth="1"/>
  </cols>
  <sheetData>
    <row r="1" spans="1:7" s="9" customFormat="1" ht="18">
      <c r="A1" s="1194" t="str">
        <f>+'Review Comments'!B11</f>
        <v>ABI PROPERTIES</v>
      </c>
      <c r="B1" s="1195"/>
      <c r="C1" s="1195"/>
      <c r="D1" s="1195"/>
      <c r="E1" s="1195"/>
      <c r="F1" s="1195"/>
      <c r="G1" s="1196"/>
    </row>
    <row r="2" spans="1:7" s="9" customFormat="1" ht="18">
      <c r="A2" s="1197" t="s">
        <v>345</v>
      </c>
      <c r="B2" s="1198"/>
      <c r="C2" s="1198"/>
      <c r="D2" s="1198"/>
      <c r="E2" s="1198"/>
      <c r="F2" s="1198"/>
      <c r="G2" s="1199"/>
    </row>
    <row r="3" spans="1:7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1"/>
      <c r="G3" s="1202"/>
    </row>
    <row r="4" spans="1:7" s="9" customFormat="1"/>
    <row r="5" spans="1:7" s="9" customFormat="1"/>
    <row r="6" spans="1:7" s="9" customFormat="1"/>
    <row r="7" spans="1:7" s="9" customFormat="1" ht="13" thickBot="1"/>
    <row r="8" spans="1:7" s="9" customFormat="1" ht="13">
      <c r="A8" s="338"/>
      <c r="B8" s="339"/>
      <c r="C8" s="339"/>
      <c r="D8" s="339"/>
      <c r="E8" s="339"/>
      <c r="F8" s="339"/>
      <c r="G8" s="341"/>
    </row>
    <row r="9" spans="1:7" s="9" customFormat="1" ht="26.5" thickBot="1">
      <c r="A9" s="315" t="s">
        <v>327</v>
      </c>
      <c r="B9" s="316"/>
      <c r="C9" s="316" t="s">
        <v>27</v>
      </c>
      <c r="D9" s="316" t="s">
        <v>328</v>
      </c>
      <c r="E9" s="316"/>
      <c r="F9" s="316" t="s">
        <v>329</v>
      </c>
      <c r="G9" s="357" t="s">
        <v>330</v>
      </c>
    </row>
    <row r="10" spans="1:7" s="9" customFormat="1">
      <c r="A10" s="52"/>
      <c r="G10" s="106"/>
    </row>
    <row r="11" spans="1:7" s="9" customFormat="1" ht="13" hidden="1">
      <c r="A11" s="994">
        <v>42521</v>
      </c>
      <c r="B11" s="995"/>
      <c r="C11" s="995" t="s">
        <v>344</v>
      </c>
      <c r="D11" s="998"/>
      <c r="E11" s="995"/>
      <c r="F11" s="1012">
        <f>2097.63-2097.63</f>
        <v>0</v>
      </c>
      <c r="G11" s="155"/>
    </row>
    <row r="12" spans="1:7" s="9" customFormat="1" ht="13">
      <c r="A12" s="1002"/>
      <c r="B12" s="997"/>
      <c r="C12" s="995"/>
      <c r="D12" s="998"/>
      <c r="E12" s="997"/>
      <c r="F12" s="1005"/>
      <c r="G12" s="107"/>
    </row>
    <row r="13" spans="1:7" s="9" customFormat="1" ht="13">
      <c r="A13" s="1000"/>
      <c r="B13" s="997"/>
      <c r="C13" s="997"/>
      <c r="D13" s="997"/>
      <c r="E13" s="997"/>
      <c r="F13" s="1005"/>
      <c r="G13" s="107"/>
    </row>
    <row r="14" spans="1:7" s="13" customFormat="1" ht="13.5" thickBot="1">
      <c r="A14" s="1008"/>
      <c r="B14" s="1009"/>
      <c r="C14" s="1009"/>
      <c r="D14" s="1009" t="s">
        <v>331</v>
      </c>
      <c r="E14" s="1009"/>
      <c r="F14" s="1010">
        <f>SUM(F11:F13)</f>
        <v>0</v>
      </c>
      <c r="G14" s="137"/>
    </row>
  </sheetData>
  <mergeCells count="3">
    <mergeCell ref="A1:G1"/>
    <mergeCell ref="A2:G2"/>
    <mergeCell ref="A3:G3"/>
  </mergeCells>
  <phoneticPr fontId="0" type="noConversion"/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A8C0-B6B1-4BD6-ACC3-19CDE519435E}">
  <sheetPr>
    <pageSetUpPr autoPageBreaks="0" fitToPage="1"/>
  </sheetPr>
  <dimension ref="A1:F18"/>
  <sheetViews>
    <sheetView workbookViewId="0">
      <selection activeCell="F11" sqref="A11:XFD11"/>
    </sheetView>
  </sheetViews>
  <sheetFormatPr defaultRowHeight="12.5"/>
  <cols>
    <col min="1" max="1" width="12.7265625" customWidth="1"/>
    <col min="2" max="2" width="2.7265625" customWidth="1"/>
    <col min="3" max="3" width="25.81640625" bestFit="1" customWidth="1"/>
    <col min="4" max="4" width="37.453125" customWidth="1"/>
    <col min="5" max="5" width="2.7265625" customWidth="1"/>
    <col min="6" max="6" width="16.5429687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5"/>
    </row>
    <row r="2" spans="1:6" s="9" customFormat="1" ht="18">
      <c r="A2" s="1197" t="s">
        <v>600</v>
      </c>
      <c r="B2" s="1198"/>
      <c r="C2" s="1198"/>
      <c r="D2" s="1198"/>
      <c r="E2" s="1198"/>
      <c r="F2" s="1198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528</v>
      </c>
      <c r="D9" s="316" t="s">
        <v>529</v>
      </c>
      <c r="E9" s="316"/>
      <c r="F9" s="357" t="s">
        <v>329</v>
      </c>
    </row>
    <row r="10" spans="1:6" s="9" customFormat="1">
      <c r="A10" s="52"/>
      <c r="F10" s="87"/>
    </row>
    <row r="11" spans="1:6" s="9" customFormat="1">
      <c r="A11" s="968"/>
      <c r="C11" s="1073"/>
      <c r="D11" s="1073"/>
      <c r="F11" s="874"/>
    </row>
    <row r="12" spans="1:6" s="9" customFormat="1">
      <c r="A12" s="968"/>
      <c r="C12" s="1073"/>
      <c r="D12" s="1073"/>
      <c r="F12" s="874"/>
    </row>
    <row r="13" spans="1:6" s="9" customFormat="1">
      <c r="A13" s="968"/>
      <c r="C13" s="1073"/>
      <c r="D13" s="1073"/>
      <c r="F13" s="874"/>
    </row>
    <row r="15" spans="1:6" s="13" customFormat="1" ht="13.5" thickBot="1">
      <c r="D15" s="1009" t="s">
        <v>331</v>
      </c>
      <c r="E15" s="1009"/>
      <c r="F15" s="1014">
        <f>SUM(F11:F14)</f>
        <v>0</v>
      </c>
    </row>
    <row r="17" spans="3:6" ht="13">
      <c r="C17" s="1105" t="s">
        <v>920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F17-F15</f>
        <v>0</v>
      </c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66D4-842B-47F8-B931-2545AB04A5BC}">
  <sheetPr>
    <pageSetUpPr fitToPage="1"/>
  </sheetPr>
  <dimension ref="A1:F82"/>
  <sheetViews>
    <sheetView workbookViewId="0">
      <selection activeCell="I22" sqref="I22"/>
    </sheetView>
  </sheetViews>
  <sheetFormatPr defaultRowHeight="12.5"/>
  <cols>
    <col min="1" max="1" width="12.7265625" customWidth="1"/>
    <col min="2" max="2" width="2.7265625" customWidth="1"/>
    <col min="3" max="3" width="13.54296875" customWidth="1"/>
    <col min="4" max="4" width="58.54296875" bestFit="1" customWidth="1"/>
    <col min="5" max="5" width="24" customWidth="1"/>
    <col min="6" max="6" width="34.26953125" customWidth="1"/>
    <col min="9" max="9" width="50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810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347</v>
      </c>
      <c r="D9" s="316" t="s">
        <v>328</v>
      </c>
      <c r="E9" s="316" t="s">
        <v>496</v>
      </c>
      <c r="F9" s="357" t="s">
        <v>329</v>
      </c>
    </row>
    <row r="10" spans="1:6" s="9" customFormat="1">
      <c r="A10" s="52"/>
      <c r="F10" s="87"/>
    </row>
    <row r="11" spans="1:6" s="9" customFormat="1" ht="13">
      <c r="A11" s="52"/>
      <c r="C11" s="1035">
        <v>10410</v>
      </c>
      <c r="D11" s="1032" t="s">
        <v>811</v>
      </c>
      <c r="F11" s="1003"/>
    </row>
    <row r="12" spans="1:6" s="9" customFormat="1" ht="13">
      <c r="A12" s="1004">
        <v>46081</v>
      </c>
      <c r="C12" s="1035"/>
      <c r="D12" s="998" t="s">
        <v>804</v>
      </c>
      <c r="E12" s="997"/>
      <c r="F12" s="1003">
        <v>141806.47</v>
      </c>
    </row>
    <row r="13" spans="1:6" s="9" customFormat="1" ht="13">
      <c r="A13" s="1004"/>
      <c r="C13" s="1035"/>
      <c r="D13" s="998"/>
      <c r="E13" s="997"/>
      <c r="F13" s="1003"/>
    </row>
    <row r="14" spans="1:6" s="9" customFormat="1" ht="13">
      <c r="A14" s="1004"/>
      <c r="C14" s="1035"/>
      <c r="D14" s="998"/>
      <c r="E14" s="997"/>
      <c r="F14" s="1003"/>
    </row>
    <row r="15" spans="1:6" s="9" customFormat="1" ht="13">
      <c r="A15" s="1004"/>
      <c r="C15" s="1035"/>
      <c r="D15" s="998"/>
      <c r="E15" s="997"/>
      <c r="F15" s="1003"/>
    </row>
    <row r="16" spans="1:6" s="9" customFormat="1" ht="13">
      <c r="A16" s="1089"/>
      <c r="C16" s="1035"/>
      <c r="D16" s="998"/>
      <c r="E16" s="997"/>
      <c r="F16" s="1053"/>
    </row>
    <row r="17" spans="1:6" s="9" customFormat="1" ht="13.5" thickBot="1">
      <c r="A17" s="1089"/>
      <c r="C17" s="1035"/>
      <c r="D17" s="1032"/>
      <c r="E17" s="997"/>
      <c r="F17" s="1066">
        <f>SUM(F12:F12)</f>
        <v>141806.47</v>
      </c>
    </row>
    <row r="18" spans="1:6" s="9" customFormat="1" ht="13.5" thickTop="1">
      <c r="A18" s="1089"/>
      <c r="C18" s="1035"/>
      <c r="D18" s="1032"/>
      <c r="E18" s="997"/>
      <c r="F18" s="1003"/>
    </row>
    <row r="19" spans="1:6" s="9" customFormat="1" ht="13">
      <c r="A19" s="1089"/>
      <c r="C19" s="1035"/>
      <c r="D19" s="1032"/>
      <c r="F19" s="1003"/>
    </row>
    <row r="20" spans="1:6" s="9" customFormat="1" ht="13">
      <c r="A20" s="994"/>
      <c r="B20" s="997"/>
      <c r="C20" s="1035">
        <v>10420</v>
      </c>
      <c r="D20" s="1032" t="s">
        <v>812</v>
      </c>
      <c r="E20" s="997"/>
      <c r="F20" s="1003"/>
    </row>
    <row r="21" spans="1:6" s="9" customFormat="1" ht="13">
      <c r="A21" s="1004">
        <v>46081</v>
      </c>
      <c r="B21" s="997"/>
      <c r="C21" s="1035"/>
      <c r="D21" s="998" t="s">
        <v>804</v>
      </c>
      <c r="E21" s="997"/>
      <c r="F21" s="1003">
        <v>80344.600000000006</v>
      </c>
    </row>
    <row r="22" spans="1:6" s="9" customFormat="1" ht="13">
      <c r="A22" s="994"/>
      <c r="B22" s="997"/>
      <c r="C22" s="1035"/>
      <c r="D22" s="998"/>
      <c r="E22" s="997"/>
      <c r="F22" s="1053"/>
    </row>
    <row r="23" spans="1:6" s="9" customFormat="1" ht="13.5" thickBot="1">
      <c r="A23" s="994"/>
      <c r="B23" s="997"/>
      <c r="C23" s="1035"/>
      <c r="D23" s="1032"/>
      <c r="E23" s="997"/>
      <c r="F23" s="1066">
        <f>SUM(F21:F21)</f>
        <v>80344.600000000006</v>
      </c>
    </row>
    <row r="24" spans="1:6" s="9" customFormat="1" ht="13.5" hidden="1" thickTop="1">
      <c r="A24" s="994"/>
      <c r="B24" s="997"/>
      <c r="C24" s="1035"/>
      <c r="D24" s="1032"/>
      <c r="E24" s="997"/>
      <c r="F24" s="1003"/>
    </row>
    <row r="25" spans="1:6" s="9" customFormat="1" ht="13.5" hidden="1" thickTop="1">
      <c r="A25" s="994"/>
      <c r="B25" s="997"/>
      <c r="C25" s="1035">
        <v>15010</v>
      </c>
      <c r="D25" s="1032" t="s">
        <v>670</v>
      </c>
      <c r="E25" s="997"/>
      <c r="F25" s="1003">
        <v>0</v>
      </c>
    </row>
    <row r="26" spans="1:6" s="9" customFormat="1" ht="13.5" hidden="1" thickTop="1">
      <c r="A26" s="994"/>
      <c r="B26" s="997"/>
      <c r="C26" s="1035"/>
      <c r="D26" s="998"/>
      <c r="E26" s="997"/>
      <c r="F26" s="1053"/>
    </row>
    <row r="27" spans="1:6" s="9" customFormat="1" ht="14" hidden="1" thickTop="1" thickBot="1">
      <c r="A27" s="994"/>
      <c r="B27" s="997"/>
      <c r="C27" s="1035"/>
      <c r="D27" s="1032"/>
      <c r="E27" s="997"/>
      <c r="F27" s="1066">
        <f>SUM(F25:F25)</f>
        <v>0</v>
      </c>
    </row>
    <row r="28" spans="1:6" s="9" customFormat="1" ht="13.5" hidden="1" thickTop="1">
      <c r="A28" s="994"/>
      <c r="B28" s="997"/>
      <c r="C28" s="1035"/>
      <c r="D28" s="1032"/>
      <c r="E28" s="997"/>
      <c r="F28" s="1003"/>
    </row>
    <row r="29" spans="1:6" s="1034" customFormat="1" ht="13.5" hidden="1" thickTop="1">
      <c r="A29" s="1030"/>
      <c r="B29" s="1031"/>
      <c r="C29" s="1035">
        <v>17000</v>
      </c>
      <c r="D29" s="1032" t="s">
        <v>349</v>
      </c>
      <c r="E29" s="1031"/>
      <c r="F29" s="1003"/>
    </row>
    <row r="30" spans="1:6" s="9" customFormat="1" ht="13.5" hidden="1" thickTop="1">
      <c r="A30" s="994"/>
      <c r="B30" s="997"/>
      <c r="C30" s="996"/>
      <c r="D30" s="998"/>
      <c r="E30" s="997"/>
      <c r="F30" s="1003">
        <v>0</v>
      </c>
    </row>
    <row r="31" spans="1:6" s="9" customFormat="1" ht="13.5" hidden="1" thickTop="1">
      <c r="A31" s="994"/>
      <c r="B31" s="997"/>
      <c r="C31" s="996"/>
      <c r="D31" s="998"/>
      <c r="E31" s="997"/>
      <c r="F31" s="1003"/>
    </row>
    <row r="32" spans="1:6" s="9" customFormat="1" ht="14" hidden="1" thickTop="1" thickBot="1">
      <c r="A32" s="994"/>
      <c r="B32" s="997"/>
      <c r="C32" s="996"/>
      <c r="D32" s="998"/>
      <c r="E32" s="997"/>
      <c r="F32" s="1066">
        <f>SUM(F30:F31)</f>
        <v>0</v>
      </c>
    </row>
    <row r="33" spans="1:6" s="9" customFormat="1" ht="13.5" hidden="1" thickTop="1">
      <c r="A33" s="994"/>
      <c r="B33" s="997"/>
      <c r="C33" s="996"/>
      <c r="D33" s="998"/>
      <c r="E33" s="997"/>
      <c r="F33" s="1003"/>
    </row>
    <row r="34" spans="1:6" s="9" customFormat="1" ht="14" hidden="1" thickTop="1" thickBot="1">
      <c r="A34" s="994"/>
      <c r="B34" s="997"/>
      <c r="C34" s="1035">
        <v>17050</v>
      </c>
      <c r="D34" s="1032" t="s">
        <v>671</v>
      </c>
      <c r="E34" s="997"/>
      <c r="F34" s="1079">
        <v>0</v>
      </c>
    </row>
    <row r="35" spans="1:6" s="9" customFormat="1" ht="13.5" hidden="1" thickTop="1">
      <c r="A35" s="994"/>
      <c r="B35" s="997"/>
      <c r="C35" s="996"/>
      <c r="D35" s="998"/>
      <c r="E35" s="997"/>
      <c r="F35" s="1003"/>
    </row>
    <row r="36" spans="1:6" s="9" customFormat="1" ht="13.5" hidden="1" thickTop="1">
      <c r="A36" s="994"/>
      <c r="B36" s="997"/>
      <c r="C36" s="1035">
        <v>17200</v>
      </c>
      <c r="D36" s="1032" t="s">
        <v>734</v>
      </c>
      <c r="E36" s="997"/>
      <c r="F36" s="1003"/>
    </row>
    <row r="37" spans="1:6" s="9" customFormat="1" ht="13.5" hidden="1" thickTop="1">
      <c r="A37" s="994"/>
      <c r="B37" s="997"/>
      <c r="C37" s="1035"/>
      <c r="D37" s="1046"/>
      <c r="E37" s="997"/>
      <c r="F37" s="1003">
        <v>0</v>
      </c>
    </row>
    <row r="38" spans="1:6" s="9" customFormat="1" ht="13.5" hidden="1" thickTop="1">
      <c r="A38" s="994"/>
      <c r="B38" s="997"/>
      <c r="C38" s="1035"/>
      <c r="D38" s="1046"/>
      <c r="E38" s="997"/>
      <c r="F38" s="1003">
        <v>0</v>
      </c>
    </row>
    <row r="39" spans="1:6" s="9" customFormat="1" ht="14" hidden="1" thickTop="1" thickBot="1">
      <c r="A39" s="994"/>
      <c r="B39" s="997"/>
      <c r="C39" s="996"/>
      <c r="D39" s="998"/>
      <c r="E39" s="997"/>
      <c r="F39" s="1066">
        <f>SUM(F37:F38)</f>
        <v>0</v>
      </c>
    </row>
    <row r="40" spans="1:6" s="9" customFormat="1" ht="13.5" hidden="1" thickTop="1">
      <c r="A40" s="994"/>
      <c r="B40" s="997"/>
      <c r="C40" s="996"/>
      <c r="D40" s="998"/>
      <c r="E40" s="997"/>
      <c r="F40" s="1003"/>
    </row>
    <row r="41" spans="1:6" s="9" customFormat="1" ht="13.5" hidden="1" customHeight="1">
      <c r="A41" s="994"/>
      <c r="B41" s="997"/>
      <c r="C41" s="996"/>
      <c r="D41" s="998"/>
      <c r="E41" s="997"/>
      <c r="F41" s="1003"/>
    </row>
    <row r="42" spans="1:6" s="9" customFormat="1" ht="13.5" hidden="1" thickTop="1">
      <c r="A42" s="994"/>
      <c r="B42" s="997"/>
      <c r="C42" s="1035">
        <v>17300</v>
      </c>
      <c r="D42" s="1032" t="s">
        <v>530</v>
      </c>
      <c r="E42" s="997"/>
      <c r="F42" s="1003">
        <v>0</v>
      </c>
    </row>
    <row r="43" spans="1:6" s="9" customFormat="1" ht="13.5" hidden="1" thickTop="1">
      <c r="A43" s="994"/>
      <c r="B43" s="997"/>
      <c r="C43" s="1035"/>
      <c r="D43" s="1046"/>
      <c r="E43" s="997"/>
      <c r="F43" s="1057">
        <v>0</v>
      </c>
    </row>
    <row r="44" spans="1:6" s="9" customFormat="1" ht="13.5" hidden="1" thickTop="1">
      <c r="A44" s="994"/>
      <c r="B44" s="997"/>
      <c r="C44" s="1035"/>
      <c r="D44" s="1046"/>
      <c r="E44" s="997"/>
      <c r="F44" s="1057">
        <v>0</v>
      </c>
    </row>
    <row r="45" spans="1:6" s="9" customFormat="1" ht="13.5" hidden="1" thickTop="1">
      <c r="A45" s="994"/>
      <c r="B45" s="997"/>
      <c r="C45" s="1035"/>
      <c r="D45" s="1046"/>
      <c r="E45" s="997"/>
      <c r="F45" s="1057">
        <v>0</v>
      </c>
    </row>
    <row r="46" spans="1:6" s="9" customFormat="1" ht="14" hidden="1" thickTop="1" thickBot="1">
      <c r="A46" s="994"/>
      <c r="B46" s="997"/>
      <c r="C46" s="996"/>
      <c r="D46" s="998"/>
      <c r="E46" s="997"/>
      <c r="F46" s="1066">
        <f>SUM(F42:F45)</f>
        <v>0</v>
      </c>
    </row>
    <row r="47" spans="1:6" s="9" customFormat="1" ht="13.5" hidden="1" thickTop="1">
      <c r="A47" s="994"/>
      <c r="B47" s="997"/>
      <c r="C47" s="996"/>
      <c r="D47" s="998"/>
      <c r="E47" s="997"/>
      <c r="F47" s="1003"/>
    </row>
    <row r="48" spans="1:6" s="9" customFormat="1" ht="13.5" hidden="1" thickTop="1">
      <c r="A48" s="994"/>
      <c r="B48" s="997"/>
      <c r="C48" s="1035">
        <v>17350</v>
      </c>
      <c r="D48" s="1032" t="s">
        <v>672</v>
      </c>
      <c r="E48" s="997"/>
      <c r="F48" s="1003">
        <v>0</v>
      </c>
    </row>
    <row r="49" spans="1:6" s="9" customFormat="1" ht="13.5" hidden="1" thickTop="1">
      <c r="A49" s="994"/>
      <c r="B49" s="997"/>
      <c r="C49" s="996"/>
      <c r="D49" s="1046"/>
      <c r="E49" s="997"/>
      <c r="F49" s="1003">
        <v>0</v>
      </c>
    </row>
    <row r="50" spans="1:6" s="9" customFormat="1" ht="13.5" hidden="1" thickTop="1">
      <c r="A50" s="994"/>
      <c r="B50" s="997"/>
      <c r="C50" s="996"/>
      <c r="D50" s="1046"/>
      <c r="E50" s="997"/>
      <c r="F50" s="1053">
        <v>0</v>
      </c>
    </row>
    <row r="51" spans="1:6" s="9" customFormat="1" ht="14" hidden="1" thickTop="1" thickBot="1">
      <c r="A51" s="994"/>
      <c r="B51" s="997"/>
      <c r="C51" s="996"/>
      <c r="D51" s="1046"/>
      <c r="E51" s="997"/>
      <c r="F51" s="1066">
        <f>SUM(F48:F49)</f>
        <v>0</v>
      </c>
    </row>
    <row r="52" spans="1:6" s="9" customFormat="1" ht="13.5" thickTop="1">
      <c r="A52" s="994"/>
      <c r="B52" s="997"/>
      <c r="C52" s="996"/>
      <c r="D52" s="998"/>
      <c r="E52" s="997"/>
      <c r="F52" s="1003"/>
    </row>
    <row r="53" spans="1:6" s="9" customFormat="1" ht="13">
      <c r="A53" s="994"/>
      <c r="B53" s="997"/>
      <c r="C53" s="1035">
        <v>10432</v>
      </c>
      <c r="D53" s="1032" t="s">
        <v>813</v>
      </c>
      <c r="E53" s="997"/>
      <c r="F53" s="1003"/>
    </row>
    <row r="54" spans="1:6" s="9" customFormat="1" ht="13">
      <c r="A54" s="1004">
        <v>46081</v>
      </c>
      <c r="B54" s="997"/>
      <c r="C54" s="1035"/>
      <c r="D54" s="998" t="s">
        <v>804</v>
      </c>
      <c r="E54" s="997"/>
      <c r="F54" s="1003">
        <v>229543.99</v>
      </c>
    </row>
    <row r="55" spans="1:6" s="9" customFormat="1" ht="13">
      <c r="A55" s="1004"/>
      <c r="B55" s="997"/>
      <c r="C55" s="1035"/>
      <c r="D55" s="998"/>
      <c r="E55" s="997"/>
      <c r="F55" s="1053"/>
    </row>
    <row r="56" spans="1:6" s="9" customFormat="1" ht="13.5" thickBot="1">
      <c r="A56" s="1004"/>
      <c r="B56" s="997"/>
      <c r="C56" s="1035"/>
      <c r="D56" s="998"/>
      <c r="E56" s="997"/>
      <c r="F56" s="1066">
        <f>SUM(F51:F54)</f>
        <v>229543.99</v>
      </c>
    </row>
    <row r="57" spans="1:6" s="9" customFormat="1" ht="13.5" thickTop="1">
      <c r="A57" s="994"/>
      <c r="B57" s="997"/>
      <c r="C57" s="996"/>
      <c r="D57" s="998"/>
      <c r="E57" s="997"/>
      <c r="F57" s="1003"/>
    </row>
    <row r="58" spans="1:6" s="9" customFormat="1" ht="13">
      <c r="A58" s="1004"/>
      <c r="B58" s="997"/>
      <c r="C58" s="996"/>
      <c r="D58" s="998"/>
      <c r="E58" s="997"/>
      <c r="F58" s="1003"/>
    </row>
    <row r="59" spans="1:6" s="9" customFormat="1" ht="13">
      <c r="A59" s="1004"/>
      <c r="B59" s="997"/>
      <c r="C59" s="996"/>
      <c r="D59" s="998"/>
      <c r="E59" s="997"/>
      <c r="F59" s="1003"/>
    </row>
    <row r="60" spans="1:6" s="9" customFormat="1" ht="13" hidden="1">
      <c r="A60" s="1000"/>
      <c r="B60" s="997"/>
      <c r="C60" s="996"/>
      <c r="D60" s="997"/>
      <c r="E60" s="997"/>
      <c r="F60" s="1003"/>
    </row>
    <row r="61" spans="1:6" s="9" customFormat="1" ht="13" hidden="1">
      <c r="A61" s="1037"/>
      <c r="B61" s="1031"/>
      <c r="C61" s="1035">
        <v>17800</v>
      </c>
      <c r="D61" s="1031" t="s">
        <v>531</v>
      </c>
      <c r="E61" s="1031"/>
      <c r="F61" s="1003"/>
    </row>
    <row r="62" spans="1:6" s="9" customFormat="1" ht="13" hidden="1">
      <c r="A62" s="994"/>
      <c r="B62" s="997"/>
      <c r="C62" s="996"/>
      <c r="D62" s="997"/>
      <c r="E62" s="997"/>
      <c r="F62" s="1003">
        <v>0</v>
      </c>
    </row>
    <row r="63" spans="1:6" s="9" customFormat="1" ht="13" hidden="1">
      <c r="A63" s="994"/>
      <c r="B63" s="997"/>
      <c r="C63" s="996"/>
      <c r="D63" s="997"/>
      <c r="E63" s="997"/>
      <c r="F63" s="1003">
        <v>0</v>
      </c>
    </row>
    <row r="64" spans="1:6" s="9" customFormat="1" ht="13" hidden="1">
      <c r="A64" s="994"/>
      <c r="B64" s="997"/>
      <c r="C64" s="996"/>
      <c r="D64" s="997"/>
      <c r="E64" s="997"/>
      <c r="F64" s="1003">
        <v>0</v>
      </c>
    </row>
    <row r="65" spans="1:6" s="9" customFormat="1" ht="13" hidden="1">
      <c r="A65" s="994"/>
      <c r="B65" s="997"/>
      <c r="C65" s="996"/>
      <c r="D65" s="997"/>
      <c r="E65" s="997"/>
      <c r="F65" s="1003">
        <v>0</v>
      </c>
    </row>
    <row r="66" spans="1:6" s="9" customFormat="1" ht="13" hidden="1">
      <c r="A66" s="994"/>
      <c r="B66" s="997"/>
      <c r="C66" s="996"/>
      <c r="D66" s="997"/>
      <c r="E66" s="997"/>
      <c r="F66" s="1003"/>
    </row>
    <row r="67" spans="1:6" s="9" customFormat="1" ht="13.5" hidden="1" thickBot="1">
      <c r="A67" s="994"/>
      <c r="B67" s="997"/>
      <c r="C67" s="996"/>
      <c r="D67" s="997"/>
      <c r="E67" s="997"/>
      <c r="F67" s="1066">
        <f>SUM(F62:F66)</f>
        <v>0</v>
      </c>
    </row>
    <row r="68" spans="1:6" s="9" customFormat="1" ht="13" hidden="1">
      <c r="A68" s="994"/>
      <c r="B68" s="997"/>
      <c r="C68" s="996"/>
      <c r="D68" s="997"/>
      <c r="E68" s="997"/>
      <c r="F68" s="1003"/>
    </row>
    <row r="69" spans="1:6" s="9" customFormat="1" ht="13" hidden="1">
      <c r="A69" s="994"/>
      <c r="B69" s="997"/>
      <c r="C69" s="996"/>
      <c r="D69" s="997"/>
      <c r="E69" s="997"/>
      <c r="F69" s="1003"/>
    </row>
    <row r="70" spans="1:6" s="9" customFormat="1" ht="13" hidden="1">
      <c r="A70" s="994"/>
      <c r="B70" s="997"/>
      <c r="C70" s="1035">
        <v>17820</v>
      </c>
      <c r="D70" s="1031" t="s">
        <v>673</v>
      </c>
      <c r="E70" s="997"/>
      <c r="F70" s="1003">
        <v>0</v>
      </c>
    </row>
    <row r="71" spans="1:6" s="9" customFormat="1" ht="13" hidden="1">
      <c r="A71" s="994"/>
      <c r="B71" s="997"/>
      <c r="C71" s="996"/>
      <c r="D71" s="997"/>
      <c r="E71" s="997"/>
      <c r="F71" s="999"/>
    </row>
    <row r="72" spans="1:6" s="9" customFormat="1" hidden="1">
      <c r="A72" s="84"/>
      <c r="F72" s="874"/>
    </row>
    <row r="73" spans="1:6" s="9" customFormat="1" ht="13.5" thickBot="1">
      <c r="A73" s="136"/>
      <c r="B73" s="135"/>
      <c r="C73" s="135"/>
      <c r="D73" s="135"/>
      <c r="E73" s="135"/>
      <c r="F73" s="875"/>
    </row>
    <row r="74" spans="1:6" s="9" customFormat="1">
      <c r="F74" s="154"/>
    </row>
    <row r="75" spans="1:6" s="9" customFormat="1">
      <c r="B75" s="11"/>
      <c r="C75" s="11"/>
      <c r="D75" s="16"/>
    </row>
    <row r="76" spans="1:6" s="9" customFormat="1">
      <c r="D76" s="16"/>
    </row>
    <row r="77" spans="1:6" s="13" customFormat="1" ht="13">
      <c r="A77" s="9"/>
      <c r="B77" s="9"/>
      <c r="C77" s="9"/>
      <c r="D77" s="9"/>
      <c r="E77" s="9"/>
      <c r="F77" s="9"/>
    </row>
    <row r="78" spans="1:6" s="9" customFormat="1">
      <c r="A78"/>
      <c r="B78" s="26"/>
      <c r="C78" s="26"/>
      <c r="E78"/>
      <c r="F78"/>
    </row>
    <row r="79" spans="1:6" s="9" customFormat="1">
      <c r="A79"/>
      <c r="B79"/>
      <c r="C79"/>
      <c r="E79"/>
      <c r="F79"/>
    </row>
    <row r="80" spans="1:6" s="9" customFormat="1">
      <c r="A80"/>
      <c r="B80"/>
      <c r="C80"/>
      <c r="E80"/>
      <c r="F80"/>
    </row>
    <row r="81" spans="1:6" s="9" customFormat="1">
      <c r="A81"/>
      <c r="B81"/>
      <c r="C81"/>
      <c r="E81"/>
      <c r="F81"/>
    </row>
    <row r="82" spans="1:6">
      <c r="D82" s="9"/>
    </row>
  </sheetData>
  <mergeCells count="3">
    <mergeCell ref="A1:F1"/>
    <mergeCell ref="A2:F2"/>
    <mergeCell ref="A3:F3"/>
  </mergeCells>
  <pageMargins left="0.75" right="0.75" top="1" bottom="1" header="0.5" footer="0.5"/>
  <pageSetup scale="68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pageSetUpPr fitToPage="1"/>
  </sheetPr>
  <dimension ref="A1:F140"/>
  <sheetViews>
    <sheetView topLeftCell="A8" workbookViewId="0">
      <selection activeCell="E117" sqref="A117:XFD140"/>
    </sheetView>
  </sheetViews>
  <sheetFormatPr defaultRowHeight="12.5"/>
  <cols>
    <col min="1" max="1" width="12.7265625" customWidth="1"/>
    <col min="2" max="2" width="2.7265625" customWidth="1"/>
    <col min="3" max="3" width="13.54296875" customWidth="1"/>
    <col min="4" max="4" width="58.54296875" bestFit="1" customWidth="1"/>
    <col min="5" max="5" width="24" customWidth="1"/>
    <col min="6" max="6" width="34.26953125" customWidth="1"/>
    <col min="9" max="9" width="50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346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347</v>
      </c>
      <c r="D9" s="316" t="s">
        <v>328</v>
      </c>
      <c r="E9" s="316" t="s">
        <v>496</v>
      </c>
      <c r="F9" s="357" t="s">
        <v>329</v>
      </c>
    </row>
    <row r="10" spans="1:6" s="9" customFormat="1">
      <c r="A10" s="52"/>
      <c r="F10" s="87"/>
    </row>
    <row r="11" spans="1:6" s="9" customFormat="1" ht="13" hidden="1">
      <c r="A11" s="52"/>
      <c r="C11" s="1035">
        <v>14100</v>
      </c>
      <c r="D11" s="1032" t="s">
        <v>902</v>
      </c>
      <c r="F11" s="1003"/>
    </row>
    <row r="12" spans="1:6" s="9" customFormat="1" ht="13" hidden="1">
      <c r="A12" s="1004">
        <v>46142</v>
      </c>
      <c r="C12" s="1035"/>
      <c r="D12" s="998" t="s">
        <v>903</v>
      </c>
      <c r="E12" s="997"/>
      <c r="F12" s="1003"/>
    </row>
    <row r="13" spans="1:6" s="9" customFormat="1" ht="13" hidden="1">
      <c r="A13" s="1089"/>
      <c r="C13" s="1035"/>
      <c r="D13" s="998"/>
      <c r="E13" s="997"/>
      <c r="F13" s="1053"/>
    </row>
    <row r="14" spans="1:6" s="9" customFormat="1" ht="13.5" hidden="1" thickBot="1">
      <c r="A14" s="1089"/>
      <c r="C14" s="1035"/>
      <c r="D14" s="1032"/>
      <c r="E14" s="997"/>
      <c r="F14" s="1066">
        <f>SUM(F12:F12)</f>
        <v>0</v>
      </c>
    </row>
    <row r="15" spans="1:6" s="9" customFormat="1" ht="13">
      <c r="A15" s="1089"/>
      <c r="C15" s="1035"/>
      <c r="D15" s="1032"/>
      <c r="E15" s="997"/>
      <c r="F15" s="1003"/>
    </row>
    <row r="16" spans="1:6" s="9" customFormat="1" ht="13">
      <c r="A16" s="1089"/>
      <c r="C16" s="1035"/>
      <c r="D16" s="1032"/>
      <c r="F16" s="1003"/>
    </row>
    <row r="17" spans="1:6" s="9" customFormat="1" ht="13">
      <c r="A17" s="994"/>
      <c r="B17" s="997"/>
      <c r="C17" s="1035">
        <v>15000</v>
      </c>
      <c r="D17" s="1032" t="s">
        <v>348</v>
      </c>
      <c r="E17" s="997"/>
      <c r="F17" s="1003"/>
    </row>
    <row r="18" spans="1:6" s="9" customFormat="1" ht="13">
      <c r="A18" s="1004">
        <v>46142</v>
      </c>
      <c r="B18" s="997"/>
      <c r="C18" s="1035"/>
      <c r="D18" s="998" t="s">
        <v>979</v>
      </c>
      <c r="E18" s="997"/>
      <c r="F18" s="1003">
        <v>35214381</v>
      </c>
    </row>
    <row r="19" spans="1:6" s="9" customFormat="1" ht="13">
      <c r="A19" s="994"/>
      <c r="B19" s="997"/>
      <c r="C19" s="1035"/>
      <c r="D19" s="998"/>
      <c r="E19" s="997"/>
      <c r="F19" s="1053"/>
    </row>
    <row r="20" spans="1:6" s="9" customFormat="1" ht="13.5" thickBot="1">
      <c r="A20" s="994"/>
      <c r="B20" s="997"/>
      <c r="C20" s="1035"/>
      <c r="D20" s="1032"/>
      <c r="E20" s="997"/>
      <c r="F20" s="1066">
        <f>SUM(F18:F18)</f>
        <v>35214381</v>
      </c>
    </row>
    <row r="21" spans="1:6" s="9" customFormat="1" ht="13.5" hidden="1" thickTop="1">
      <c r="A21" s="994"/>
      <c r="B21" s="997"/>
      <c r="C21" s="1035"/>
      <c r="D21" s="1032"/>
      <c r="E21" s="997"/>
      <c r="F21" s="1003"/>
    </row>
    <row r="22" spans="1:6" s="9" customFormat="1" ht="13" hidden="1">
      <c r="A22" s="994"/>
      <c r="B22" s="997"/>
      <c r="C22" s="1035">
        <v>15010</v>
      </c>
      <c r="D22" s="1032" t="s">
        <v>670</v>
      </c>
      <c r="E22" s="997"/>
      <c r="F22" s="1003">
        <v>0</v>
      </c>
    </row>
    <row r="23" spans="1:6" s="9" customFormat="1" ht="13" hidden="1">
      <c r="A23" s="994"/>
      <c r="B23" s="997"/>
      <c r="C23" s="1035"/>
      <c r="D23" s="998"/>
      <c r="E23" s="997"/>
      <c r="F23" s="1053"/>
    </row>
    <row r="24" spans="1:6" s="9" customFormat="1" ht="13.5" hidden="1" thickBot="1">
      <c r="A24" s="994"/>
      <c r="B24" s="997"/>
      <c r="C24" s="1035"/>
      <c r="D24" s="1032"/>
      <c r="E24" s="997"/>
      <c r="F24" s="1066">
        <f>SUM(F22:F22)</f>
        <v>0</v>
      </c>
    </row>
    <row r="25" spans="1:6" s="9" customFormat="1" ht="13" hidden="1">
      <c r="A25" s="994"/>
      <c r="B25" s="997"/>
      <c r="C25" s="1035"/>
      <c r="D25" s="1032"/>
      <c r="E25" s="997"/>
      <c r="F25" s="1003"/>
    </row>
    <row r="26" spans="1:6" s="1034" customFormat="1" ht="13" hidden="1">
      <c r="A26" s="1030"/>
      <c r="B26" s="1031"/>
      <c r="C26" s="1035">
        <v>17000</v>
      </c>
      <c r="D26" s="1032" t="s">
        <v>349</v>
      </c>
      <c r="E26" s="1031"/>
      <c r="F26" s="1003"/>
    </row>
    <row r="27" spans="1:6" s="9" customFormat="1" ht="13" hidden="1">
      <c r="A27" s="994"/>
      <c r="B27" s="997"/>
      <c r="C27" s="996"/>
      <c r="D27" s="998"/>
      <c r="E27" s="997"/>
      <c r="F27" s="1003">
        <v>0</v>
      </c>
    </row>
    <row r="28" spans="1:6" s="9" customFormat="1" ht="13" hidden="1">
      <c r="A28" s="994"/>
      <c r="B28" s="997"/>
      <c r="C28" s="996"/>
      <c r="D28" s="998"/>
      <c r="E28" s="997"/>
      <c r="F28" s="1003"/>
    </row>
    <row r="29" spans="1:6" s="9" customFormat="1" ht="13.5" hidden="1" thickBot="1">
      <c r="A29" s="994"/>
      <c r="B29" s="997"/>
      <c r="C29" s="996"/>
      <c r="D29" s="998"/>
      <c r="E29" s="997"/>
      <c r="F29" s="1066">
        <f>SUM(F27:F28)</f>
        <v>0</v>
      </c>
    </row>
    <row r="30" spans="1:6" s="9" customFormat="1" ht="13" hidden="1">
      <c r="A30" s="994"/>
      <c r="B30" s="997"/>
      <c r="C30" s="996"/>
      <c r="D30" s="998"/>
      <c r="E30" s="997"/>
      <c r="F30" s="1003"/>
    </row>
    <row r="31" spans="1:6" s="9" customFormat="1" ht="13.5" hidden="1" thickBot="1">
      <c r="A31" s="994"/>
      <c r="B31" s="997"/>
      <c r="C31" s="1035">
        <v>17050</v>
      </c>
      <c r="D31" s="1032" t="s">
        <v>671</v>
      </c>
      <c r="E31" s="997"/>
      <c r="F31" s="1079">
        <v>0</v>
      </c>
    </row>
    <row r="32" spans="1:6" s="9" customFormat="1" ht="13.5" hidden="1" thickTop="1">
      <c r="A32" s="994"/>
      <c r="B32" s="997"/>
      <c r="C32" s="996"/>
      <c r="D32" s="998"/>
      <c r="E32" s="997"/>
      <c r="F32" s="1003"/>
    </row>
    <row r="33" spans="1:6" s="9" customFormat="1" ht="13" hidden="1">
      <c r="A33" s="994"/>
      <c r="B33" s="997"/>
      <c r="C33" s="1035">
        <v>17200</v>
      </c>
      <c r="D33" s="1032" t="s">
        <v>734</v>
      </c>
      <c r="E33" s="997"/>
      <c r="F33" s="1003"/>
    </row>
    <row r="34" spans="1:6" s="9" customFormat="1" ht="13" hidden="1">
      <c r="A34" s="994"/>
      <c r="B34" s="997"/>
      <c r="C34" s="1035"/>
      <c r="D34" s="1046"/>
      <c r="E34" s="997"/>
      <c r="F34" s="1003">
        <v>0</v>
      </c>
    </row>
    <row r="35" spans="1:6" s="9" customFormat="1" ht="13" hidden="1">
      <c r="A35" s="994"/>
      <c r="B35" s="997"/>
      <c r="C35" s="1035"/>
      <c r="D35" s="1046"/>
      <c r="E35" s="997"/>
      <c r="F35" s="1003">
        <v>0</v>
      </c>
    </row>
    <row r="36" spans="1:6" s="9" customFormat="1" ht="13.5" hidden="1" thickBot="1">
      <c r="A36" s="994"/>
      <c r="B36" s="997"/>
      <c r="C36" s="996"/>
      <c r="D36" s="998"/>
      <c r="E36" s="997"/>
      <c r="F36" s="1066">
        <f>SUM(F34:F35)</f>
        <v>0</v>
      </c>
    </row>
    <row r="37" spans="1:6" s="9" customFormat="1" ht="13.5" hidden="1" thickTop="1">
      <c r="A37" s="994"/>
      <c r="B37" s="997"/>
      <c r="C37" s="996"/>
      <c r="D37" s="998"/>
      <c r="E37" s="997"/>
      <c r="F37" s="1003"/>
    </row>
    <row r="38" spans="1:6" s="9" customFormat="1" ht="13.5" hidden="1" customHeight="1">
      <c r="A38" s="994"/>
      <c r="B38" s="997"/>
      <c r="C38" s="996"/>
      <c r="D38" s="998"/>
      <c r="E38" s="997"/>
      <c r="F38" s="1003"/>
    </row>
    <row r="39" spans="1:6" s="9" customFormat="1" ht="13" hidden="1">
      <c r="A39" s="994"/>
      <c r="B39" s="997"/>
      <c r="C39" s="1035">
        <v>17300</v>
      </c>
      <c r="D39" s="1032" t="s">
        <v>530</v>
      </c>
      <c r="E39" s="997"/>
      <c r="F39" s="1003">
        <v>0</v>
      </c>
    </row>
    <row r="40" spans="1:6" s="9" customFormat="1" ht="13" hidden="1">
      <c r="A40" s="994"/>
      <c r="B40" s="997"/>
      <c r="C40" s="1035"/>
      <c r="D40" s="1046"/>
      <c r="E40" s="997"/>
      <c r="F40" s="1057">
        <v>0</v>
      </c>
    </row>
    <row r="41" spans="1:6" s="9" customFormat="1" ht="13" hidden="1">
      <c r="A41" s="994"/>
      <c r="B41" s="997"/>
      <c r="C41" s="1035"/>
      <c r="D41" s="1046"/>
      <c r="E41" s="997"/>
      <c r="F41" s="1057">
        <v>0</v>
      </c>
    </row>
    <row r="42" spans="1:6" s="9" customFormat="1" ht="13" hidden="1">
      <c r="A42" s="994"/>
      <c r="B42" s="997"/>
      <c r="C42" s="1035"/>
      <c r="D42" s="1046"/>
      <c r="E42" s="997"/>
      <c r="F42" s="1057">
        <v>0</v>
      </c>
    </row>
    <row r="43" spans="1:6" s="9" customFormat="1" ht="13.5" hidden="1" thickBot="1">
      <c r="A43" s="994"/>
      <c r="B43" s="997"/>
      <c r="C43" s="996"/>
      <c r="D43" s="998"/>
      <c r="E43" s="997"/>
      <c r="F43" s="1066">
        <f>SUM(F39:F42)</f>
        <v>0</v>
      </c>
    </row>
    <row r="44" spans="1:6" s="9" customFormat="1" ht="13.5" hidden="1" thickTop="1">
      <c r="A44" s="994"/>
      <c r="B44" s="997"/>
      <c r="C44" s="996"/>
      <c r="D44" s="998"/>
      <c r="E44" s="997"/>
      <c r="F44" s="1003"/>
    </row>
    <row r="45" spans="1:6" s="9" customFormat="1" ht="13" hidden="1">
      <c r="A45" s="994"/>
      <c r="B45" s="997"/>
      <c r="C45" s="1035">
        <v>17350</v>
      </c>
      <c r="D45" s="1032" t="s">
        <v>672</v>
      </c>
      <c r="E45" s="997"/>
      <c r="F45" s="1003">
        <v>0</v>
      </c>
    </row>
    <row r="46" spans="1:6" s="9" customFormat="1" ht="13" hidden="1">
      <c r="A46" s="994"/>
      <c r="B46" s="997"/>
      <c r="C46" s="996"/>
      <c r="D46" s="1046"/>
      <c r="E46" s="997"/>
      <c r="F46" s="1003">
        <v>0</v>
      </c>
    </row>
    <row r="47" spans="1:6" s="9" customFormat="1" ht="13" hidden="1">
      <c r="A47" s="994"/>
      <c r="B47" s="997"/>
      <c r="C47" s="996"/>
      <c r="D47" s="1046"/>
      <c r="E47" s="997"/>
      <c r="F47" s="1053">
        <v>0</v>
      </c>
    </row>
    <row r="48" spans="1:6" s="9" customFormat="1" ht="13.5" hidden="1" thickBot="1">
      <c r="A48" s="994"/>
      <c r="B48" s="997"/>
      <c r="C48" s="996"/>
      <c r="D48" s="1046"/>
      <c r="E48" s="997"/>
      <c r="F48" s="1066">
        <f>SUM(F45:F46)</f>
        <v>0</v>
      </c>
    </row>
    <row r="49" spans="1:6" s="9" customFormat="1" ht="13.5" thickTop="1">
      <c r="A49" s="994"/>
      <c r="B49" s="997"/>
      <c r="C49" s="996"/>
      <c r="D49" s="998"/>
      <c r="E49" s="997"/>
      <c r="F49" s="1003"/>
    </row>
    <row r="50" spans="1:6" s="9" customFormat="1" ht="13" hidden="1">
      <c r="A50" s="994"/>
      <c r="B50" s="997"/>
      <c r="C50" s="1035">
        <v>15010</v>
      </c>
      <c r="D50" s="1032" t="s">
        <v>670</v>
      </c>
      <c r="E50" s="997"/>
      <c r="F50" s="1003"/>
    </row>
    <row r="51" spans="1:6" s="9" customFormat="1" ht="13" hidden="1">
      <c r="A51" s="1004">
        <v>46142</v>
      </c>
      <c r="B51" s="997"/>
      <c r="C51" s="1035"/>
      <c r="D51" s="998" t="s">
        <v>903</v>
      </c>
      <c r="E51" s="997"/>
      <c r="F51" s="1003"/>
    </row>
    <row r="52" spans="1:6" s="9" customFormat="1" ht="13" hidden="1">
      <c r="A52" s="1004"/>
      <c r="B52" s="997"/>
      <c r="C52" s="1035"/>
      <c r="D52" s="998"/>
      <c r="E52" s="997"/>
      <c r="F52" s="1053"/>
    </row>
    <row r="53" spans="1:6" s="9" customFormat="1" ht="13.5" hidden="1" thickBot="1">
      <c r="A53" s="1004"/>
      <c r="B53" s="997"/>
      <c r="C53" s="1035"/>
      <c r="D53" s="998"/>
      <c r="E53" s="997"/>
      <c r="F53" s="1066">
        <f>SUM(F48:F51)</f>
        <v>0</v>
      </c>
    </row>
    <row r="54" spans="1:6" s="9" customFormat="1" ht="13.5" hidden="1" thickTop="1">
      <c r="A54" s="994"/>
      <c r="B54" s="997"/>
      <c r="C54" s="996"/>
      <c r="D54" s="998"/>
      <c r="E54" s="997"/>
      <c r="F54" s="1003"/>
    </row>
    <row r="55" spans="1:6" s="9" customFormat="1" ht="13" hidden="1">
      <c r="A55" s="994"/>
      <c r="B55" s="997"/>
      <c r="C55" s="1035">
        <v>15017</v>
      </c>
      <c r="D55" s="1032" t="s">
        <v>940</v>
      </c>
      <c r="E55" s="997"/>
      <c r="F55" s="1003"/>
    </row>
    <row r="56" spans="1:6" s="9" customFormat="1" ht="13" hidden="1">
      <c r="A56" s="1004">
        <v>46142</v>
      </c>
      <c r="B56" s="997"/>
      <c r="C56" s="1035"/>
      <c r="D56" s="998" t="s">
        <v>903</v>
      </c>
      <c r="E56" s="997"/>
      <c r="F56" s="1003"/>
    </row>
    <row r="57" spans="1:6" s="9" customFormat="1" ht="13" hidden="1">
      <c r="A57" s="1004"/>
      <c r="B57" s="997"/>
      <c r="C57" s="1035"/>
      <c r="D57" s="998"/>
      <c r="E57" s="997"/>
      <c r="F57" s="1053"/>
    </row>
    <row r="58" spans="1:6" s="9" customFormat="1" ht="13.5" hidden="1" thickBot="1">
      <c r="A58" s="1004"/>
      <c r="B58" s="997"/>
      <c r="C58" s="1035"/>
      <c r="D58" s="998"/>
      <c r="E58" s="997"/>
      <c r="F58" s="1066">
        <f>SUM(F54:F57)</f>
        <v>0</v>
      </c>
    </row>
    <row r="59" spans="1:6" s="9" customFormat="1" ht="13.5" hidden="1" thickTop="1">
      <c r="A59" s="1004"/>
      <c r="B59" s="997"/>
      <c r="C59" s="1035"/>
      <c r="D59" s="998"/>
      <c r="E59" s="997"/>
      <c r="F59" s="1003"/>
    </row>
    <row r="60" spans="1:6" s="9" customFormat="1" ht="13" hidden="1">
      <c r="A60" s="994"/>
      <c r="B60" s="997"/>
      <c r="C60" s="1035">
        <v>15100</v>
      </c>
      <c r="D60" s="1032" t="s">
        <v>945</v>
      </c>
      <c r="E60" s="997"/>
      <c r="F60" s="1003"/>
    </row>
    <row r="61" spans="1:6" s="9" customFormat="1" ht="13" hidden="1">
      <c r="A61" s="1004">
        <v>46142</v>
      </c>
      <c r="B61" s="997"/>
      <c r="C61" s="1035"/>
      <c r="D61" s="998" t="s">
        <v>903</v>
      </c>
      <c r="E61" s="997"/>
      <c r="F61" s="1003"/>
    </row>
    <row r="62" spans="1:6" s="9" customFormat="1" ht="13" hidden="1">
      <c r="A62" s="1004">
        <v>46203</v>
      </c>
      <c r="B62" s="997"/>
      <c r="C62" s="1035"/>
      <c r="D62" s="998" t="s">
        <v>961</v>
      </c>
      <c r="E62" s="997"/>
      <c r="F62" s="1003"/>
    </row>
    <row r="63" spans="1:6" s="9" customFormat="1" ht="13" hidden="1">
      <c r="A63" s="1004"/>
      <c r="B63" s="997"/>
      <c r="C63" s="1035"/>
      <c r="D63" s="998"/>
      <c r="E63" s="997"/>
      <c r="F63" s="1053"/>
    </row>
    <row r="64" spans="1:6" s="9" customFormat="1" ht="13.5" hidden="1" thickBot="1">
      <c r="A64" s="1004"/>
      <c r="B64" s="997"/>
      <c r="C64" s="1035"/>
      <c r="D64" s="998"/>
      <c r="E64" s="997"/>
      <c r="F64" s="1066">
        <f>SUM(F59:F63)</f>
        <v>0</v>
      </c>
    </row>
    <row r="65" spans="1:6" s="9" customFormat="1" ht="13.5" hidden="1" thickTop="1">
      <c r="A65" s="1004"/>
      <c r="B65" s="997"/>
      <c r="C65" s="1035"/>
      <c r="D65" s="998"/>
      <c r="E65" s="997"/>
      <c r="F65" s="1003"/>
    </row>
    <row r="66" spans="1:6" s="9" customFormat="1" ht="13" hidden="1">
      <c r="A66" s="994"/>
      <c r="B66" s="997"/>
      <c r="C66" s="1035">
        <v>15400</v>
      </c>
      <c r="D66" s="1032" t="s">
        <v>941</v>
      </c>
      <c r="E66" s="997"/>
      <c r="F66" s="1003"/>
    </row>
    <row r="67" spans="1:6" s="9" customFormat="1" ht="13" hidden="1">
      <c r="A67" s="1004">
        <v>46142</v>
      </c>
      <c r="B67" s="997"/>
      <c r="C67" s="1035"/>
      <c r="D67" s="998" t="s">
        <v>903</v>
      </c>
      <c r="E67" s="997"/>
      <c r="F67" s="1003"/>
    </row>
    <row r="68" spans="1:6" s="9" customFormat="1" ht="13" hidden="1">
      <c r="A68" s="1004"/>
      <c r="B68" s="997"/>
      <c r="C68" s="1035"/>
      <c r="D68" s="998"/>
      <c r="E68" s="997"/>
      <c r="F68" s="1053"/>
    </row>
    <row r="69" spans="1:6" s="9" customFormat="1" ht="13.5" hidden="1" thickBot="1">
      <c r="A69" s="1004"/>
      <c r="B69" s="997"/>
      <c r="C69" s="1035"/>
      <c r="D69" s="998"/>
      <c r="E69" s="997"/>
      <c r="F69" s="1066">
        <f>SUM(F64:F68)</f>
        <v>0</v>
      </c>
    </row>
    <row r="70" spans="1:6" s="9" customFormat="1" ht="13.5" hidden="1" thickTop="1">
      <c r="A70" s="1004"/>
      <c r="B70" s="997"/>
      <c r="C70" s="996"/>
      <c r="D70" s="998"/>
      <c r="E70" s="997"/>
      <c r="F70" s="1003"/>
    </row>
    <row r="71" spans="1:6" s="9" customFormat="1" ht="13" hidden="1">
      <c r="A71" s="994"/>
      <c r="B71" s="997"/>
      <c r="C71" s="1035">
        <v>15401</v>
      </c>
      <c r="D71" s="1032" t="s">
        <v>942</v>
      </c>
      <c r="E71" s="997"/>
      <c r="F71" s="1003"/>
    </row>
    <row r="72" spans="1:6" s="9" customFormat="1" ht="13" hidden="1">
      <c r="A72" s="1004">
        <v>46142</v>
      </c>
      <c r="B72" s="997"/>
      <c r="C72" s="1035"/>
      <c r="D72" s="998" t="s">
        <v>903</v>
      </c>
      <c r="E72" s="997"/>
      <c r="F72" s="1003"/>
    </row>
    <row r="73" spans="1:6" s="9" customFormat="1" ht="13" hidden="1">
      <c r="A73" s="1004"/>
      <c r="B73" s="997"/>
      <c r="C73" s="1035"/>
      <c r="D73" s="998"/>
      <c r="E73" s="997"/>
      <c r="F73" s="1053"/>
    </row>
    <row r="74" spans="1:6" s="9" customFormat="1" ht="13.5" hidden="1" thickBot="1">
      <c r="A74" s="1004"/>
      <c r="B74" s="997"/>
      <c r="C74" s="1035"/>
      <c r="D74" s="998"/>
      <c r="E74" s="997"/>
      <c r="F74" s="1066">
        <f>SUM(F70:F73)</f>
        <v>0</v>
      </c>
    </row>
    <row r="75" spans="1:6" s="9" customFormat="1" ht="13.5" hidden="1" thickTop="1">
      <c r="A75" s="1004"/>
      <c r="B75" s="997"/>
      <c r="C75" s="1035"/>
      <c r="D75" s="998"/>
      <c r="E75" s="997"/>
      <c r="F75" s="1003"/>
    </row>
    <row r="76" spans="1:6" s="9" customFormat="1" ht="13" hidden="1">
      <c r="A76" s="1004"/>
      <c r="B76" s="997"/>
      <c r="C76" s="1035">
        <v>16500</v>
      </c>
      <c r="D76" s="1032" t="s">
        <v>805</v>
      </c>
      <c r="E76" s="997"/>
      <c r="F76" s="1003"/>
    </row>
    <row r="77" spans="1:6" s="9" customFormat="1" ht="13" hidden="1">
      <c r="A77" s="1004">
        <v>46142</v>
      </c>
      <c r="B77" s="997"/>
      <c r="C77" s="996"/>
      <c r="D77" s="998" t="s">
        <v>903</v>
      </c>
      <c r="E77" s="997"/>
      <c r="F77" s="1003"/>
    </row>
    <row r="78" spans="1:6" s="9" customFormat="1" ht="13" hidden="1">
      <c r="A78" s="1004" t="s">
        <v>964</v>
      </c>
      <c r="B78" s="997"/>
      <c r="C78" s="996"/>
      <c r="D78" s="998" t="s">
        <v>962</v>
      </c>
      <c r="E78" s="997"/>
      <c r="F78" s="1003"/>
    </row>
    <row r="79" spans="1:6" s="9" customFormat="1" ht="13" hidden="1">
      <c r="A79" s="1004" t="s">
        <v>964</v>
      </c>
      <c r="B79" s="997"/>
      <c r="C79" s="996"/>
      <c r="D79" s="998" t="s">
        <v>963</v>
      </c>
      <c r="E79" s="997"/>
      <c r="F79" s="1003"/>
    </row>
    <row r="80" spans="1:6" s="9" customFormat="1" ht="13" hidden="1">
      <c r="A80" s="1004"/>
      <c r="B80" s="997"/>
      <c r="C80" s="996"/>
      <c r="D80" s="998"/>
      <c r="E80" s="997"/>
      <c r="F80" s="1003"/>
    </row>
    <row r="81" spans="1:6" s="9" customFormat="1" ht="13.5" hidden="1" thickBot="1">
      <c r="A81" s="1004"/>
      <c r="B81" s="997"/>
      <c r="C81" s="996"/>
      <c r="D81" s="998"/>
      <c r="E81" s="997"/>
      <c r="F81" s="1066">
        <f>SUM(F77:F80)</f>
        <v>0</v>
      </c>
    </row>
    <row r="82" spans="1:6" s="9" customFormat="1" ht="13.5" hidden="1" thickTop="1">
      <c r="A82" s="1004"/>
      <c r="B82" s="997"/>
      <c r="C82" s="996"/>
      <c r="D82" s="998"/>
      <c r="E82" s="997"/>
      <c r="F82" s="1003"/>
    </row>
    <row r="83" spans="1:6" s="9" customFormat="1" ht="13" hidden="1">
      <c r="A83" s="1004"/>
      <c r="B83" s="997"/>
      <c r="C83" s="996"/>
      <c r="D83" s="998"/>
      <c r="E83" s="997"/>
      <c r="F83" s="1003"/>
    </row>
    <row r="84" spans="1:6" s="9" customFormat="1" ht="13" hidden="1">
      <c r="A84" s="1004"/>
      <c r="B84" s="997"/>
      <c r="C84" s="1035">
        <v>16700</v>
      </c>
      <c r="D84" s="1032" t="s">
        <v>806</v>
      </c>
      <c r="E84" s="997"/>
      <c r="F84" s="1003"/>
    </row>
    <row r="85" spans="1:6" s="9" customFormat="1" ht="13" hidden="1">
      <c r="A85" s="1004">
        <v>46142</v>
      </c>
      <c r="B85" s="997"/>
      <c r="C85" s="996"/>
      <c r="D85" s="998" t="s">
        <v>903</v>
      </c>
      <c r="E85" s="997"/>
      <c r="F85" s="1003"/>
    </row>
    <row r="86" spans="1:6" s="9" customFormat="1" ht="13" hidden="1">
      <c r="A86" s="1004"/>
      <c r="B86" s="997"/>
      <c r="C86" s="996"/>
      <c r="D86" s="998"/>
      <c r="E86" s="997"/>
      <c r="F86" s="1003"/>
    </row>
    <row r="87" spans="1:6" s="9" customFormat="1" ht="13.5" hidden="1" thickBot="1">
      <c r="A87" s="1004"/>
      <c r="B87" s="997"/>
      <c r="C87" s="996"/>
      <c r="D87" s="998"/>
      <c r="E87" s="997"/>
      <c r="F87" s="1066">
        <f>SUM(F85:F86)</f>
        <v>0</v>
      </c>
    </row>
    <row r="88" spans="1:6" s="9" customFormat="1" ht="13.5" hidden="1" thickTop="1">
      <c r="A88" s="1004"/>
      <c r="B88" s="997"/>
      <c r="C88" s="996"/>
      <c r="D88" s="998"/>
      <c r="E88" s="997"/>
      <c r="F88" s="1003"/>
    </row>
    <row r="89" spans="1:6" s="9" customFormat="1" ht="13" hidden="1">
      <c r="A89" s="1004"/>
      <c r="B89" s="997"/>
      <c r="C89" s="1035">
        <v>17800</v>
      </c>
      <c r="D89" s="1032" t="s">
        <v>531</v>
      </c>
      <c r="E89" s="997"/>
      <c r="F89" s="1003"/>
    </row>
    <row r="90" spans="1:6" s="9" customFormat="1" ht="13" hidden="1">
      <c r="A90" s="1004">
        <v>46142</v>
      </c>
      <c r="B90" s="997"/>
      <c r="C90" s="996"/>
      <c r="D90" s="998" t="s">
        <v>903</v>
      </c>
      <c r="E90" s="997"/>
      <c r="F90" s="1003"/>
    </row>
    <row r="91" spans="1:6" s="9" customFormat="1" ht="13" hidden="1">
      <c r="A91" s="1004"/>
      <c r="B91" s="997"/>
      <c r="C91" s="996"/>
      <c r="D91" s="998"/>
      <c r="E91" s="997"/>
      <c r="F91" s="1003"/>
    </row>
    <row r="92" spans="1:6" s="9" customFormat="1" ht="13.5" hidden="1" thickBot="1">
      <c r="A92" s="1004"/>
      <c r="B92" s="997"/>
      <c r="C92" s="996"/>
      <c r="D92" s="998"/>
      <c r="E92" s="997"/>
      <c r="F92" s="1066">
        <f>SUM(F90:F91)</f>
        <v>0</v>
      </c>
    </row>
    <row r="93" spans="1:6" s="9" customFormat="1" ht="13.5" hidden="1" thickTop="1">
      <c r="A93" s="1004"/>
      <c r="B93" s="997"/>
      <c r="C93" s="996"/>
      <c r="D93" s="998"/>
      <c r="E93" s="997"/>
      <c r="F93" s="1003"/>
    </row>
    <row r="94" spans="1:6" s="9" customFormat="1" ht="13">
      <c r="A94" s="1004"/>
      <c r="B94" s="997"/>
      <c r="C94" s="996"/>
      <c r="D94" s="998"/>
      <c r="E94" s="997"/>
      <c r="F94" s="1003"/>
    </row>
    <row r="95" spans="1:6" s="9" customFormat="1" ht="13.5" hidden="1" thickTop="1">
      <c r="A95" s="1000"/>
      <c r="B95" s="997"/>
      <c r="C95" s="996"/>
      <c r="D95" s="997"/>
      <c r="E95" s="997"/>
      <c r="F95" s="1003"/>
    </row>
    <row r="96" spans="1:6" s="9" customFormat="1" ht="13" hidden="1">
      <c r="A96" s="1037"/>
      <c r="B96" s="1031"/>
      <c r="C96" s="1035">
        <v>17800</v>
      </c>
      <c r="D96" s="1031" t="s">
        <v>531</v>
      </c>
      <c r="E96" s="1031"/>
      <c r="F96" s="1003"/>
    </row>
    <row r="97" spans="1:6" s="9" customFormat="1" ht="13" hidden="1">
      <c r="A97" s="994"/>
      <c r="B97" s="997"/>
      <c r="C97" s="996"/>
      <c r="D97" s="997"/>
      <c r="E97" s="997"/>
      <c r="F97" s="1003">
        <v>0</v>
      </c>
    </row>
    <row r="98" spans="1:6" s="9" customFormat="1" ht="13" hidden="1">
      <c r="A98" s="994"/>
      <c r="B98" s="997"/>
      <c r="C98" s="996"/>
      <c r="D98" s="997"/>
      <c r="E98" s="997"/>
      <c r="F98" s="1003">
        <v>0</v>
      </c>
    </row>
    <row r="99" spans="1:6" s="9" customFormat="1" ht="13" hidden="1">
      <c r="A99" s="994"/>
      <c r="B99" s="997"/>
      <c r="C99" s="996"/>
      <c r="D99" s="997"/>
      <c r="E99" s="997"/>
      <c r="F99" s="1003">
        <v>0</v>
      </c>
    </row>
    <row r="100" spans="1:6" s="9" customFormat="1" ht="13" hidden="1">
      <c r="A100" s="994"/>
      <c r="B100" s="997"/>
      <c r="C100" s="996"/>
      <c r="D100" s="997"/>
      <c r="E100" s="997"/>
      <c r="F100" s="1003">
        <v>0</v>
      </c>
    </row>
    <row r="101" spans="1:6" s="9" customFormat="1" ht="13" hidden="1">
      <c r="A101" s="994"/>
      <c r="B101" s="997"/>
      <c r="C101" s="996"/>
      <c r="D101" s="997"/>
      <c r="E101" s="997"/>
      <c r="F101" s="1003"/>
    </row>
    <row r="102" spans="1:6" s="9" customFormat="1" ht="13.5" hidden="1" thickBot="1">
      <c r="A102" s="994"/>
      <c r="B102" s="997"/>
      <c r="C102" s="996"/>
      <c r="D102" s="997"/>
      <c r="E102" s="997"/>
      <c r="F102" s="1066">
        <f>SUM(F97:F101)</f>
        <v>0</v>
      </c>
    </row>
    <row r="103" spans="1:6" s="9" customFormat="1" ht="13.5" hidden="1" thickTop="1">
      <c r="A103" s="994"/>
      <c r="B103" s="997"/>
      <c r="C103" s="996"/>
      <c r="D103" s="997"/>
      <c r="E103" s="997"/>
      <c r="F103" s="1003"/>
    </row>
    <row r="104" spans="1:6" s="9" customFormat="1" ht="13" hidden="1">
      <c r="A104" s="994"/>
      <c r="B104" s="997"/>
      <c r="C104" s="996"/>
      <c r="D104" s="997"/>
      <c r="E104" s="997"/>
      <c r="F104" s="1003"/>
    </row>
    <row r="105" spans="1:6" s="9" customFormat="1" ht="13" hidden="1">
      <c r="A105" s="994"/>
      <c r="B105" s="997"/>
      <c r="C105" s="1035">
        <v>17820</v>
      </c>
      <c r="D105" s="1031" t="s">
        <v>673</v>
      </c>
      <c r="E105" s="997"/>
      <c r="F105" s="1003">
        <v>0</v>
      </c>
    </row>
    <row r="106" spans="1:6" s="9" customFormat="1" ht="13" hidden="1">
      <c r="A106" s="994"/>
      <c r="B106" s="997"/>
      <c r="C106" s="996"/>
      <c r="D106" s="997"/>
      <c r="E106" s="997"/>
      <c r="F106" s="999"/>
    </row>
    <row r="107" spans="1:6" s="9" customFormat="1" hidden="1">
      <c r="A107" s="84"/>
      <c r="F107" s="874"/>
    </row>
    <row r="108" spans="1:6" s="9" customFormat="1" ht="13.5" thickBot="1">
      <c r="A108" s="136"/>
      <c r="B108" s="135"/>
      <c r="C108" s="135"/>
      <c r="D108" s="135"/>
      <c r="E108" s="135"/>
      <c r="F108" s="875"/>
    </row>
    <row r="109" spans="1:6" s="9" customFormat="1">
      <c r="F109" s="154"/>
    </row>
    <row r="110" spans="1:6" s="9" customFormat="1">
      <c r="B110" s="11"/>
      <c r="C110" s="11"/>
      <c r="D110" s="1094"/>
      <c r="E110" s="1095"/>
      <c r="F110" s="1095"/>
    </row>
    <row r="111" spans="1:6" s="9" customFormat="1" ht="13">
      <c r="D111" s="1096"/>
      <c r="E111" s="1097" t="s">
        <v>891</v>
      </c>
      <c r="F111" s="1098" cm="1">
        <f t="array" ref="F111">IFERROR(INDEX(TB!G:G,MATCH(E111,TB!A:A,0),0),0)</f>
        <v>0</v>
      </c>
    </row>
    <row r="112" spans="1:6" s="13" customFormat="1" ht="13">
      <c r="A112" s="9"/>
      <c r="B112" s="9"/>
      <c r="C112" s="9"/>
      <c r="D112" s="1097"/>
      <c r="E112" s="1097" t="s">
        <v>854</v>
      </c>
      <c r="F112" s="1098">
        <f>F111-F14</f>
        <v>0</v>
      </c>
    </row>
    <row r="113" spans="1:6" s="9" customFormat="1" ht="13">
      <c r="A113"/>
      <c r="B113" s="26"/>
      <c r="C113" s="26"/>
      <c r="D113" s="1097"/>
      <c r="E113" s="1099"/>
      <c r="F113" s="1100"/>
    </row>
    <row r="114" spans="1:6" s="9" customFormat="1" ht="13">
      <c r="A114"/>
      <c r="B114"/>
      <c r="C114"/>
      <c r="D114" s="1097"/>
      <c r="E114" s="1099" t="s">
        <v>834</v>
      </c>
      <c r="F114" s="1100" cm="1">
        <f t="array" ref="F114">IFERROR(INDEX(TB!G:G,MATCH(E114,TB!A:A,0),0),0)</f>
        <v>35214381</v>
      </c>
    </row>
    <row r="115" spans="1:6" s="9" customFormat="1" ht="13">
      <c r="A115"/>
      <c r="B115"/>
      <c r="C115"/>
      <c r="D115" s="1097"/>
      <c r="E115" s="1099" t="s">
        <v>854</v>
      </c>
      <c r="F115" s="1100">
        <f>F114-F20</f>
        <v>0</v>
      </c>
    </row>
    <row r="116" spans="1:6" s="9" customFormat="1" ht="13">
      <c r="A116"/>
      <c r="B116"/>
      <c r="C116"/>
      <c r="D116" s="1097"/>
      <c r="E116" s="1099"/>
      <c r="F116" s="1100"/>
    </row>
    <row r="117" spans="1:6" ht="13" hidden="1">
      <c r="D117" s="1097"/>
      <c r="E117" s="1099" t="s">
        <v>835</v>
      </c>
      <c r="F117" s="1100" cm="1">
        <f t="array" ref="F117">IFERROR(INDEX(TB!G:G,MATCH(E117,TB!A:A,0),0),0)</f>
        <v>0</v>
      </c>
    </row>
    <row r="118" spans="1:6" ht="13" hidden="1">
      <c r="D118" s="1099"/>
      <c r="E118" s="1099" t="s">
        <v>854</v>
      </c>
      <c r="F118" s="1100">
        <f>F117-F53</f>
        <v>0</v>
      </c>
    </row>
    <row r="119" spans="1:6" ht="13" hidden="1">
      <c r="D119" s="1099"/>
      <c r="E119" s="1099"/>
      <c r="F119" s="1100"/>
    </row>
    <row r="120" spans="1:6" ht="13" hidden="1">
      <c r="D120" s="1099"/>
      <c r="E120" s="1099" t="s">
        <v>917</v>
      </c>
      <c r="F120" s="1100" cm="1">
        <f t="array" ref="F120">IFERROR(INDEX(TB!G:G,MATCH(E120,TB!A:A,0),0),0)</f>
        <v>0</v>
      </c>
    </row>
    <row r="121" spans="1:6" ht="13" hidden="1">
      <c r="D121" s="1099"/>
      <c r="E121" s="1099" t="s">
        <v>854</v>
      </c>
      <c r="F121" s="1100">
        <f>F120-F56</f>
        <v>0</v>
      </c>
    </row>
    <row r="122" spans="1:6" ht="13" hidden="1">
      <c r="D122" s="1099"/>
      <c r="E122" s="1099"/>
      <c r="F122" s="1100"/>
    </row>
    <row r="123" spans="1:6" ht="13" hidden="1">
      <c r="D123" s="1099"/>
      <c r="E123" s="1099" t="s">
        <v>892</v>
      </c>
      <c r="F123" s="1100" cm="1">
        <f t="array" ref="F123">IFERROR(INDEX(TB!G:G,MATCH(E123,TB!A:A,0),0),0)</f>
        <v>0</v>
      </c>
    </row>
    <row r="124" spans="1:6" ht="13" hidden="1">
      <c r="D124" s="1099"/>
      <c r="E124" s="1099" t="s">
        <v>854</v>
      </c>
      <c r="F124" s="1100">
        <f>F123-F64</f>
        <v>0</v>
      </c>
    </row>
    <row r="125" spans="1:6" ht="13" hidden="1">
      <c r="D125" s="1099"/>
      <c r="E125" s="1099"/>
      <c r="F125" s="1100"/>
    </row>
    <row r="126" spans="1:6" ht="13" hidden="1">
      <c r="D126" s="1099"/>
      <c r="E126" s="1099" t="s">
        <v>918</v>
      </c>
      <c r="F126" s="1100" cm="1">
        <f t="array" ref="F126">IFERROR(INDEX(TB!G:G,MATCH(E126,TB!A:A,0),0),0)</f>
        <v>0</v>
      </c>
    </row>
    <row r="127" spans="1:6" ht="13" hidden="1">
      <c r="D127" s="1099"/>
      <c r="E127" s="1099" t="s">
        <v>854</v>
      </c>
      <c r="F127" s="1100">
        <f>F126-F67</f>
        <v>0</v>
      </c>
    </row>
    <row r="128" spans="1:6" ht="13" hidden="1">
      <c r="D128" s="1099"/>
      <c r="E128" s="1099"/>
      <c r="F128" s="1100"/>
    </row>
    <row r="129" spans="4:6" ht="13" hidden="1">
      <c r="D129" s="1099"/>
      <c r="E129" s="1099" t="s">
        <v>919</v>
      </c>
      <c r="F129" s="1100" cm="1">
        <f t="array" ref="F129">IFERROR(INDEX(TB!G:G,MATCH(E129,TB!A:A,0),0),0)</f>
        <v>0</v>
      </c>
    </row>
    <row r="130" spans="4:6" ht="13" hidden="1">
      <c r="D130" s="1099"/>
      <c r="E130" s="1099" t="s">
        <v>854</v>
      </c>
      <c r="F130" s="1100">
        <f>F129-F72</f>
        <v>0</v>
      </c>
    </row>
    <row r="131" spans="4:6" ht="13" hidden="1">
      <c r="D131" s="1099"/>
      <c r="E131" s="1099"/>
      <c r="F131" s="1100"/>
    </row>
    <row r="132" spans="4:6" ht="13" hidden="1">
      <c r="D132" s="1099"/>
      <c r="E132" s="1099" t="s">
        <v>836</v>
      </c>
      <c r="F132" s="1100" cm="1">
        <f t="array" ref="F132">IFERROR(INDEX(TB!G:G,MATCH(E132,TB!A:A,0),0),0)</f>
        <v>0</v>
      </c>
    </row>
    <row r="133" spans="4:6" ht="13" hidden="1">
      <c r="D133" s="1099"/>
      <c r="E133" s="1099" t="s">
        <v>854</v>
      </c>
      <c r="F133" s="1100">
        <f>F132-F81</f>
        <v>0</v>
      </c>
    </row>
    <row r="134" spans="4:6" ht="13" hidden="1">
      <c r="D134" s="1099"/>
      <c r="E134" s="1099"/>
      <c r="F134" s="1100"/>
    </row>
    <row r="135" spans="4:6" ht="13" hidden="1">
      <c r="D135" s="1099"/>
      <c r="E135" s="1099" t="s">
        <v>837</v>
      </c>
      <c r="F135" s="1100" cm="1">
        <f t="array" ref="F135">IFERROR(INDEX(TB!G:G,MATCH(E135,TB!A:A,0),0),0)</f>
        <v>0</v>
      </c>
    </row>
    <row r="136" spans="4:6" ht="13" hidden="1">
      <c r="D136" s="1099"/>
      <c r="E136" s="1099" t="s">
        <v>854</v>
      </c>
      <c r="F136" s="1100">
        <f>F135-F87</f>
        <v>0</v>
      </c>
    </row>
    <row r="137" spans="4:6" ht="13" hidden="1">
      <c r="D137" s="1099"/>
      <c r="E137" s="1099"/>
      <c r="F137" s="1100"/>
    </row>
    <row r="138" spans="4:6" ht="13" hidden="1">
      <c r="D138" s="1099"/>
      <c r="E138" s="1099" t="s">
        <v>838</v>
      </c>
      <c r="F138" s="1100" cm="1">
        <f t="array" ref="F138">IFERROR(INDEX(TB!G:G,MATCH(E138,TB!A:A,0),0),0)</f>
        <v>0</v>
      </c>
    </row>
    <row r="139" spans="4:6" ht="13" hidden="1">
      <c r="D139" s="1099"/>
      <c r="E139" s="1099" t="s">
        <v>854</v>
      </c>
      <c r="F139" s="1100">
        <f>F138-F92</f>
        <v>0</v>
      </c>
    </row>
    <row r="140" spans="4:6" ht="13" hidden="1">
      <c r="D140" s="1099"/>
      <c r="E140" s="1099"/>
      <c r="F140" s="1099"/>
    </row>
  </sheetData>
  <mergeCells count="3">
    <mergeCell ref="A1:F1"/>
    <mergeCell ref="A2:F2"/>
    <mergeCell ref="A3:F3"/>
  </mergeCells>
  <phoneticPr fontId="40" type="noConversion"/>
  <pageMargins left="0.75" right="0.75" top="1" bottom="1" header="0.5" footer="0.5"/>
  <pageSetup scale="68" orientation="portrait" r:id="rId1"/>
  <headerFooter alignWithMargins="0"/>
  <ignoredErrors>
    <ignoredError sqref="F48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4">
    <pageSetUpPr fitToPage="1"/>
  </sheetPr>
  <dimension ref="A1:Q27"/>
  <sheetViews>
    <sheetView zoomScale="85" workbookViewId="0">
      <selection activeCell="D9" sqref="D9"/>
    </sheetView>
  </sheetViews>
  <sheetFormatPr defaultColWidth="9.1796875" defaultRowHeight="12.5"/>
  <cols>
    <col min="1" max="1" width="20.7265625" style="914" customWidth="1"/>
    <col min="2" max="2" width="10.7265625" style="914" bestFit="1" customWidth="1"/>
    <col min="3" max="3" width="14.81640625" style="914" customWidth="1"/>
    <col min="4" max="5" width="15.26953125" style="914" customWidth="1"/>
    <col min="6" max="6" width="16" style="914" customWidth="1"/>
    <col min="7" max="7" width="15.7265625" style="914" customWidth="1"/>
    <col min="8" max="8" width="2.1796875" style="914" customWidth="1"/>
    <col min="9" max="9" width="16.81640625" style="914" customWidth="1"/>
    <col min="10" max="10" width="14" style="914" customWidth="1"/>
    <col min="11" max="12" width="16.54296875" style="914" customWidth="1"/>
    <col min="13" max="13" width="17.1796875" style="914" customWidth="1"/>
    <col min="14" max="14" width="15.1796875" style="914" customWidth="1"/>
    <col min="15" max="15" width="15.453125" style="914" customWidth="1"/>
    <col min="16" max="16" width="13.453125" style="914" customWidth="1"/>
    <col min="17" max="17" width="49.1796875" style="914" customWidth="1"/>
    <col min="18" max="18" width="12.7265625" style="914" customWidth="1"/>
    <col min="19" max="16384" width="9.1796875" style="914"/>
  </cols>
  <sheetData>
    <row r="1" spans="1:17" ht="18">
      <c r="A1" s="1205" t="s">
        <v>353</v>
      </c>
      <c r="B1" s="1206"/>
      <c r="C1" s="1206"/>
      <c r="D1" s="1206"/>
      <c r="E1" s="1206"/>
      <c r="F1" s="1206"/>
      <c r="G1" s="1206"/>
      <c r="H1" s="1206"/>
      <c r="I1" s="1206"/>
      <c r="J1" s="1206"/>
      <c r="K1" s="1206"/>
      <c r="L1" s="1206"/>
      <c r="M1" s="1206"/>
      <c r="N1" s="1206"/>
      <c r="O1" s="1206"/>
      <c r="P1" s="1206"/>
      <c r="Q1" s="1207"/>
    </row>
    <row r="2" spans="1:17" ht="18">
      <c r="A2" s="1208" t="s">
        <v>354</v>
      </c>
      <c r="B2" s="1209"/>
      <c r="C2" s="1210"/>
      <c r="D2" s="1210"/>
      <c r="E2" s="1210"/>
      <c r="F2" s="1210"/>
      <c r="G2" s="1210"/>
      <c r="H2" s="1210"/>
      <c r="I2" s="1210"/>
      <c r="J2" s="1210"/>
      <c r="K2" s="1210"/>
      <c r="L2" s="1210"/>
      <c r="M2" s="1210"/>
      <c r="N2" s="1210"/>
      <c r="O2" s="1210"/>
      <c r="P2" s="1210"/>
      <c r="Q2" s="1211"/>
    </row>
    <row r="3" spans="1:17" ht="18.5" thickBot="1">
      <c r="A3" s="1212" t="s">
        <v>355</v>
      </c>
      <c r="B3" s="1213"/>
      <c r="C3" s="1213"/>
      <c r="D3" s="1213"/>
      <c r="E3" s="1213"/>
      <c r="F3" s="1213"/>
      <c r="G3" s="1213"/>
      <c r="H3" s="1213"/>
      <c r="I3" s="1213"/>
      <c r="J3" s="1213"/>
      <c r="K3" s="1213"/>
      <c r="L3" s="1213"/>
      <c r="M3" s="1213"/>
      <c r="N3" s="1213"/>
      <c r="O3" s="1213"/>
      <c r="P3" s="1213"/>
      <c r="Q3" s="1214"/>
    </row>
    <row r="4" spans="1:17" ht="13" thickBot="1">
      <c r="A4" s="913"/>
      <c r="B4" s="913"/>
      <c r="C4" s="913"/>
      <c r="D4" s="913"/>
      <c r="E4" s="913"/>
      <c r="F4" s="913"/>
      <c r="G4" s="913"/>
      <c r="H4" s="913"/>
      <c r="I4" s="913"/>
      <c r="J4" s="913"/>
      <c r="K4" s="913"/>
      <c r="L4" s="913"/>
      <c r="M4" s="913"/>
      <c r="N4" s="913"/>
      <c r="O4" s="913"/>
      <c r="P4" s="913"/>
      <c r="Q4" s="913"/>
    </row>
    <row r="5" spans="1:17" s="910" customFormat="1" ht="25.5" customHeight="1">
      <c r="A5" s="1215" t="s">
        <v>27</v>
      </c>
      <c r="B5" s="1216"/>
      <c r="C5" s="1217" t="s">
        <v>356</v>
      </c>
      <c r="D5" s="1218"/>
      <c r="E5" s="1218"/>
      <c r="F5" s="1218"/>
      <c r="G5" s="1218"/>
      <c r="H5" s="1218"/>
      <c r="I5" s="1219"/>
      <c r="J5" s="1220" t="s">
        <v>357</v>
      </c>
      <c r="K5" s="1221"/>
      <c r="L5" s="1221"/>
      <c r="M5" s="1221"/>
      <c r="N5" s="1221"/>
      <c r="O5" s="1221"/>
      <c r="P5" s="1222"/>
      <c r="Q5" s="915"/>
    </row>
    <row r="6" spans="1:17" s="22" customFormat="1" ht="52.5" thickBot="1">
      <c r="A6" s="916" t="s">
        <v>55</v>
      </c>
      <c r="B6" s="917" t="s">
        <v>58</v>
      </c>
      <c r="C6" s="918" t="s">
        <v>358</v>
      </c>
      <c r="D6" s="919" t="s">
        <v>359</v>
      </c>
      <c r="E6" s="920" t="s">
        <v>360</v>
      </c>
      <c r="F6" s="921" t="s">
        <v>361</v>
      </c>
      <c r="G6" s="922" t="s">
        <v>362</v>
      </c>
      <c r="H6" s="923"/>
      <c r="I6" s="924" t="s">
        <v>363</v>
      </c>
      <c r="J6" s="918" t="s">
        <v>364</v>
      </c>
      <c r="K6" s="921" t="s">
        <v>365</v>
      </c>
      <c r="L6" s="925" t="s">
        <v>366</v>
      </c>
      <c r="M6" s="926" t="s">
        <v>367</v>
      </c>
      <c r="N6" s="926" t="s">
        <v>368</v>
      </c>
      <c r="O6" s="921" t="s">
        <v>369</v>
      </c>
      <c r="P6" s="927" t="s">
        <v>370</v>
      </c>
      <c r="Q6" s="928" t="s">
        <v>371</v>
      </c>
    </row>
    <row r="7" spans="1:17" ht="37.5" customHeight="1">
      <c r="A7" s="929" t="s">
        <v>106</v>
      </c>
      <c r="B7" s="930" t="s">
        <v>372</v>
      </c>
      <c r="C7" s="931">
        <v>9768.4699999999993</v>
      </c>
      <c r="D7" s="932">
        <f>-3.34-25-1500</f>
        <v>-1528.34</v>
      </c>
      <c r="E7" s="932">
        <v>-7500</v>
      </c>
      <c r="F7" s="933">
        <v>0</v>
      </c>
      <c r="G7" s="934">
        <v>54389.06</v>
      </c>
      <c r="H7" s="935"/>
      <c r="I7" s="936">
        <f>SUM(C7:G7)</f>
        <v>55129.189999999995</v>
      </c>
      <c r="J7" s="932">
        <v>59620</v>
      </c>
      <c r="K7" s="932">
        <v>0</v>
      </c>
      <c r="L7" s="932">
        <v>0</v>
      </c>
      <c r="M7" s="932">
        <v>0</v>
      </c>
      <c r="N7" s="932">
        <f>54389-59620</f>
        <v>-5231</v>
      </c>
      <c r="O7" s="932">
        <v>0</v>
      </c>
      <c r="P7" s="936">
        <f>SUM(J7:O7)</f>
        <v>54389</v>
      </c>
      <c r="Q7" s="938" t="s">
        <v>373</v>
      </c>
    </row>
    <row r="8" spans="1:17" ht="45.75" customHeight="1">
      <c r="A8" s="931" t="s">
        <v>83</v>
      </c>
      <c r="B8" s="936" t="s">
        <v>372</v>
      </c>
      <c r="C8" s="931">
        <v>29416.29</v>
      </c>
      <c r="D8" s="932">
        <f>-488.65-25-3750</f>
        <v>-4263.6499999999996</v>
      </c>
      <c r="E8" s="932">
        <v>0</v>
      </c>
      <c r="F8" s="933">
        <v>-459</v>
      </c>
      <c r="G8" s="939">
        <f>27844.08+3255.55</f>
        <v>31099.63</v>
      </c>
      <c r="H8" s="933"/>
      <c r="I8" s="936">
        <f>SUM(C8:G8)</f>
        <v>55793.270000000004</v>
      </c>
      <c r="J8" s="933">
        <v>52204</v>
      </c>
      <c r="K8" s="933">
        <f>55793-52204</f>
        <v>3589</v>
      </c>
      <c r="L8" s="933">
        <v>0</v>
      </c>
      <c r="M8" s="933">
        <v>0</v>
      </c>
      <c r="N8" s="937">
        <v>0</v>
      </c>
      <c r="O8" s="932">
        <v>0</v>
      </c>
      <c r="P8" s="936">
        <f>SUM(J8:O8)</f>
        <v>55793</v>
      </c>
      <c r="Q8" s="940" t="s">
        <v>374</v>
      </c>
    </row>
    <row r="9" spans="1:17" ht="66.75" customHeight="1">
      <c r="A9" s="931" t="s">
        <v>206</v>
      </c>
      <c r="B9" s="936" t="s">
        <v>372</v>
      </c>
      <c r="C9" s="931">
        <v>22555.88</v>
      </c>
      <c r="D9" s="932">
        <f>-532.22-6250-100</f>
        <v>-6882.22</v>
      </c>
      <c r="E9" s="932">
        <v>0</v>
      </c>
      <c r="F9" s="933">
        <v>-99.75</v>
      </c>
      <c r="G9" s="939">
        <f>9998.01+13783.84+218.75+218.75+218.75+218.75+218.75</f>
        <v>24875.599999999999</v>
      </c>
      <c r="H9" s="933"/>
      <c r="I9" s="936">
        <f>SUM(C9:G9)</f>
        <v>40449.509999999995</v>
      </c>
      <c r="J9" s="933">
        <v>40289</v>
      </c>
      <c r="K9" s="932">
        <f>40450-40289</f>
        <v>161</v>
      </c>
      <c r="L9" s="933">
        <v>0</v>
      </c>
      <c r="M9" s="933">
        <v>0</v>
      </c>
      <c r="N9" s="937">
        <v>0</v>
      </c>
      <c r="O9" s="932">
        <v>0</v>
      </c>
      <c r="P9" s="936">
        <f>SUM(J9:O9)</f>
        <v>40450</v>
      </c>
      <c r="Q9" s="940" t="s">
        <v>375</v>
      </c>
    </row>
    <row r="10" spans="1:17" ht="60" customHeight="1">
      <c r="A10" s="931" t="s">
        <v>208</v>
      </c>
      <c r="B10" s="936" t="s">
        <v>372</v>
      </c>
      <c r="C10" s="931">
        <v>24.09</v>
      </c>
      <c r="D10" s="932">
        <f>-14.09-1000</f>
        <v>-1014.09</v>
      </c>
      <c r="E10" s="932">
        <v>0</v>
      </c>
      <c r="F10" s="933">
        <v>0</v>
      </c>
      <c r="G10" s="939">
        <v>3960</v>
      </c>
      <c r="H10" s="933"/>
      <c r="I10" s="936">
        <f>SUM(C10:G10)</f>
        <v>2970</v>
      </c>
      <c r="J10" s="933">
        <v>8375</v>
      </c>
      <c r="K10" s="932">
        <f>2970-8375</f>
        <v>-5405</v>
      </c>
      <c r="L10" s="933">
        <v>0</v>
      </c>
      <c r="M10" s="933">
        <v>0</v>
      </c>
      <c r="N10" s="937">
        <v>0</v>
      </c>
      <c r="O10" s="932">
        <v>0</v>
      </c>
      <c r="P10" s="936">
        <f>SUM(J10:O10)</f>
        <v>2970</v>
      </c>
      <c r="Q10" s="940" t="s">
        <v>376</v>
      </c>
    </row>
    <row r="11" spans="1:17" ht="46.5" hidden="1" customHeight="1">
      <c r="A11" s="931"/>
      <c r="B11" s="936"/>
      <c r="C11" s="931"/>
      <c r="D11" s="932"/>
      <c r="E11" s="932"/>
      <c r="F11" s="933"/>
      <c r="G11" s="939"/>
      <c r="H11" s="933"/>
      <c r="I11" s="936"/>
      <c r="J11" s="933"/>
      <c r="K11" s="932"/>
      <c r="L11" s="933"/>
      <c r="M11" s="933"/>
      <c r="N11" s="937"/>
      <c r="O11" s="932"/>
      <c r="P11" s="937"/>
      <c r="Q11" s="940"/>
    </row>
    <row r="12" spans="1:17" ht="46.5" hidden="1" customHeight="1">
      <c r="A12" s="931"/>
      <c r="B12" s="936"/>
      <c r="C12" s="931"/>
      <c r="D12" s="932"/>
      <c r="E12" s="932"/>
      <c r="F12" s="933"/>
      <c r="G12" s="939"/>
      <c r="H12" s="933"/>
      <c r="I12" s="936"/>
      <c r="J12" s="933"/>
      <c r="K12" s="932"/>
      <c r="L12" s="933"/>
      <c r="M12" s="933"/>
      <c r="N12" s="937"/>
      <c r="O12" s="932"/>
      <c r="P12" s="937"/>
      <c r="Q12" s="940"/>
    </row>
    <row r="13" spans="1:17" ht="46.5" hidden="1" customHeight="1">
      <c r="A13" s="931"/>
      <c r="B13" s="936"/>
      <c r="C13" s="931"/>
      <c r="D13" s="932"/>
      <c r="E13" s="932"/>
      <c r="F13" s="933"/>
      <c r="G13" s="939"/>
      <c r="H13" s="933"/>
      <c r="I13" s="936"/>
      <c r="J13" s="933"/>
      <c r="K13" s="932"/>
      <c r="L13" s="933"/>
      <c r="M13" s="933"/>
      <c r="N13" s="937"/>
      <c r="O13" s="932"/>
      <c r="P13" s="937"/>
      <c r="Q13" s="940"/>
    </row>
    <row r="14" spans="1:17" ht="46.5" hidden="1" customHeight="1">
      <c r="A14" s="931"/>
      <c r="B14" s="936"/>
      <c r="C14" s="931"/>
      <c r="D14" s="932"/>
      <c r="E14" s="932"/>
      <c r="F14" s="933"/>
      <c r="G14" s="939"/>
      <c r="H14" s="933"/>
      <c r="I14" s="936"/>
      <c r="J14" s="933"/>
      <c r="K14" s="932"/>
      <c r="L14" s="933"/>
      <c r="M14" s="933"/>
      <c r="N14" s="937"/>
      <c r="O14" s="932"/>
      <c r="P14" s="937"/>
      <c r="Q14" s="940"/>
    </row>
    <row r="15" spans="1:17" ht="46.5" hidden="1" customHeight="1">
      <c r="A15" s="931"/>
      <c r="B15" s="936"/>
      <c r="C15" s="931"/>
      <c r="D15" s="932"/>
      <c r="E15" s="932"/>
      <c r="F15" s="933"/>
      <c r="G15" s="939"/>
      <c r="H15" s="933"/>
      <c r="I15" s="936"/>
      <c r="J15" s="933"/>
      <c r="K15" s="932"/>
      <c r="L15" s="933"/>
      <c r="M15" s="933"/>
      <c r="N15" s="937"/>
      <c r="O15" s="932"/>
      <c r="P15" s="937"/>
      <c r="Q15" s="940"/>
    </row>
    <row r="16" spans="1:17" ht="46.5" hidden="1" customHeight="1">
      <c r="A16" s="931"/>
      <c r="B16" s="936"/>
      <c r="C16" s="931"/>
      <c r="D16" s="932"/>
      <c r="E16" s="932"/>
      <c r="F16" s="933"/>
      <c r="G16" s="939"/>
      <c r="H16" s="933"/>
      <c r="I16" s="936"/>
      <c r="J16" s="933"/>
      <c r="K16" s="932"/>
      <c r="L16" s="933"/>
      <c r="M16" s="933"/>
      <c r="N16" s="937"/>
      <c r="O16" s="932"/>
      <c r="P16" s="937"/>
      <c r="Q16" s="940"/>
    </row>
    <row r="17" spans="1:17" ht="46.5" hidden="1" customHeight="1">
      <c r="A17" s="931"/>
      <c r="B17" s="936"/>
      <c r="C17" s="931"/>
      <c r="D17" s="932"/>
      <c r="E17" s="932"/>
      <c r="F17" s="933"/>
      <c r="G17" s="939"/>
      <c r="H17" s="933"/>
      <c r="I17" s="936"/>
      <c r="J17" s="933"/>
      <c r="K17" s="932"/>
      <c r="L17" s="933"/>
      <c r="M17" s="933"/>
      <c r="N17" s="937"/>
      <c r="O17" s="932"/>
      <c r="P17" s="937"/>
      <c r="Q17" s="940"/>
    </row>
    <row r="18" spans="1:17" ht="10.5" hidden="1" customHeight="1">
      <c r="A18" s="931"/>
      <c r="B18" s="936"/>
      <c r="C18" s="931"/>
      <c r="D18" s="932"/>
      <c r="E18" s="932"/>
      <c r="F18" s="933"/>
      <c r="G18" s="939"/>
      <c r="H18" s="933"/>
      <c r="I18" s="936"/>
      <c r="J18" s="933"/>
      <c r="K18" s="932"/>
      <c r="L18" s="933"/>
      <c r="M18" s="933"/>
      <c r="N18" s="937"/>
      <c r="O18" s="932"/>
      <c r="P18" s="937"/>
      <c r="Q18" s="940"/>
    </row>
    <row r="19" spans="1:17" ht="8.25" customHeight="1">
      <c r="A19" s="941"/>
      <c r="B19" s="936"/>
      <c r="C19" s="931"/>
      <c r="D19" s="932"/>
      <c r="E19" s="932"/>
      <c r="F19" s="933"/>
      <c r="G19" s="939"/>
      <c r="H19" s="933"/>
      <c r="I19" s="942"/>
      <c r="J19" s="931"/>
      <c r="K19" s="932"/>
      <c r="L19" s="932"/>
      <c r="M19" s="932"/>
      <c r="N19" s="937"/>
      <c r="O19" s="932"/>
      <c r="P19" s="937"/>
      <c r="Q19" s="940"/>
    </row>
    <row r="20" spans="1:17" s="948" customFormat="1" ht="13.5" thickBot="1">
      <c r="A20" s="1203" t="s">
        <v>377</v>
      </c>
      <c r="B20" s="1204"/>
      <c r="C20" s="943">
        <f>SUM(C7:C19)</f>
        <v>61764.729999999996</v>
      </c>
      <c r="D20" s="944">
        <f t="shared" ref="D20:P20" si="0">SUM(D7:D19)</f>
        <v>-13688.3</v>
      </c>
      <c r="E20" s="944">
        <f t="shared" si="0"/>
        <v>-7500</v>
      </c>
      <c r="F20" s="944">
        <f t="shared" si="0"/>
        <v>-558.75</v>
      </c>
      <c r="G20" s="945">
        <f t="shared" si="0"/>
        <v>114324.29000000001</v>
      </c>
      <c r="H20" s="944"/>
      <c r="I20" s="944">
        <f>SUM(I7:I19)</f>
        <v>154341.96999999997</v>
      </c>
      <c r="J20" s="943">
        <f>SUM(J7:J19)</f>
        <v>160488</v>
      </c>
      <c r="K20" s="946">
        <f t="shared" si="0"/>
        <v>-1655</v>
      </c>
      <c r="L20" s="946">
        <f t="shared" si="0"/>
        <v>0</v>
      </c>
      <c r="M20" s="946">
        <f t="shared" si="0"/>
        <v>0</v>
      </c>
      <c r="N20" s="946">
        <f t="shared" si="0"/>
        <v>-5231</v>
      </c>
      <c r="O20" s="946">
        <f t="shared" si="0"/>
        <v>0</v>
      </c>
      <c r="P20" s="944">
        <f t="shared" si="0"/>
        <v>153602</v>
      </c>
      <c r="Q20" s="947"/>
    </row>
    <row r="21" spans="1:17">
      <c r="A21" s="949"/>
      <c r="B21" s="937"/>
      <c r="C21" s="937"/>
      <c r="D21" s="937"/>
      <c r="E21" s="937"/>
      <c r="F21" s="937"/>
      <c r="G21" s="937"/>
      <c r="H21" s="937"/>
      <c r="I21" s="937"/>
      <c r="J21" s="937"/>
      <c r="K21" s="937"/>
      <c r="L21" s="937"/>
      <c r="M21" s="937"/>
      <c r="N21" s="937"/>
      <c r="O21" s="937"/>
      <c r="P21" s="937"/>
      <c r="Q21" s="937"/>
    </row>
    <row r="22" spans="1:17">
      <c r="A22" s="937"/>
      <c r="B22" s="937"/>
      <c r="C22" s="937"/>
      <c r="D22" s="937"/>
      <c r="E22" s="937"/>
      <c r="F22" s="937"/>
      <c r="G22" s="937"/>
      <c r="H22" s="937"/>
      <c r="I22" s="937"/>
      <c r="J22" s="950"/>
      <c r="K22" s="950"/>
      <c r="L22" s="950"/>
      <c r="M22" s="950"/>
      <c r="N22" s="950"/>
      <c r="O22" s="950"/>
      <c r="P22" s="950"/>
      <c r="Q22" s="950"/>
    </row>
    <row r="23" spans="1:17" s="21" customFormat="1">
      <c r="A23" s="103" t="s">
        <v>378</v>
      </c>
      <c r="B23" s="103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>
        <v>13843.43</v>
      </c>
      <c r="Q23" s="12"/>
    </row>
    <row r="24" spans="1:17" s="21" customFormat="1">
      <c r="A24" s="103"/>
      <c r="B24" s="103"/>
      <c r="C24" s="104"/>
      <c r="D24" s="50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2"/>
      <c r="Q24" s="12"/>
    </row>
    <row r="25" spans="1:17" s="21" customFormat="1" ht="13">
      <c r="A25" s="103" t="s">
        <v>147</v>
      </c>
      <c r="B25" s="103"/>
      <c r="C25" s="104"/>
      <c r="D25" s="50"/>
      <c r="E25" s="104"/>
      <c r="F25" s="104"/>
      <c r="G25" s="104"/>
      <c r="H25" s="104"/>
      <c r="I25" s="104"/>
      <c r="J25" s="104"/>
      <c r="K25" s="104"/>
      <c r="L25" s="104"/>
      <c r="M25" s="104"/>
      <c r="N25" s="648"/>
      <c r="O25" s="104"/>
      <c r="P25" s="12">
        <f>+P20+P23</f>
        <v>167445.43</v>
      </c>
      <c r="Q25" s="12"/>
    </row>
    <row r="26" spans="1:17">
      <c r="A26" s="950"/>
      <c r="B26" s="950"/>
      <c r="C26" s="950"/>
      <c r="D26" s="951"/>
      <c r="E26" s="950"/>
      <c r="F26" s="950"/>
      <c r="G26" s="950"/>
      <c r="H26" s="950"/>
      <c r="I26" s="950"/>
      <c r="J26" s="950"/>
      <c r="K26" s="950"/>
      <c r="L26" s="950"/>
      <c r="M26" s="950"/>
      <c r="N26" s="950"/>
      <c r="O26" s="950"/>
      <c r="P26" s="950"/>
      <c r="Q26" s="950"/>
    </row>
    <row r="27" spans="1:17">
      <c r="A27" s="950"/>
      <c r="B27" s="950"/>
      <c r="C27" s="950"/>
      <c r="D27" s="951"/>
      <c r="E27" s="950"/>
      <c r="F27" s="950"/>
      <c r="G27" s="950"/>
      <c r="H27" s="950"/>
      <c r="I27" s="950"/>
      <c r="J27" s="950"/>
      <c r="K27" s="950"/>
      <c r="L27" s="950"/>
      <c r="M27" s="950"/>
      <c r="N27" s="950"/>
      <c r="O27" s="950"/>
      <c r="P27" s="950"/>
      <c r="Q27" s="950"/>
    </row>
  </sheetData>
  <mergeCells count="7">
    <mergeCell ref="A20:B20"/>
    <mergeCell ref="A1:Q1"/>
    <mergeCell ref="A2:Q2"/>
    <mergeCell ref="A3:Q3"/>
    <mergeCell ref="A5:B5"/>
    <mergeCell ref="C5:I5"/>
    <mergeCell ref="J5:P5"/>
  </mergeCells>
  <phoneticPr fontId="76" type="noConversion"/>
  <pageMargins left="0.5" right="0" top="1" bottom="1" header="0.5" footer="0.5"/>
  <pageSetup paperSize="5" scale="6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">
    <pageSetUpPr autoPageBreaks="0" fitToPage="1"/>
  </sheetPr>
  <dimension ref="A1:I33"/>
  <sheetViews>
    <sheetView zoomScale="80" workbookViewId="0">
      <selection activeCell="C6" sqref="C6"/>
    </sheetView>
  </sheetViews>
  <sheetFormatPr defaultRowHeight="12.5"/>
  <cols>
    <col min="1" max="1" width="4.7265625" customWidth="1"/>
    <col min="2" max="2" width="17" customWidth="1"/>
    <col min="3" max="3" width="16.7265625" bestFit="1" customWidth="1"/>
    <col min="4" max="4" width="18.26953125" customWidth="1"/>
    <col min="5" max="5" width="16" customWidth="1"/>
    <col min="6" max="6" width="15.1796875" customWidth="1"/>
    <col min="7" max="8" width="15.1796875" style="1" customWidth="1"/>
    <col min="9" max="9" width="15.81640625" customWidth="1"/>
    <col min="11" max="11" width="11.26953125" bestFit="1" customWidth="1"/>
    <col min="13" max="13" width="11.26953125" bestFit="1" customWidth="1"/>
  </cols>
  <sheetData>
    <row r="1" spans="1:9" ht="18">
      <c r="A1" s="1223" t="str">
        <f>+'Review Comments'!B11</f>
        <v>ABI PROPERTIES</v>
      </c>
      <c r="B1" s="1224"/>
      <c r="C1" s="1224"/>
      <c r="D1" s="1224"/>
      <c r="E1" s="1224"/>
      <c r="F1" s="1224"/>
      <c r="G1" s="1224"/>
      <c r="H1" s="1224"/>
      <c r="I1" s="1225"/>
    </row>
    <row r="2" spans="1:9" ht="18">
      <c r="A2" s="1197" t="s">
        <v>379</v>
      </c>
      <c r="B2" s="1198"/>
      <c r="C2" s="1198"/>
      <c r="D2" s="1198"/>
      <c r="E2" s="1198"/>
      <c r="F2" s="1198"/>
      <c r="G2" s="1198"/>
      <c r="H2" s="1198"/>
      <c r="I2" s="1199"/>
    </row>
    <row r="3" spans="1:9" ht="18.5" thickBot="1">
      <c r="A3" s="1226" t="str">
        <f>'Review Comments'!B13</f>
        <v>FOR THE MONTH ENDED 08/31/26</v>
      </c>
      <c r="B3" s="1227"/>
      <c r="C3" s="1227"/>
      <c r="D3" s="1227"/>
      <c r="E3" s="1227"/>
      <c r="F3" s="1227"/>
      <c r="G3" s="1227"/>
      <c r="H3" s="1227"/>
      <c r="I3" s="1228"/>
    </row>
    <row r="4" spans="1:9" ht="18">
      <c r="B4" s="14"/>
      <c r="C4" s="10"/>
      <c r="D4" s="15"/>
      <c r="E4" s="9"/>
      <c r="F4" s="9"/>
      <c r="G4" s="10"/>
      <c r="H4" s="10"/>
      <c r="I4" s="9"/>
    </row>
    <row r="5" spans="1:9" ht="18">
      <c r="B5" s="14"/>
      <c r="C5" s="10"/>
      <c r="D5" s="15"/>
      <c r="E5" s="9"/>
      <c r="F5" s="9"/>
      <c r="G5" s="10"/>
      <c r="H5" s="10"/>
      <c r="I5" s="9"/>
    </row>
    <row r="6" spans="1:9">
      <c r="B6" s="5" t="s">
        <v>380</v>
      </c>
      <c r="C6" s="36"/>
      <c r="D6" s="37"/>
      <c r="E6" s="9"/>
      <c r="F6" s="9"/>
      <c r="G6" s="10"/>
      <c r="H6" s="10"/>
      <c r="I6" s="9"/>
    </row>
    <row r="7" spans="1:9">
      <c r="B7" s="5"/>
      <c r="C7" s="36"/>
      <c r="D7" s="37"/>
      <c r="E7" s="9"/>
      <c r="F7" s="9"/>
      <c r="G7" s="10"/>
      <c r="H7" s="10"/>
      <c r="I7" s="9"/>
    </row>
    <row r="8" spans="1:9" ht="15" customHeight="1">
      <c r="B8" s="1"/>
      <c r="C8" s="124" t="s">
        <v>381</v>
      </c>
      <c r="D8" s="124" t="s">
        <v>382</v>
      </c>
      <c r="E8" s="36"/>
      <c r="F8" s="9"/>
      <c r="G8" s="10"/>
      <c r="H8" s="10"/>
      <c r="I8" s="9"/>
    </row>
    <row r="9" spans="1:9">
      <c r="B9" s="5" t="s">
        <v>383</v>
      </c>
      <c r="C9" s="963"/>
      <c r="D9" s="386"/>
      <c r="E9" s="386"/>
      <c r="F9" s="387"/>
      <c r="G9" s="39"/>
      <c r="H9" s="39"/>
      <c r="I9" s="9"/>
    </row>
    <row r="10" spans="1:9">
      <c r="B10" s="5" t="s">
        <v>384</v>
      </c>
      <c r="C10" s="963"/>
      <c r="D10" s="386"/>
      <c r="E10" s="386"/>
      <c r="F10" s="387"/>
      <c r="G10" s="39"/>
      <c r="H10" s="39"/>
      <c r="I10" s="9"/>
    </row>
    <row r="11" spans="1:9">
      <c r="B11" s="5"/>
      <c r="C11" s="38"/>
      <c r="D11" s="386"/>
      <c r="E11" s="386"/>
      <c r="F11" s="387"/>
      <c r="G11" s="39"/>
      <c r="H11" s="39"/>
      <c r="I11" s="9"/>
    </row>
    <row r="12" spans="1:9">
      <c r="B12" s="5"/>
      <c r="C12" s="38"/>
      <c r="D12" s="386"/>
      <c r="E12" s="386"/>
      <c r="F12" s="387"/>
      <c r="G12" s="39"/>
      <c r="H12" s="39"/>
      <c r="I12" s="18"/>
    </row>
    <row r="13" spans="1:9" ht="13" thickBot="1">
      <c r="B13" s="1" t="s">
        <v>147</v>
      </c>
      <c r="C13" s="964">
        <f>SUM(C9:C12)</f>
        <v>0</v>
      </c>
      <c r="D13" s="964">
        <f>SUM(D9:D12)</f>
        <v>0</v>
      </c>
      <c r="E13" s="36"/>
      <c r="F13" s="9"/>
      <c r="G13" s="10"/>
      <c r="H13" s="10"/>
      <c r="I13" s="9"/>
    </row>
    <row r="14" spans="1:9" ht="13" thickTop="1">
      <c r="B14" s="9"/>
      <c r="C14" s="10"/>
      <c r="D14" s="15"/>
      <c r="E14" s="9"/>
      <c r="F14" s="9"/>
      <c r="G14" s="10"/>
      <c r="H14" s="10"/>
      <c r="I14" s="9"/>
    </row>
    <row r="15" spans="1:9">
      <c r="B15" s="9"/>
      <c r="C15" s="10"/>
      <c r="D15" s="15"/>
      <c r="E15" s="9"/>
      <c r="F15" s="9"/>
      <c r="G15" s="10"/>
      <c r="H15" s="10"/>
      <c r="I15" s="9"/>
    </row>
    <row r="16" spans="1:9">
      <c r="A16" s="359"/>
      <c r="B16" s="354"/>
      <c r="C16" s="309" t="s">
        <v>385</v>
      </c>
      <c r="D16" s="354" t="s">
        <v>386</v>
      </c>
      <c r="E16" s="354"/>
      <c r="F16" s="355" t="s">
        <v>387</v>
      </c>
      <c r="G16" s="354" t="s">
        <v>388</v>
      </c>
      <c r="H16" s="354" t="s">
        <v>388</v>
      </c>
      <c r="I16" s="310" t="s">
        <v>389</v>
      </c>
    </row>
    <row r="17" spans="2:9">
      <c r="B17" s="356" t="s">
        <v>61</v>
      </c>
      <c r="C17" s="356">
        <v>50111</v>
      </c>
      <c r="D17" s="356">
        <v>50112</v>
      </c>
      <c r="E17" s="356" t="s">
        <v>390</v>
      </c>
      <c r="F17" s="356">
        <v>13110</v>
      </c>
      <c r="G17" s="356">
        <v>50111</v>
      </c>
      <c r="H17" s="356">
        <v>50112</v>
      </c>
      <c r="I17" s="311">
        <v>20500</v>
      </c>
    </row>
    <row r="18" spans="2:9">
      <c r="B18" s="10"/>
      <c r="C18" s="10"/>
      <c r="D18" s="37"/>
      <c r="E18" s="9"/>
      <c r="F18" s="9"/>
      <c r="G18" s="10"/>
      <c r="H18" s="10"/>
      <c r="I18" s="9"/>
    </row>
    <row r="19" spans="2:9">
      <c r="B19" s="19">
        <v>41275</v>
      </c>
      <c r="C19" s="51"/>
      <c r="D19" s="51"/>
      <c r="E19" s="41">
        <f>SUM(C19:D19)</f>
        <v>0</v>
      </c>
      <c r="F19" s="966"/>
      <c r="G19" s="986">
        <f>C19</f>
        <v>0</v>
      </c>
      <c r="H19" s="986">
        <f>D19</f>
        <v>0</v>
      </c>
      <c r="I19" s="141">
        <f>-E19</f>
        <v>0</v>
      </c>
    </row>
    <row r="20" spans="2:9" ht="13.5" customHeight="1">
      <c r="B20" s="19">
        <f>+B19+31</f>
        <v>41306</v>
      </c>
      <c r="C20" s="51"/>
      <c r="D20" s="51"/>
      <c r="E20" s="41">
        <f>SUM(C20:D20)</f>
        <v>0</v>
      </c>
      <c r="F20" s="966"/>
      <c r="G20" s="986">
        <f>G19+C20</f>
        <v>0</v>
      </c>
      <c r="H20" s="986">
        <f>H19+D20</f>
        <v>0</v>
      </c>
      <c r="I20" s="141">
        <f>(I19-E20)</f>
        <v>0</v>
      </c>
    </row>
    <row r="21" spans="2:9">
      <c r="B21" s="981">
        <f t="shared" ref="B21:B30" si="0">+B20+31</f>
        <v>41337</v>
      </c>
      <c r="C21" s="982"/>
      <c r="D21" s="982"/>
      <c r="E21" s="983">
        <f>SUM(C21:D21)</f>
        <v>0</v>
      </c>
      <c r="F21" s="984"/>
      <c r="G21" s="987">
        <f>G20+C21</f>
        <v>0</v>
      </c>
      <c r="H21" s="987">
        <f>H20+D21</f>
        <v>0</v>
      </c>
      <c r="I21" s="985">
        <f>(I20-E21)</f>
        <v>0</v>
      </c>
    </row>
    <row r="22" spans="2:9">
      <c r="B22" s="19">
        <f t="shared" si="0"/>
        <v>41368</v>
      </c>
      <c r="C22" s="51"/>
      <c r="D22" s="51"/>
      <c r="E22" s="41"/>
      <c r="F22" s="966"/>
      <c r="G22" s="986"/>
      <c r="H22" s="986"/>
      <c r="I22" s="141"/>
    </row>
    <row r="23" spans="2:9" s="161" customFormat="1">
      <c r="B23" s="19">
        <f t="shared" si="0"/>
        <v>41399</v>
      </c>
      <c r="C23" s="51"/>
      <c r="D23" s="51"/>
      <c r="E23" s="41"/>
      <c r="F23" s="966"/>
      <c r="G23" s="986"/>
      <c r="H23" s="986"/>
      <c r="I23" s="141"/>
    </row>
    <row r="24" spans="2:9">
      <c r="B24" s="19">
        <f t="shared" si="0"/>
        <v>41430</v>
      </c>
      <c r="C24" s="51"/>
      <c r="D24" s="51"/>
      <c r="E24" s="41"/>
      <c r="F24" s="966"/>
      <c r="G24" s="986"/>
      <c r="H24" s="986"/>
      <c r="I24" s="141"/>
    </row>
    <row r="25" spans="2:9">
      <c r="B25" s="19">
        <f t="shared" si="0"/>
        <v>41461</v>
      </c>
      <c r="C25" s="51"/>
      <c r="D25" s="51"/>
      <c r="E25" s="41"/>
      <c r="F25" s="138"/>
      <c r="G25" s="988"/>
      <c r="H25" s="988"/>
      <c r="I25" s="141"/>
    </row>
    <row r="26" spans="2:9">
      <c r="B26" s="19">
        <f t="shared" si="0"/>
        <v>41492</v>
      </c>
      <c r="C26" s="51"/>
      <c r="D26" s="51"/>
      <c r="E26" s="41"/>
      <c r="F26" s="138"/>
      <c r="G26" s="988"/>
      <c r="H26" s="988"/>
      <c r="I26" s="141"/>
    </row>
    <row r="27" spans="2:9">
      <c r="B27" s="19">
        <f t="shared" si="0"/>
        <v>41523</v>
      </c>
      <c r="C27" s="51"/>
      <c r="D27" s="51"/>
      <c r="E27" s="41"/>
      <c r="F27" s="138"/>
      <c r="G27" s="988"/>
      <c r="H27" s="988"/>
      <c r="I27" s="141"/>
    </row>
    <row r="28" spans="2:9">
      <c r="B28" s="19">
        <f t="shared" si="0"/>
        <v>41554</v>
      </c>
      <c r="C28" s="51"/>
      <c r="D28" s="51"/>
      <c r="E28" s="41"/>
      <c r="F28" s="41"/>
      <c r="G28" s="51"/>
      <c r="H28" s="51"/>
      <c r="I28" s="141"/>
    </row>
    <row r="29" spans="2:9">
      <c r="B29" s="19">
        <f t="shared" si="0"/>
        <v>41585</v>
      </c>
      <c r="C29" s="51"/>
      <c r="D29" s="51"/>
      <c r="E29" s="41"/>
      <c r="F29" s="41"/>
      <c r="G29" s="51"/>
      <c r="H29" s="51"/>
      <c r="I29" s="141"/>
    </row>
    <row r="30" spans="2:9" s="162" customFormat="1" ht="13.5" customHeight="1">
      <c r="B30" s="19">
        <f t="shared" si="0"/>
        <v>41616</v>
      </c>
      <c r="C30" s="51"/>
      <c r="D30" s="51"/>
      <c r="E30" s="41"/>
      <c r="F30" s="41"/>
      <c r="G30" s="51"/>
      <c r="H30" s="51"/>
      <c r="I30" s="141"/>
    </row>
    <row r="33" spans="2:9" ht="13.5" thickBot="1">
      <c r="B33" s="123" t="s">
        <v>391</v>
      </c>
      <c r="C33" s="42">
        <f>SUM(C19:C30)</f>
        <v>0</v>
      </c>
      <c r="D33" s="42">
        <f>SUM(D19:D30)</f>
        <v>0</v>
      </c>
      <c r="E33" s="42">
        <f>SUM(C33:D33)</f>
        <v>0</v>
      </c>
      <c r="F33" s="42"/>
      <c r="G33" s="989">
        <f>G21</f>
        <v>0</v>
      </c>
      <c r="H33" s="989">
        <f>H21</f>
        <v>0</v>
      </c>
      <c r="I33" s="42">
        <f>I21</f>
        <v>0</v>
      </c>
    </row>
  </sheetData>
  <customSheetViews>
    <customSheetView guid="{407D59A7-4157-4601-BF25-0D4BC2569A3E}" fitToPage="1" showRuler="0" topLeftCell="A7">
      <selection activeCell="E26" sqref="E26"/>
      <pageMargins left="0" right="0" top="0" bottom="0" header="0" footer="0"/>
      <pageSetup orientation="landscape" r:id="rId1"/>
      <headerFooter alignWithMargins="0"/>
    </customSheetView>
    <customSheetView guid="{C5E32A41-FC3E-4628-B0E4-BCDB4BDAC35C}" scale="80" fitToPage="1" showRuler="0">
      <selection activeCell="F22" sqref="F22"/>
      <pageMargins left="0" right="0" top="0" bottom="0" header="0" footer="0"/>
      <pageSetup orientation="landscape" r:id="rId2"/>
      <headerFooter alignWithMargins="0"/>
    </customSheetView>
    <customSheetView guid="{239276AE-B7E9-4788-B341-6859AA10E393}" fitToPage="1" showRuler="0" topLeftCell="A7">
      <selection activeCell="E26" sqref="E26"/>
      <pageMargins left="0" right="0" top="0" bottom="0" header="0" footer="0"/>
      <pageSetup orientation="landscape" r:id="rId3"/>
      <headerFooter alignWithMargins="0"/>
    </customSheetView>
  </customSheetViews>
  <mergeCells count="3">
    <mergeCell ref="A1:I1"/>
    <mergeCell ref="A2:I2"/>
    <mergeCell ref="A3:I3"/>
  </mergeCells>
  <phoneticPr fontId="0" type="noConversion"/>
  <pageMargins left="0.75" right="0.75" top="1" bottom="1" header="0.5" footer="0.5"/>
  <pageSetup orientation="landscape" r:id="rId4"/>
  <headerFooter alignWithMargins="0">
    <oddFooter>&amp;R&amp;F
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9">
    <pageSetUpPr fitToPage="1"/>
  </sheetPr>
  <dimension ref="A1:AD74"/>
  <sheetViews>
    <sheetView zoomScale="80" workbookViewId="0">
      <selection activeCell="O37" sqref="O37"/>
    </sheetView>
  </sheetViews>
  <sheetFormatPr defaultRowHeight="12.5"/>
  <cols>
    <col min="1" max="1" width="15.1796875" customWidth="1"/>
    <col min="2" max="2" width="2" customWidth="1"/>
    <col min="3" max="3" width="30.7265625" customWidth="1"/>
    <col min="4" max="4" width="1.453125" customWidth="1"/>
    <col min="5" max="5" width="14.1796875" customWidth="1"/>
    <col min="6" max="6" width="1.453125" customWidth="1"/>
    <col min="7" max="7" width="15.1796875" customWidth="1"/>
    <col min="8" max="8" width="1.7265625" customWidth="1"/>
    <col min="9" max="9" width="10.1796875" bestFit="1" customWidth="1"/>
    <col min="10" max="10" width="1.7265625" customWidth="1"/>
    <col min="11" max="11" width="11.81640625" customWidth="1"/>
    <col min="12" max="12" width="1.7265625" customWidth="1"/>
    <col min="13" max="13" width="9.26953125" customWidth="1"/>
    <col min="14" max="14" width="1.81640625" customWidth="1"/>
    <col min="15" max="15" width="13.54296875" customWidth="1"/>
    <col min="16" max="16" width="1.54296875" customWidth="1"/>
    <col min="17" max="17" width="13.81640625" customWidth="1"/>
    <col min="18" max="18" width="14.7265625" customWidth="1"/>
    <col min="19" max="19" width="1.453125" customWidth="1"/>
    <col min="20" max="20" width="13" customWidth="1"/>
    <col min="21" max="21" width="1.81640625" customWidth="1"/>
    <col min="22" max="22" width="12.453125" customWidth="1"/>
    <col min="23" max="23" width="1.453125" customWidth="1"/>
    <col min="24" max="24" width="14.26953125" customWidth="1"/>
    <col min="25" max="25" width="1.453125" customWidth="1"/>
    <col min="26" max="26" width="12.7265625" customWidth="1"/>
    <col min="27" max="27" width="3.54296875" customWidth="1"/>
    <col min="28" max="28" width="14.1796875" customWidth="1"/>
    <col min="29" max="29" width="1.453125" customWidth="1"/>
    <col min="30" max="30" width="15.81640625" customWidth="1"/>
    <col min="31" max="31" width="12" bestFit="1" customWidth="1"/>
    <col min="32" max="33" width="13.81640625" bestFit="1" customWidth="1"/>
    <col min="34" max="34" width="12" bestFit="1" customWidth="1"/>
  </cols>
  <sheetData>
    <row r="1" spans="1:30" ht="18.5" thickTop="1">
      <c r="A1" s="1232" t="str">
        <f>Insurance!A1:I1</f>
        <v>ABI PROPERTIES</v>
      </c>
      <c r="B1" s="1233"/>
      <c r="C1" s="1233"/>
      <c r="D1" s="1233"/>
      <c r="E1" s="1233"/>
      <c r="F1" s="1233"/>
      <c r="G1" s="1233"/>
      <c r="H1" s="1233"/>
      <c r="I1" s="1233"/>
      <c r="J1" s="1233"/>
      <c r="K1" s="1233"/>
      <c r="L1" s="1233"/>
      <c r="M1" s="1233"/>
      <c r="N1" s="1233"/>
      <c r="O1" s="1233"/>
      <c r="P1" s="1233"/>
      <c r="Q1" s="1233"/>
      <c r="R1" s="1233"/>
      <c r="S1" s="1233"/>
      <c r="T1" s="1233"/>
      <c r="U1" s="1233"/>
      <c r="V1" s="1233"/>
      <c r="W1" s="1233"/>
      <c r="X1" s="1233"/>
      <c r="Y1" s="1233"/>
      <c r="Z1" s="1233"/>
      <c r="AA1" s="1233"/>
      <c r="AB1" s="1233"/>
      <c r="AC1" s="1233"/>
      <c r="AD1" s="1234"/>
    </row>
    <row r="2" spans="1:30" ht="18">
      <c r="A2" s="1235" t="s">
        <v>392</v>
      </c>
      <c r="B2" s="1198"/>
      <c r="C2" s="1198"/>
      <c r="D2" s="1198"/>
      <c r="E2" s="1198"/>
      <c r="F2" s="1198"/>
      <c r="G2" s="1198"/>
      <c r="H2" s="1198"/>
      <c r="I2" s="1198"/>
      <c r="J2" s="1198"/>
      <c r="K2" s="1198"/>
      <c r="L2" s="1198"/>
      <c r="M2" s="1198"/>
      <c r="N2" s="1198"/>
      <c r="O2" s="1198"/>
      <c r="P2" s="1198"/>
      <c r="Q2" s="1198"/>
      <c r="R2" s="1198"/>
      <c r="S2" s="1198"/>
      <c r="T2" s="1198"/>
      <c r="U2" s="1198"/>
      <c r="V2" s="1198"/>
      <c r="W2" s="1198"/>
      <c r="X2" s="1198"/>
      <c r="Y2" s="1198"/>
      <c r="Z2" s="1198"/>
      <c r="AA2" s="1198"/>
      <c r="AB2" s="1198"/>
      <c r="AC2" s="1198"/>
      <c r="AD2" s="1236"/>
    </row>
    <row r="3" spans="1:30" ht="18.5" thickBot="1">
      <c r="A3" s="1237" t="str">
        <f>'Review Comments'!B13</f>
        <v>FOR THE MONTH ENDED 08/31/26</v>
      </c>
      <c r="B3" s="1238"/>
      <c r="C3" s="1238"/>
      <c r="D3" s="1238"/>
      <c r="E3" s="1238"/>
      <c r="F3" s="1238"/>
      <c r="G3" s="1238"/>
      <c r="H3" s="1238"/>
      <c r="I3" s="1238"/>
      <c r="J3" s="1238"/>
      <c r="K3" s="1238"/>
      <c r="L3" s="1238"/>
      <c r="M3" s="1238"/>
      <c r="N3" s="1238"/>
      <c r="O3" s="1238"/>
      <c r="P3" s="1238"/>
      <c r="Q3" s="1238"/>
      <c r="R3" s="1238"/>
      <c r="S3" s="1238"/>
      <c r="T3" s="1238"/>
      <c r="U3" s="1238"/>
      <c r="V3" s="1238"/>
      <c r="W3" s="1238"/>
      <c r="X3" s="1238"/>
      <c r="Y3" s="1238"/>
      <c r="Z3" s="1238"/>
      <c r="AA3" s="1238"/>
      <c r="AB3" s="1238"/>
      <c r="AC3" s="1238"/>
      <c r="AD3" s="1239"/>
    </row>
    <row r="4" spans="1:30" ht="13.5" thickTop="1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3">
      <c r="A5" s="338"/>
      <c r="B5" s="33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40"/>
      <c r="P5" s="340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341"/>
    </row>
    <row r="6" spans="1:30" ht="13">
      <c r="A6" s="342"/>
      <c r="B6" s="343"/>
      <c r="C6" s="343"/>
      <c r="D6" s="343"/>
      <c r="E6" s="343"/>
      <c r="F6" s="343"/>
      <c r="G6" s="343"/>
      <c r="H6" s="343"/>
      <c r="I6" s="344" t="s">
        <v>393</v>
      </c>
      <c r="J6" s="343"/>
      <c r="K6" s="344" t="s">
        <v>393</v>
      </c>
      <c r="L6" s="343"/>
      <c r="M6" s="343"/>
      <c r="N6" s="343"/>
      <c r="O6" s="344" t="s">
        <v>394</v>
      </c>
      <c r="P6" s="344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  <c r="AB6" s="343"/>
      <c r="AC6" s="343"/>
      <c r="AD6" s="345"/>
    </row>
    <row r="7" spans="1:30" ht="13">
      <c r="A7" s="342"/>
      <c r="B7" s="343"/>
      <c r="C7" s="343"/>
      <c r="D7" s="343"/>
      <c r="E7" s="344"/>
      <c r="F7" s="343"/>
      <c r="G7" s="344" t="s">
        <v>395</v>
      </c>
      <c r="H7" s="343"/>
      <c r="I7" s="344" t="s">
        <v>396</v>
      </c>
      <c r="J7" s="343"/>
      <c r="K7" s="344" t="s">
        <v>396</v>
      </c>
      <c r="L7" s="343"/>
      <c r="M7" s="346" t="s">
        <v>397</v>
      </c>
      <c r="N7" s="346"/>
      <c r="O7" s="346" t="s">
        <v>398</v>
      </c>
      <c r="P7" s="346"/>
      <c r="Q7" s="344" t="s">
        <v>399</v>
      </c>
      <c r="R7" s="346" t="s">
        <v>400</v>
      </c>
      <c r="S7" s="343"/>
      <c r="T7" s="343"/>
      <c r="U7" s="343"/>
      <c r="V7" s="343"/>
      <c r="W7" s="343"/>
      <c r="X7" s="346"/>
      <c r="Y7" s="343"/>
      <c r="Z7" s="346" t="s">
        <v>130</v>
      </c>
      <c r="AA7" s="343"/>
      <c r="AB7" s="346" t="s">
        <v>130</v>
      </c>
      <c r="AC7" s="343"/>
      <c r="AD7" s="347" t="s">
        <v>401</v>
      </c>
    </row>
    <row r="8" spans="1:30" ht="13">
      <c r="A8" s="348" t="s">
        <v>402</v>
      </c>
      <c r="B8" s="343"/>
      <c r="C8" s="343"/>
      <c r="D8" s="343"/>
      <c r="E8" s="344" t="s">
        <v>403</v>
      </c>
      <c r="F8" s="343"/>
      <c r="G8" s="346" t="s">
        <v>404</v>
      </c>
      <c r="H8" s="343"/>
      <c r="I8" s="344" t="s">
        <v>227</v>
      </c>
      <c r="J8" s="343"/>
      <c r="K8" s="344" t="s">
        <v>405</v>
      </c>
      <c r="L8" s="343"/>
      <c r="M8" s="346" t="s">
        <v>406</v>
      </c>
      <c r="N8" s="346"/>
      <c r="O8" s="346" t="s">
        <v>407</v>
      </c>
      <c r="P8" s="346"/>
      <c r="Q8" s="344" t="s">
        <v>408</v>
      </c>
      <c r="R8" s="346" t="s">
        <v>409</v>
      </c>
      <c r="S8" s="343"/>
      <c r="T8" s="346" t="s">
        <v>410</v>
      </c>
      <c r="U8" s="346"/>
      <c r="V8" s="346" t="s">
        <v>411</v>
      </c>
      <c r="W8" s="343"/>
      <c r="X8" s="346" t="s">
        <v>382</v>
      </c>
      <c r="Y8" s="343"/>
      <c r="Z8" s="346" t="s">
        <v>412</v>
      </c>
      <c r="AA8" s="343"/>
      <c r="AB8" s="344" t="s">
        <v>413</v>
      </c>
      <c r="AC8" s="343"/>
      <c r="AD8" s="347" t="s">
        <v>414</v>
      </c>
    </row>
    <row r="9" spans="1:30" ht="13.5" thickBot="1">
      <c r="A9" s="349" t="s">
        <v>415</v>
      </c>
      <c r="B9" s="350"/>
      <c r="C9" s="351" t="s">
        <v>416</v>
      </c>
      <c r="D9" s="350"/>
      <c r="E9" s="352" t="s">
        <v>417</v>
      </c>
      <c r="F9" s="350"/>
      <c r="G9" s="351" t="s">
        <v>418</v>
      </c>
      <c r="H9" s="350"/>
      <c r="I9" s="352" t="s">
        <v>415</v>
      </c>
      <c r="J9" s="350"/>
      <c r="K9" s="352" t="s">
        <v>415</v>
      </c>
      <c r="L9" s="350"/>
      <c r="M9" s="351" t="s">
        <v>419</v>
      </c>
      <c r="N9" s="351"/>
      <c r="O9" s="351" t="s">
        <v>420</v>
      </c>
      <c r="P9" s="351"/>
      <c r="Q9" s="352" t="s">
        <v>421</v>
      </c>
      <c r="R9" s="351" t="s">
        <v>422</v>
      </c>
      <c r="S9" s="350"/>
      <c r="T9" s="351" t="s">
        <v>412</v>
      </c>
      <c r="U9" s="351"/>
      <c r="V9" s="351" t="s">
        <v>423</v>
      </c>
      <c r="W9" s="350"/>
      <c r="X9" s="351" t="s">
        <v>412</v>
      </c>
      <c r="Y9" s="350"/>
      <c r="Z9" s="351" t="s">
        <v>424</v>
      </c>
      <c r="AA9" s="350"/>
      <c r="AB9" s="352" t="s">
        <v>425</v>
      </c>
      <c r="AC9" s="350"/>
      <c r="AD9" s="353" t="s">
        <v>422</v>
      </c>
    </row>
    <row r="10" spans="1:30">
      <c r="A10" s="31"/>
      <c r="AD10" s="28"/>
    </row>
    <row r="11" spans="1:30" ht="13">
      <c r="A11" s="148" t="s">
        <v>426</v>
      </c>
      <c r="B11" s="53"/>
      <c r="C11" s="372" t="s">
        <v>427</v>
      </c>
      <c r="D11" s="54"/>
      <c r="E11" s="25">
        <f>12730.06+10269.39</f>
        <v>22999.449999999997</v>
      </c>
      <c r="F11" s="54"/>
      <c r="G11" s="25">
        <v>12730.06</v>
      </c>
      <c r="H11" s="55"/>
      <c r="I11" s="388" t="s">
        <v>428</v>
      </c>
      <c r="J11" s="56"/>
      <c r="K11" s="390">
        <v>39508</v>
      </c>
      <c r="L11" s="55"/>
      <c r="M11" s="55">
        <f>5*12</f>
        <v>60</v>
      </c>
      <c r="N11" s="55"/>
      <c r="O11" s="55">
        <f>M11-Q11</f>
        <v>48</v>
      </c>
      <c r="P11" s="55"/>
      <c r="Q11" s="211">
        <v>12</v>
      </c>
      <c r="R11" s="211">
        <v>0</v>
      </c>
      <c r="S11" s="211">
        <v>0</v>
      </c>
      <c r="T11" s="211">
        <v>-2152.9499999999998</v>
      </c>
      <c r="U11" s="189"/>
      <c r="V11" s="211">
        <v>12730.06</v>
      </c>
      <c r="W11" s="55"/>
      <c r="X11" s="182">
        <f>'Awning  Amort'!B8</f>
        <v>269.53451711019983</v>
      </c>
      <c r="Y11" s="57"/>
      <c r="Z11" s="40">
        <f>X11*AA38</f>
        <v>3234.4142053223977</v>
      </c>
      <c r="AA11" s="57"/>
      <c r="AB11" s="40">
        <f>'Awning  Amort'!E23</f>
        <v>980.20410094720751</v>
      </c>
      <c r="AC11" s="40"/>
      <c r="AD11" s="58">
        <f>+R11+T11+V11-Z11+AB11</f>
        <v>8322.8998956248106</v>
      </c>
    </row>
    <row r="12" spans="1:30">
      <c r="A12" s="52"/>
      <c r="B12" s="53"/>
      <c r="C12" s="385" t="s">
        <v>429</v>
      </c>
      <c r="D12" s="54"/>
      <c r="E12" s="54"/>
      <c r="F12" s="54"/>
      <c r="G12" s="25"/>
      <c r="H12" s="55"/>
      <c r="I12" s="149"/>
      <c r="J12" s="55"/>
      <c r="K12" s="55"/>
      <c r="L12" s="55"/>
      <c r="M12" s="55"/>
      <c r="N12" s="55"/>
      <c r="O12" s="55"/>
      <c r="P12" s="55"/>
      <c r="Q12" s="55"/>
      <c r="R12" s="40"/>
      <c r="S12" s="55"/>
      <c r="T12" s="40"/>
      <c r="U12" s="55"/>
      <c r="V12" s="40"/>
      <c r="W12" s="55"/>
      <c r="X12" s="25"/>
      <c r="Y12" s="57"/>
      <c r="Z12" s="57"/>
      <c r="AA12" s="57"/>
      <c r="AB12" s="40"/>
      <c r="AC12" s="40"/>
      <c r="AD12" s="58"/>
    </row>
    <row r="13" spans="1:30" ht="6" customHeight="1">
      <c r="A13" s="60"/>
      <c r="B13" s="61"/>
      <c r="C13" s="62"/>
      <c r="D13" s="63"/>
      <c r="E13" s="63"/>
      <c r="F13" s="63"/>
      <c r="G13" s="64"/>
      <c r="H13" s="65"/>
      <c r="I13" s="150"/>
      <c r="J13" s="65"/>
      <c r="K13" s="70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6"/>
      <c r="W13" s="65"/>
      <c r="X13" s="64"/>
      <c r="Y13" s="67"/>
      <c r="Z13" s="67"/>
      <c r="AA13" s="67"/>
      <c r="AB13" s="66"/>
      <c r="AC13" s="66"/>
      <c r="AD13" s="68"/>
    </row>
    <row r="14" spans="1:30" ht="39.75" customHeight="1">
      <c r="A14" s="190" t="s">
        <v>426</v>
      </c>
      <c r="B14" s="191"/>
      <c r="C14" s="192" t="s">
        <v>430</v>
      </c>
      <c r="D14" s="198"/>
      <c r="E14" s="193"/>
      <c r="F14" s="198"/>
      <c r="G14" s="200">
        <v>10269.39</v>
      </c>
      <c r="H14" s="194"/>
      <c r="I14" s="391" t="s">
        <v>428</v>
      </c>
      <c r="J14" s="194"/>
      <c r="K14" s="389">
        <v>39508</v>
      </c>
      <c r="L14" s="194"/>
      <c r="M14" s="195">
        <v>12</v>
      </c>
      <c r="N14" s="194"/>
      <c r="O14" s="193">
        <v>0</v>
      </c>
      <c r="P14" s="194"/>
      <c r="Q14" s="193">
        <v>12</v>
      </c>
      <c r="R14" s="193">
        <v>0</v>
      </c>
      <c r="S14" s="193">
        <v>0</v>
      </c>
      <c r="T14" s="193">
        <v>-11158.47</v>
      </c>
      <c r="U14" s="191"/>
      <c r="V14" s="193">
        <v>10269.39</v>
      </c>
      <c r="W14" s="194"/>
      <c r="X14" s="193">
        <v>0</v>
      </c>
      <c r="Y14" s="199"/>
      <c r="Z14" s="193">
        <f>T14+G14</f>
        <v>-889.07999999999993</v>
      </c>
      <c r="AA14" s="199"/>
      <c r="AB14" s="193">
        <v>0</v>
      </c>
      <c r="AC14" s="125"/>
      <c r="AD14" s="196">
        <f>+R14+T14+V14-Z14+AB14</f>
        <v>0</v>
      </c>
    </row>
    <row r="15" spans="1:30" ht="6" customHeight="1">
      <c r="A15" s="52"/>
      <c r="B15" s="53"/>
      <c r="C15" s="59"/>
      <c r="D15" s="54"/>
      <c r="E15" s="54"/>
      <c r="F15" s="54"/>
      <c r="G15" s="25"/>
      <c r="H15" s="55"/>
      <c r="I15" s="149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40"/>
      <c r="W15" s="55"/>
      <c r="X15" s="25"/>
      <c r="Y15" s="57"/>
      <c r="Z15" s="57"/>
      <c r="AA15" s="57"/>
      <c r="AB15" s="40"/>
      <c r="AC15" s="40"/>
      <c r="AD15" s="197"/>
    </row>
    <row r="16" spans="1:30" ht="29.25" customHeight="1">
      <c r="A16" s="290" t="s">
        <v>426</v>
      </c>
      <c r="B16" s="374"/>
      <c r="C16" s="375" t="s">
        <v>431</v>
      </c>
      <c r="D16" s="291"/>
      <c r="E16" s="376">
        <f>47513.22+38792.52</f>
        <v>86305.739999999991</v>
      </c>
      <c r="F16" s="291"/>
      <c r="G16" s="376">
        <f>47513.22+256.49</f>
        <v>47769.71</v>
      </c>
      <c r="H16" s="292"/>
      <c r="I16" s="294" t="s">
        <v>428</v>
      </c>
      <c r="J16" s="294"/>
      <c r="K16" s="390">
        <v>39387</v>
      </c>
      <c r="L16" s="292"/>
      <c r="M16" s="292">
        <f>12*3</f>
        <v>36</v>
      </c>
      <c r="N16" s="292"/>
      <c r="O16" s="292">
        <f>M16-Q16</f>
        <v>24</v>
      </c>
      <c r="P16" s="292"/>
      <c r="Q16" s="211">
        <v>12</v>
      </c>
      <c r="R16" s="211">
        <v>0</v>
      </c>
      <c r="S16" s="211">
        <v>0</v>
      </c>
      <c r="T16" s="211">
        <v>-13911.13</v>
      </c>
      <c r="U16" s="189"/>
      <c r="V16" s="211">
        <f>86305.74-38536.03</f>
        <v>47769.710000000006</v>
      </c>
      <c r="W16" s="292"/>
      <c r="X16" s="377">
        <f>'Prkg Lot Amort'!B8</f>
        <v>1566.3114131825082</v>
      </c>
      <c r="Y16" s="378"/>
      <c r="Z16" s="211">
        <f>X16*AA38</f>
        <v>18795.7369581901</v>
      </c>
      <c r="AA16" s="378"/>
      <c r="AB16" s="379">
        <f>'Prkg Lot Amort'!E23</f>
        <v>2729.6393428972424</v>
      </c>
      <c r="AC16" s="379"/>
      <c r="AD16" s="293">
        <f>+R16+T16+V16-Z16+AB16</f>
        <v>17792.482384707153</v>
      </c>
    </row>
    <row r="17" spans="1:30">
      <c r="A17" s="52"/>
      <c r="B17" s="11"/>
      <c r="C17" s="385" t="s">
        <v>432</v>
      </c>
      <c r="D17" s="54"/>
      <c r="E17" s="54"/>
      <c r="F17" s="54"/>
      <c r="G17" s="2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40"/>
      <c r="S17" s="55"/>
      <c r="T17" s="40"/>
      <c r="U17" s="55"/>
      <c r="V17" s="40"/>
      <c r="W17" s="55"/>
      <c r="X17" s="25"/>
      <c r="Y17" s="57"/>
      <c r="Z17" s="57"/>
      <c r="AA17" s="57"/>
      <c r="AB17" s="40"/>
      <c r="AC17" s="40"/>
      <c r="AD17" s="58"/>
    </row>
    <row r="18" spans="1:30" ht="5.25" customHeight="1">
      <c r="A18" s="69"/>
      <c r="B18" s="70"/>
      <c r="C18" s="70"/>
      <c r="D18" s="70"/>
      <c r="E18" s="70"/>
      <c r="F18" s="70"/>
      <c r="G18" s="71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1"/>
      <c r="W18" s="70"/>
      <c r="X18" s="70"/>
      <c r="Y18" s="70"/>
      <c r="Z18" s="70"/>
      <c r="AA18" s="70"/>
      <c r="AB18" s="71"/>
      <c r="AC18" s="71"/>
      <c r="AD18" s="72"/>
    </row>
    <row r="19" spans="1:30" s="153" customFormat="1" ht="43.5" customHeight="1">
      <c r="A19" s="190" t="s">
        <v>426</v>
      </c>
      <c r="B19" s="191"/>
      <c r="C19" s="192" t="s">
        <v>433</v>
      </c>
      <c r="D19" s="191"/>
      <c r="E19" s="193"/>
      <c r="F19" s="193"/>
      <c r="G19" s="193">
        <f>38792.52-256.49</f>
        <v>38536.03</v>
      </c>
      <c r="H19" s="191"/>
      <c r="I19" s="294" t="s">
        <v>428</v>
      </c>
      <c r="J19" s="191"/>
      <c r="K19" s="389">
        <v>39387</v>
      </c>
      <c r="L19" s="191"/>
      <c r="M19" s="195">
        <v>12</v>
      </c>
      <c r="N19" s="191"/>
      <c r="O19" s="193">
        <v>0</v>
      </c>
      <c r="P19" s="193"/>
      <c r="Q19" s="193">
        <v>12</v>
      </c>
      <c r="R19" s="193">
        <v>0</v>
      </c>
      <c r="S19" s="193">
        <v>0</v>
      </c>
      <c r="T19" s="193">
        <v>-38792.519999999997</v>
      </c>
      <c r="U19" s="191"/>
      <c r="V19" s="193">
        <f>38792.52-256.49</f>
        <v>38536.03</v>
      </c>
      <c r="W19" s="191"/>
      <c r="X19" s="193">
        <v>0</v>
      </c>
      <c r="Y19" s="191"/>
      <c r="Z19" s="193">
        <f>T19+G19</f>
        <v>-256.48999999999796</v>
      </c>
      <c r="AA19" s="191"/>
      <c r="AB19" s="193">
        <v>0</v>
      </c>
      <c r="AC19" s="193"/>
      <c r="AD19" s="196">
        <f>+R19+T19+V19-Z19+AB19</f>
        <v>0</v>
      </c>
    </row>
    <row r="20" spans="1:30" s="153" customFormat="1" ht="49.5" customHeight="1">
      <c r="A20" s="295" t="s">
        <v>426</v>
      </c>
      <c r="B20" s="296"/>
      <c r="C20" s="297" t="s">
        <v>434</v>
      </c>
      <c r="D20" s="296"/>
      <c r="E20" s="298">
        <v>100000.12</v>
      </c>
      <c r="F20" s="298"/>
      <c r="G20" s="298">
        <f>100000.12-G21</f>
        <v>55349.52</v>
      </c>
      <c r="H20" s="296"/>
      <c r="I20" s="299" t="s">
        <v>428</v>
      </c>
      <c r="J20" s="296"/>
      <c r="K20" s="389">
        <v>39387</v>
      </c>
      <c r="L20" s="296"/>
      <c r="M20" s="301">
        <v>60</v>
      </c>
      <c r="N20" s="296"/>
      <c r="O20" s="298">
        <f>M20-Q20</f>
        <v>48</v>
      </c>
      <c r="P20" s="298"/>
      <c r="Q20" s="298">
        <v>12</v>
      </c>
      <c r="R20" s="298">
        <v>0</v>
      </c>
      <c r="S20" s="298">
        <v>0</v>
      </c>
      <c r="T20" s="298">
        <v>-8787.9699999999993</v>
      </c>
      <c r="U20" s="296"/>
      <c r="V20" s="298">
        <f>100000.12-44650.6</f>
        <v>55349.52</v>
      </c>
      <c r="W20" s="296"/>
      <c r="X20" s="302">
        <f>Building!B8</f>
        <v>1186.5192756010315</v>
      </c>
      <c r="Y20" s="296"/>
      <c r="Z20" s="298">
        <f>X20*AA38</f>
        <v>14238.231307212378</v>
      </c>
      <c r="AA20" s="296"/>
      <c r="AB20" s="298">
        <f>Building!E23</f>
        <v>4314.9614834731256</v>
      </c>
      <c r="AC20" s="298"/>
      <c r="AD20" s="303">
        <f>+R20+T20+V20-Z20+AB20</f>
        <v>36638.280176260741</v>
      </c>
    </row>
    <row r="21" spans="1:30" s="153" customFormat="1" ht="39" customHeight="1">
      <c r="A21" s="295" t="s">
        <v>426</v>
      </c>
      <c r="B21" s="296"/>
      <c r="C21" s="297" t="s">
        <v>435</v>
      </c>
      <c r="D21" s="296"/>
      <c r="E21" s="298"/>
      <c r="F21" s="298"/>
      <c r="G21" s="298">
        <v>44650.6</v>
      </c>
      <c r="H21" s="296"/>
      <c r="I21" s="299" t="s">
        <v>428</v>
      </c>
      <c r="J21" s="296"/>
      <c r="K21" s="389">
        <v>39387</v>
      </c>
      <c r="L21" s="296"/>
      <c r="M21" s="301">
        <v>12</v>
      </c>
      <c r="N21" s="296"/>
      <c r="O21" s="298">
        <v>0</v>
      </c>
      <c r="P21" s="298"/>
      <c r="Q21" s="298">
        <v>12</v>
      </c>
      <c r="R21" s="298">
        <v>0</v>
      </c>
      <c r="S21" s="298"/>
      <c r="T21" s="298">
        <v>-45546.63</v>
      </c>
      <c r="U21" s="296"/>
      <c r="V21" s="298">
        <v>44650.6</v>
      </c>
      <c r="W21" s="296"/>
      <c r="X21" s="193">
        <v>0</v>
      </c>
      <c r="Y21" s="296"/>
      <c r="Z21" s="193">
        <f>T21+G21</f>
        <v>-896.02999999999884</v>
      </c>
      <c r="AA21" s="296"/>
      <c r="AB21" s="298">
        <v>0</v>
      </c>
      <c r="AC21" s="298"/>
      <c r="AD21" s="303">
        <f>+R21+T21+V21-Z21+AB21</f>
        <v>0</v>
      </c>
    </row>
    <row r="22" spans="1:30" s="153" customFormat="1" ht="39" customHeight="1">
      <c r="A22" s="295" t="s">
        <v>436</v>
      </c>
      <c r="B22" s="296"/>
      <c r="C22" s="373" t="s">
        <v>437</v>
      </c>
      <c r="D22" s="296"/>
      <c r="E22" s="298">
        <v>23633</v>
      </c>
      <c r="F22" s="298"/>
      <c r="G22" s="298">
        <f>E22</f>
        <v>23633</v>
      </c>
      <c r="H22" s="296"/>
      <c r="I22" s="299">
        <v>39270</v>
      </c>
      <c r="J22" s="296"/>
      <c r="K22" s="300" t="s">
        <v>438</v>
      </c>
      <c r="L22" s="296"/>
      <c r="M22" s="301">
        <v>12</v>
      </c>
      <c r="N22" s="296"/>
      <c r="O22" s="298">
        <f>M22-Q22</f>
        <v>12</v>
      </c>
      <c r="P22" s="298"/>
      <c r="Q22" s="298">
        <v>0</v>
      </c>
      <c r="R22" s="298">
        <v>0</v>
      </c>
      <c r="S22" s="298"/>
      <c r="T22" s="298">
        <v>0</v>
      </c>
      <c r="U22" s="296"/>
      <c r="V22" s="298">
        <v>0</v>
      </c>
      <c r="W22" s="296"/>
      <c r="X22" s="302">
        <f>G22/12</f>
        <v>1969.4166666666667</v>
      </c>
      <c r="Y22" s="296"/>
      <c r="Z22" s="298">
        <f>X22*AA38</f>
        <v>23633</v>
      </c>
      <c r="AA22" s="296"/>
      <c r="AB22" s="298">
        <v>0</v>
      </c>
      <c r="AC22" s="298"/>
      <c r="AD22" s="303">
        <f>+R22+T22+V22-Z22+AB22</f>
        <v>-23633</v>
      </c>
    </row>
    <row r="23" spans="1:30" ht="5.25" customHeight="1">
      <c r="A23" s="84"/>
      <c r="B23" s="9"/>
      <c r="C23" s="9"/>
      <c r="D23" s="9"/>
      <c r="E23" s="9"/>
      <c r="F23" s="9"/>
      <c r="G23" s="1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8"/>
      <c r="W23" s="9"/>
      <c r="X23" s="9"/>
      <c r="Y23" s="9"/>
      <c r="Z23" s="9"/>
      <c r="AA23" s="9"/>
      <c r="AB23" s="18"/>
      <c r="AC23" s="18"/>
      <c r="AD23" s="87"/>
    </row>
    <row r="24" spans="1:30" ht="13">
      <c r="A24" s="73"/>
      <c r="B24" s="13"/>
      <c r="C24" s="74" t="s">
        <v>331</v>
      </c>
      <c r="D24" s="13"/>
      <c r="E24" s="75">
        <f>SUM(E11:E23)</f>
        <v>232938.31</v>
      </c>
      <c r="F24" s="75">
        <f>SUM(F11:F23)</f>
        <v>0</v>
      </c>
      <c r="G24" s="75">
        <f>SUM(G11:G23)</f>
        <v>232938.31</v>
      </c>
      <c r="H24" s="13"/>
      <c r="I24" s="13"/>
      <c r="J24" s="13"/>
      <c r="K24" s="13"/>
      <c r="L24" s="13"/>
      <c r="M24" s="13"/>
      <c r="N24" s="13"/>
      <c r="O24" s="13"/>
      <c r="P24" s="13"/>
      <c r="Q24" s="75"/>
      <c r="R24" s="75">
        <f>SUM(R11:R22)</f>
        <v>0</v>
      </c>
      <c r="S24" s="75"/>
      <c r="T24" s="75">
        <f>SUM(T11:T22)</f>
        <v>-120349.66999999998</v>
      </c>
      <c r="U24" s="75"/>
      <c r="V24" s="75">
        <f>SUM(V11:V22)</f>
        <v>209305.31</v>
      </c>
      <c r="W24" s="13"/>
      <c r="X24" s="184">
        <f>SUM(X11:X23)</f>
        <v>4991.7818725604066</v>
      </c>
      <c r="Y24" s="75"/>
      <c r="Z24" s="75">
        <f>SUM(Z11:Z23)</f>
        <v>57859.78247072488</v>
      </c>
      <c r="AA24" s="75"/>
      <c r="AB24" s="75">
        <f>SUM(AB11:AB23)</f>
        <v>8024.8049273175757</v>
      </c>
      <c r="AC24" s="75"/>
      <c r="AD24" s="140">
        <f>SUM(AD11:AD23)</f>
        <v>39120.662456592705</v>
      </c>
    </row>
    <row r="25" spans="1:30" ht="7.5" customHeight="1" thickBot="1">
      <c r="A25" s="76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8"/>
      <c r="Y25" s="78"/>
      <c r="Z25" s="78"/>
      <c r="AA25" s="78"/>
      <c r="AB25" s="78"/>
      <c r="AC25" s="78"/>
      <c r="AD25" s="201"/>
    </row>
    <row r="26" spans="1:30" ht="15" customHeight="1" thickBo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8"/>
      <c r="Y26" s="18"/>
      <c r="Z26" s="18"/>
      <c r="AA26" s="18"/>
      <c r="AB26" s="18"/>
      <c r="AC26" s="18"/>
      <c r="AD26" s="18"/>
    </row>
    <row r="27" spans="1:30" ht="16.5" customHeight="1">
      <c r="A27" s="9"/>
      <c r="B27" s="9"/>
      <c r="C27" s="54"/>
      <c r="D27" s="9"/>
      <c r="E27" s="9"/>
      <c r="F27" s="9"/>
      <c r="G27" s="9"/>
      <c r="H27" s="9"/>
      <c r="I27" s="9"/>
      <c r="J27" s="9"/>
      <c r="K27" s="360"/>
      <c r="L27" s="9"/>
      <c r="M27" s="9"/>
      <c r="N27" s="9"/>
      <c r="O27" s="18"/>
      <c r="P27" s="9"/>
      <c r="Q27" s="9"/>
      <c r="R27" s="79"/>
      <c r="S27" s="80"/>
      <c r="T27" s="80"/>
      <c r="U27" s="80"/>
      <c r="V27" s="80"/>
      <c r="W27" s="80"/>
      <c r="X27" s="202" t="s">
        <v>382</v>
      </c>
      <c r="Y27" s="81"/>
      <c r="Z27" s="203" t="s">
        <v>130</v>
      </c>
      <c r="AA27" s="81"/>
      <c r="AB27" s="203" t="s">
        <v>130</v>
      </c>
      <c r="AC27" s="81"/>
      <c r="AD27" s="204" t="s">
        <v>312</v>
      </c>
    </row>
    <row r="28" spans="1:30" ht="12" customHeight="1" thickBot="1">
      <c r="A28" s="9"/>
      <c r="B28" s="9"/>
      <c r="C28" s="9"/>
      <c r="D28" s="9"/>
      <c r="E28" s="9"/>
      <c r="F28" s="9"/>
      <c r="G28" s="360"/>
      <c r="H28" s="9"/>
      <c r="I28" s="9"/>
      <c r="J28" s="9"/>
      <c r="K28" s="360"/>
      <c r="L28" s="9"/>
      <c r="M28" s="9"/>
      <c r="N28" s="9"/>
      <c r="O28" s="9"/>
      <c r="P28" s="9"/>
      <c r="Q28" s="9"/>
      <c r="R28" s="1240" t="s">
        <v>439</v>
      </c>
      <c r="S28" s="1241"/>
      <c r="T28" s="1241"/>
      <c r="U28" s="1241"/>
      <c r="V28" s="1241"/>
      <c r="W28" s="82"/>
      <c r="X28" s="205" t="s">
        <v>408</v>
      </c>
      <c r="Y28" s="83"/>
      <c r="Z28" s="205" t="s">
        <v>408</v>
      </c>
      <c r="AA28" s="83"/>
      <c r="AB28" s="205" t="s">
        <v>425</v>
      </c>
      <c r="AC28" s="83"/>
      <c r="AD28" s="206" t="s">
        <v>408</v>
      </c>
    </row>
    <row r="29" spans="1:30" ht="6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84"/>
      <c r="S29" s="9"/>
      <c r="T29" s="9"/>
      <c r="U29" s="9"/>
      <c r="V29" s="9"/>
      <c r="W29" s="9"/>
      <c r="X29" s="207"/>
      <c r="Y29" s="18"/>
      <c r="Z29" s="18"/>
      <c r="AA29" s="18"/>
      <c r="AB29" s="207"/>
      <c r="AC29" s="18"/>
      <c r="AD29" s="208"/>
    </row>
    <row r="30" spans="1:30">
      <c r="A30" s="9"/>
      <c r="B30" s="9"/>
      <c r="D30" s="9"/>
      <c r="E30" s="9"/>
      <c r="F30" s="9"/>
      <c r="G30" s="360"/>
      <c r="H30" s="9"/>
      <c r="K30" s="9"/>
      <c r="L30" s="9"/>
      <c r="M30" s="9"/>
      <c r="N30" s="9"/>
      <c r="O30" s="9"/>
      <c r="P30" s="9"/>
      <c r="Q30" s="9"/>
      <c r="R30" s="85" t="s">
        <v>440</v>
      </c>
      <c r="S30" s="9"/>
      <c r="T30" s="9"/>
      <c r="U30" s="9"/>
      <c r="V30" s="9"/>
      <c r="W30" s="9"/>
      <c r="X30" s="210">
        <f>X11+X16+X20+X22</f>
        <v>4991.7818725604066</v>
      </c>
      <c r="Y30" s="18"/>
      <c r="Z30" s="40">
        <f>Z11+Z16+Z20+Z22</f>
        <v>59901.382470724879</v>
      </c>
      <c r="AA30" s="18"/>
      <c r="AB30" s="40">
        <v>0</v>
      </c>
      <c r="AC30" s="18"/>
      <c r="AD30" s="86">
        <f>Z30-T11-T16-T20-T22</f>
        <v>84753.432470724874</v>
      </c>
    </row>
    <row r="31" spans="1:30">
      <c r="A31" s="9"/>
      <c r="B31" s="9"/>
      <c r="D31" s="9"/>
      <c r="E31" s="9"/>
      <c r="F31" s="9"/>
      <c r="G31" s="9"/>
      <c r="H31" s="9"/>
      <c r="K31" s="9"/>
      <c r="L31" s="9"/>
      <c r="M31" s="9"/>
      <c r="N31" s="9"/>
      <c r="O31" s="9"/>
      <c r="P31" s="9"/>
      <c r="Q31" s="9"/>
      <c r="R31" s="183" t="s">
        <v>441</v>
      </c>
      <c r="S31" s="9"/>
      <c r="T31" s="9"/>
      <c r="U31" s="9"/>
      <c r="V31" s="9"/>
      <c r="W31" s="9"/>
      <c r="X31" s="40">
        <v>0</v>
      </c>
      <c r="Y31" s="18"/>
      <c r="Z31" s="18">
        <v>0</v>
      </c>
      <c r="AA31" s="18"/>
      <c r="AB31" s="40">
        <f>AB11+AB16+AB20+AB22</f>
        <v>8024.8049273175757</v>
      </c>
      <c r="AC31" s="18"/>
      <c r="AD31" s="86">
        <f>+AB31</f>
        <v>8024.8049273175757</v>
      </c>
    </row>
    <row r="32" spans="1:30">
      <c r="A32" s="9"/>
      <c r="B32" s="9"/>
      <c r="D32" s="9"/>
      <c r="E32" s="9"/>
      <c r="F32" s="9"/>
      <c r="G32" s="360"/>
      <c r="H32" s="9"/>
      <c r="K32" s="9"/>
      <c r="L32" s="9"/>
      <c r="M32" s="9"/>
      <c r="N32" s="9"/>
      <c r="O32" s="9"/>
      <c r="P32" s="9"/>
      <c r="Q32" s="9"/>
      <c r="R32" s="85" t="s">
        <v>442</v>
      </c>
      <c r="S32" s="9"/>
      <c r="T32" s="9"/>
      <c r="U32" s="9"/>
      <c r="V32" s="18"/>
      <c r="W32" s="9"/>
      <c r="X32" s="40">
        <f>X14+X19+X21</f>
        <v>0</v>
      </c>
      <c r="Y32" s="18"/>
      <c r="Z32" s="40">
        <f>Z14+Z19+Z21</f>
        <v>-2041.5999999999967</v>
      </c>
      <c r="AA32" s="18"/>
      <c r="AB32" s="18">
        <v>0</v>
      </c>
      <c r="AC32" s="18"/>
      <c r="AD32" s="86">
        <f>Z32-T14-T19-T21</f>
        <v>93456.01999999999</v>
      </c>
    </row>
    <row r="33" spans="1:30">
      <c r="A33" s="9"/>
      <c r="B33" s="9"/>
      <c r="D33" s="9"/>
      <c r="E33" s="9"/>
      <c r="F33" s="9"/>
      <c r="G33" s="360"/>
      <c r="H33" s="9"/>
      <c r="K33" s="9"/>
      <c r="L33" s="9"/>
      <c r="M33" s="9"/>
      <c r="N33" s="9"/>
      <c r="O33" s="9"/>
      <c r="P33" s="9"/>
      <c r="Q33" s="9"/>
      <c r="R33" s="85"/>
      <c r="S33" s="9"/>
      <c r="T33" s="9"/>
      <c r="U33" s="9"/>
      <c r="V33" s="18"/>
      <c r="W33" s="9"/>
      <c r="X33" s="40"/>
      <c r="Y33" s="18"/>
      <c r="Z33" s="40"/>
      <c r="AA33" s="18"/>
      <c r="AB33" s="18"/>
      <c r="AC33" s="18"/>
      <c r="AD33" s="86"/>
    </row>
    <row r="34" spans="1:30" ht="6" customHeight="1">
      <c r="A34" s="9"/>
      <c r="B34" s="9"/>
      <c r="D34" s="9"/>
      <c r="E34" s="9"/>
      <c r="F34" s="9"/>
      <c r="G34" s="9"/>
      <c r="H34" s="9"/>
      <c r="K34" s="9"/>
      <c r="L34" s="9"/>
      <c r="M34" s="9"/>
      <c r="N34" s="9"/>
      <c r="O34" s="9"/>
      <c r="P34" s="9"/>
      <c r="Q34" s="9"/>
      <c r="R34" s="85"/>
      <c r="S34" s="9"/>
      <c r="T34" s="9"/>
      <c r="U34" s="9"/>
      <c r="V34" s="9"/>
      <c r="W34" s="9"/>
      <c r="X34" s="40"/>
      <c r="Y34" s="18"/>
      <c r="Z34" s="18"/>
      <c r="AA34" s="18"/>
      <c r="AB34" s="18"/>
      <c r="AC34" s="18"/>
      <c r="AD34" s="86"/>
    </row>
    <row r="35" spans="1:30" ht="13">
      <c r="A35" s="9"/>
      <c r="B35" s="9"/>
      <c r="D35" s="9"/>
      <c r="E35" s="9"/>
      <c r="F35" s="9"/>
      <c r="G35" s="9"/>
      <c r="H35" s="9"/>
      <c r="K35" s="9"/>
      <c r="L35" s="9"/>
      <c r="M35" s="9"/>
      <c r="N35" s="9"/>
      <c r="O35" s="9"/>
      <c r="P35" s="9"/>
      <c r="Q35" s="9"/>
      <c r="R35" s="88" t="s">
        <v>443</v>
      </c>
      <c r="S35" s="9"/>
      <c r="T35" s="9"/>
      <c r="U35" s="9"/>
      <c r="V35" s="9"/>
      <c r="W35" s="9"/>
      <c r="X35" s="184">
        <f>SUM(X30:X32)</f>
        <v>4991.7818725604066</v>
      </c>
      <c r="Y35" s="75">
        <f>SUM(Y30:Y32)</f>
        <v>0</v>
      </c>
      <c r="Z35" s="75">
        <f>SUM(Z30:Z32)</f>
        <v>57859.78247072488</v>
      </c>
      <c r="AA35" s="75"/>
      <c r="AB35" s="75">
        <f>SUM(AB30:AB32)</f>
        <v>8024.8049273175757</v>
      </c>
      <c r="AC35" s="75">
        <f>SUM(AC30:AC32)</f>
        <v>0</v>
      </c>
      <c r="AD35" s="209">
        <f>SUM(AD30:AD32)</f>
        <v>186234.25739804242</v>
      </c>
    </row>
    <row r="36" spans="1:30" s="3" customFormat="1" ht="8.25" customHeight="1" thickBot="1">
      <c r="A36" s="13"/>
      <c r="B36" s="13"/>
      <c r="C36" s="89"/>
      <c r="D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90"/>
      <c r="S36" s="91"/>
      <c r="T36" s="91"/>
      <c r="U36" s="91"/>
      <c r="V36" s="91"/>
      <c r="W36" s="91"/>
      <c r="X36" s="92"/>
      <c r="Y36" s="91"/>
      <c r="Z36" s="91"/>
      <c r="AA36" s="91"/>
      <c r="AB36" s="92"/>
      <c r="AC36" s="92"/>
      <c r="AD36" s="93"/>
    </row>
    <row r="37" spans="1:30" ht="13">
      <c r="A37" s="9"/>
      <c r="B37" s="9"/>
      <c r="C37" s="11"/>
      <c r="D37" s="9"/>
      <c r="E37" s="13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8"/>
      <c r="Y37" s="9"/>
      <c r="Z37" s="9"/>
      <c r="AA37" s="9"/>
      <c r="AB37" s="9"/>
      <c r="AC37" s="9"/>
      <c r="AD37" s="9"/>
    </row>
    <row r="38" spans="1:30">
      <c r="D38" s="9"/>
      <c r="E38" s="20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4"/>
      <c r="Y38" s="185">
        <v>1</v>
      </c>
      <c r="Z38" s="185"/>
      <c r="AA38" s="143">
        <v>12</v>
      </c>
      <c r="AB38" s="16" t="s">
        <v>444</v>
      </c>
      <c r="AC38" s="9"/>
      <c r="AD38" s="9"/>
    </row>
    <row r="39" spans="1:30">
      <c r="B39" s="26"/>
      <c r="C39" s="9"/>
    </row>
    <row r="40" spans="1:30" ht="13">
      <c r="E40" s="24"/>
      <c r="H40" s="30"/>
      <c r="I40" s="30"/>
      <c r="J40" s="1229" t="s">
        <v>445</v>
      </c>
      <c r="K40" s="1230"/>
      <c r="L40" s="1230"/>
      <c r="M40" s="1230"/>
      <c r="N40" s="1230"/>
      <c r="O40" s="1230"/>
      <c r="P40" s="1230"/>
      <c r="Q40" s="1230"/>
      <c r="R40" s="1230"/>
      <c r="S40" s="1230"/>
      <c r="T40" s="1230"/>
      <c r="U40" s="1230"/>
      <c r="V40" s="1230"/>
      <c r="W40" s="1230"/>
      <c r="X40" s="1230"/>
      <c r="Y40" s="1230"/>
      <c r="Z40" s="1230"/>
      <c r="AA40" s="1230"/>
      <c r="AB40" s="1230"/>
      <c r="AC40" s="1230"/>
      <c r="AD40" s="1231"/>
    </row>
    <row r="41" spans="1:30">
      <c r="E41" s="24"/>
      <c r="J41" s="32"/>
      <c r="Q41" s="1"/>
      <c r="R41" s="1"/>
      <c r="T41" s="1" t="s">
        <v>54</v>
      </c>
      <c r="V41" s="1" t="s">
        <v>446</v>
      </c>
      <c r="X41" s="1" t="s">
        <v>446</v>
      </c>
      <c r="Z41" s="1" t="s">
        <v>446</v>
      </c>
      <c r="AB41" s="1" t="s">
        <v>446</v>
      </c>
      <c r="AD41" s="95" t="s">
        <v>147</v>
      </c>
    </row>
    <row r="42" spans="1:30">
      <c r="E42" s="24"/>
      <c r="J42" s="96"/>
      <c r="K42" s="6"/>
      <c r="L42" s="6"/>
      <c r="M42" s="6"/>
      <c r="N42" s="6"/>
      <c r="O42" s="6"/>
      <c r="P42" s="6"/>
      <c r="Q42" s="2" t="s">
        <v>382</v>
      </c>
      <c r="R42" s="2" t="s">
        <v>425</v>
      </c>
      <c r="S42" s="6"/>
      <c r="T42" s="97" t="s">
        <v>447</v>
      </c>
      <c r="U42" s="6"/>
      <c r="V42" s="97" t="s">
        <v>448</v>
      </c>
      <c r="W42" s="6"/>
      <c r="X42" s="97" t="s">
        <v>449</v>
      </c>
      <c r="Y42" s="6"/>
      <c r="Z42" s="97" t="s">
        <v>450</v>
      </c>
      <c r="AA42" s="6"/>
      <c r="AB42" s="97" t="s">
        <v>451</v>
      </c>
      <c r="AC42" s="6"/>
      <c r="AD42" s="98"/>
    </row>
    <row r="44" spans="1:30" ht="13" hidden="1">
      <c r="E44" s="23"/>
      <c r="J44" s="8" t="s">
        <v>452</v>
      </c>
    </row>
    <row r="45" spans="1:30" hidden="1">
      <c r="K45" s="16" t="s">
        <v>453</v>
      </c>
      <c r="R45" s="23"/>
      <c r="T45" s="23"/>
      <c r="AB45" s="23"/>
      <c r="AC45" s="23"/>
    </row>
    <row r="46" spans="1:30" hidden="1">
      <c r="K46" s="16" t="s">
        <v>454</v>
      </c>
      <c r="R46" s="23"/>
      <c r="T46" s="23"/>
      <c r="AB46" s="23"/>
      <c r="AC46" s="23"/>
    </row>
    <row r="47" spans="1:30" hidden="1">
      <c r="K47" s="16" t="s">
        <v>455</v>
      </c>
      <c r="R47" s="23"/>
      <c r="T47" s="23"/>
      <c r="AB47" s="23"/>
      <c r="AC47" s="23"/>
    </row>
    <row r="49" spans="10:30" s="3" customFormat="1" ht="13" hidden="1">
      <c r="J49" s="13"/>
      <c r="L49" s="13"/>
      <c r="M49" s="89" t="s">
        <v>456</v>
      </c>
      <c r="P49" s="13"/>
      <c r="Q49" s="13"/>
      <c r="R49" s="99">
        <f>SUM(R45:R47)</f>
        <v>0</v>
      </c>
      <c r="T49" s="99">
        <f>SUM(T45:T47)</f>
        <v>0</v>
      </c>
      <c r="U49" s="13"/>
      <c r="V49" s="13"/>
      <c r="W49" s="13"/>
      <c r="X49" s="13"/>
      <c r="Y49" s="13"/>
      <c r="Z49" s="13"/>
      <c r="AA49" s="13"/>
      <c r="AB49" s="99"/>
      <c r="AC49" s="13"/>
    </row>
    <row r="50" spans="10:30">
      <c r="AB50" s="23"/>
      <c r="AC50" s="23"/>
    </row>
    <row r="51" spans="10:30" ht="13">
      <c r="J51" s="100" t="s">
        <v>457</v>
      </c>
    </row>
    <row r="52" spans="10:30">
      <c r="K52" s="11" t="s">
        <v>440</v>
      </c>
      <c r="Q52" s="164">
        <f>+X11</f>
        <v>269.53451711019983</v>
      </c>
      <c r="R52" s="23">
        <f>-'Awning  Amort'!C60</f>
        <v>-2360.5468212895935</v>
      </c>
      <c r="S52" s="24"/>
      <c r="T52" s="23">
        <f>Q52*12</f>
        <v>3234.4142053223977</v>
      </c>
      <c r="U52" s="24"/>
      <c r="V52" s="23">
        <f>Q52*12</f>
        <v>3234.4142053223977</v>
      </c>
      <c r="W52" s="24"/>
      <c r="X52" s="24">
        <f>V52</f>
        <v>3234.4142053223977</v>
      </c>
      <c r="Y52" s="24"/>
      <c r="Z52" s="24">
        <f>+Q52*12</f>
        <v>3234.4142053223977</v>
      </c>
      <c r="AA52" s="24"/>
      <c r="AB52" s="23">
        <f>+Q52*12</f>
        <v>3234.4142053223977</v>
      </c>
      <c r="AC52" s="24"/>
      <c r="AD52" s="24">
        <f>SUM(R52:AB52)</f>
        <v>13811.524205322396</v>
      </c>
    </row>
    <row r="53" spans="10:30">
      <c r="K53" s="11" t="s">
        <v>458</v>
      </c>
      <c r="Q53" s="24">
        <v>855.78</v>
      </c>
      <c r="R53" s="24"/>
      <c r="S53" s="24"/>
      <c r="T53" s="24">
        <f>+Q53*12+0.03</f>
        <v>10269.390000000001</v>
      </c>
      <c r="U53" s="24"/>
      <c r="V53" s="23"/>
      <c r="W53" s="24"/>
      <c r="X53" s="23"/>
      <c r="Y53" s="24"/>
      <c r="Z53" s="24"/>
      <c r="AA53" s="24"/>
      <c r="AB53" s="23"/>
      <c r="AC53" s="24"/>
      <c r="AD53" s="24">
        <f>SUM(R53:AB53)</f>
        <v>10269.390000000001</v>
      </c>
    </row>
    <row r="54" spans="10:30" ht="13">
      <c r="K54" s="11" t="s">
        <v>459</v>
      </c>
      <c r="Q54" s="23"/>
      <c r="R54" s="24"/>
      <c r="S54" s="24"/>
      <c r="T54" s="99"/>
      <c r="U54" s="75"/>
      <c r="V54" s="23"/>
      <c r="W54" s="75"/>
      <c r="X54" s="23"/>
      <c r="Y54" s="24"/>
      <c r="Z54" s="24"/>
      <c r="AA54" s="24"/>
      <c r="AB54" s="23"/>
      <c r="AC54" s="24"/>
      <c r="AD54" s="24"/>
    </row>
    <row r="55" spans="10:30"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3"/>
      <c r="AC55" s="24"/>
      <c r="AD55" s="24"/>
    </row>
    <row r="56" spans="10:30"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3"/>
      <c r="AC56" s="24"/>
      <c r="AD56" s="24"/>
    </row>
    <row r="57" spans="10:30" ht="13">
      <c r="J57" s="100" t="s">
        <v>460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10:30">
      <c r="K58" s="11" t="s">
        <v>440</v>
      </c>
      <c r="Q58" s="164">
        <f>+X16</f>
        <v>1566.3114131825082</v>
      </c>
      <c r="R58" s="24">
        <f>-'Prkg Lot Amort'!C36</f>
        <v>-3732.893916380192</v>
      </c>
      <c r="S58" s="24"/>
      <c r="T58" s="24">
        <f>Q58*12</f>
        <v>18795.7369581901</v>
      </c>
      <c r="U58" s="24"/>
      <c r="V58" s="23">
        <f>Q58*12</f>
        <v>18795.7369581901</v>
      </c>
      <c r="W58" s="24"/>
      <c r="X58" s="24">
        <f>V58</f>
        <v>18795.7369581901</v>
      </c>
      <c r="Y58" s="24"/>
      <c r="Z58" s="24"/>
      <c r="AA58" s="24"/>
      <c r="AB58" s="23"/>
      <c r="AC58" s="24"/>
      <c r="AD58" s="24">
        <f>SUM(R58:AB58)</f>
        <v>52654.316958190109</v>
      </c>
    </row>
    <row r="59" spans="10:30">
      <c r="K59" s="11" t="s">
        <v>458</v>
      </c>
      <c r="Q59" s="24">
        <f>38792.52/12</f>
        <v>3232.7099999999996</v>
      </c>
      <c r="R59" s="24"/>
      <c r="S59" s="24"/>
      <c r="T59" s="24">
        <f>+Q59*12</f>
        <v>38792.519999999997</v>
      </c>
      <c r="U59" s="24"/>
      <c r="V59" s="23"/>
      <c r="W59" s="24"/>
      <c r="X59" s="23"/>
      <c r="Y59" s="24"/>
      <c r="Z59" s="24"/>
      <c r="AA59" s="24"/>
      <c r="AB59" s="23"/>
      <c r="AC59" s="24"/>
      <c r="AD59" s="24">
        <f>SUM(R59:AB59)</f>
        <v>38792.519999999997</v>
      </c>
    </row>
    <row r="60" spans="10:30">
      <c r="K60" s="11" t="s">
        <v>459</v>
      </c>
      <c r="Q60" s="23"/>
      <c r="R60" s="24"/>
      <c r="S60" s="24"/>
      <c r="T60" s="24"/>
      <c r="U60" s="24"/>
      <c r="V60" s="23"/>
      <c r="W60" s="24"/>
      <c r="X60" s="23"/>
      <c r="Y60" s="24"/>
      <c r="Z60" s="24"/>
      <c r="AA60" s="24"/>
      <c r="AB60" s="23"/>
      <c r="AC60" s="24"/>
      <c r="AD60" s="24"/>
    </row>
    <row r="61" spans="10:30"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3"/>
      <c r="AC61" s="24"/>
      <c r="AD61" s="24"/>
    </row>
    <row r="62" spans="10:30">
      <c r="X62" s="23"/>
    </row>
    <row r="63" spans="10:30" ht="13">
      <c r="J63" s="3" t="s">
        <v>461</v>
      </c>
    </row>
    <row r="64" spans="10:30">
      <c r="K64" s="11" t="s">
        <v>440</v>
      </c>
      <c r="Q64" s="164">
        <f>+X20</f>
        <v>1186.5192756010315</v>
      </c>
      <c r="R64" s="24">
        <f>-Building!C60</f>
        <v>-10391.375228849496</v>
      </c>
      <c r="T64" s="164">
        <f>Q64*12</f>
        <v>14238.231307212378</v>
      </c>
      <c r="V64" s="164">
        <f>Q64*12</f>
        <v>14238.231307212378</v>
      </c>
      <c r="X64" s="164">
        <f>+V64</f>
        <v>14238.231307212378</v>
      </c>
      <c r="Z64" s="164">
        <f>Q64*12</f>
        <v>14238.231307212378</v>
      </c>
      <c r="AB64" s="164">
        <f>Q64*12</f>
        <v>14238.231307212378</v>
      </c>
      <c r="AD64" s="27">
        <f>SUM(R64:AB64)</f>
        <v>60799.781307212397</v>
      </c>
    </row>
    <row r="65" spans="10:30">
      <c r="K65" s="11" t="s">
        <v>458</v>
      </c>
      <c r="Q65" s="27">
        <f>45546.63/12</f>
        <v>3795.5524999999998</v>
      </c>
      <c r="T65" s="24">
        <f>Q65*12</f>
        <v>45546.63</v>
      </c>
      <c r="AD65" s="27">
        <f>SUM(R65:AB65)</f>
        <v>45546.63</v>
      </c>
    </row>
    <row r="66" spans="10:30">
      <c r="K66" s="11" t="s">
        <v>459</v>
      </c>
      <c r="AD66" s="27"/>
    </row>
    <row r="67" spans="10:30">
      <c r="AD67" s="27"/>
    </row>
    <row r="68" spans="10:30">
      <c r="AD68" s="27"/>
    </row>
    <row r="69" spans="10:30" ht="13">
      <c r="J69" s="3" t="s">
        <v>462</v>
      </c>
      <c r="Q69" s="164"/>
      <c r="R69" s="24"/>
      <c r="V69" s="164"/>
      <c r="X69" s="164"/>
      <c r="Z69" s="164"/>
      <c r="AD69" s="27"/>
    </row>
    <row r="70" spans="10:30">
      <c r="K70" s="11" t="s">
        <v>440</v>
      </c>
      <c r="Q70" s="411">
        <f>+X22</f>
        <v>1969.4166666666667</v>
      </c>
      <c r="V70" s="24">
        <f>Q70*12</f>
        <v>23633</v>
      </c>
      <c r="AD70" s="27">
        <f>SUM(R70:AB70)</f>
        <v>23633</v>
      </c>
    </row>
    <row r="71" spans="10:30">
      <c r="K71" s="11" t="s">
        <v>458</v>
      </c>
    </row>
    <row r="72" spans="10:30">
      <c r="K72" s="11" t="s">
        <v>459</v>
      </c>
    </row>
    <row r="74" spans="10:30" ht="13">
      <c r="N74" s="3" t="s">
        <v>456</v>
      </c>
      <c r="R74" s="24">
        <f>SUM(R52:R73)</f>
        <v>-16484.81596651928</v>
      </c>
      <c r="S74" s="24">
        <f t="shared" ref="S74:AC74" si="0">SUM(S52:S73)</f>
        <v>0</v>
      </c>
      <c r="T74" s="24">
        <f t="shared" si="0"/>
        <v>130876.92247072488</v>
      </c>
      <c r="U74" s="24">
        <f t="shared" si="0"/>
        <v>0</v>
      </c>
      <c r="V74" s="24">
        <f t="shared" si="0"/>
        <v>59901.382470724879</v>
      </c>
      <c r="W74" s="24">
        <f t="shared" si="0"/>
        <v>0</v>
      </c>
      <c r="X74" s="24">
        <f t="shared" si="0"/>
        <v>36268.382470724879</v>
      </c>
      <c r="Y74" s="24">
        <f t="shared" si="0"/>
        <v>0</v>
      </c>
      <c r="Z74" s="24">
        <f t="shared" si="0"/>
        <v>17472.645512534775</v>
      </c>
      <c r="AA74" s="24"/>
      <c r="AB74" s="24">
        <f t="shared" si="0"/>
        <v>17472.645512534775</v>
      </c>
      <c r="AC74" s="24">
        <f t="shared" si="0"/>
        <v>0</v>
      </c>
      <c r="AD74" s="24">
        <f>SUM(AD52:AD73)</f>
        <v>245507.1624707249</v>
      </c>
    </row>
  </sheetData>
  <customSheetViews>
    <customSheetView guid="{C5E32A41-FC3E-4628-B0E4-BCDB4BDAC35C}" scale="80" fitToPage="1" hiddenRows="1" showRuler="0">
      <selection activeCell="V15" sqref="V15"/>
      <pageMargins left="0" right="0" top="0" bottom="0" header="0" footer="0"/>
      <pageSetup paperSize="5" scale="70" orientation="landscape" cellComments="asDisplayed" r:id="rId1"/>
      <headerFooter alignWithMargins="0"/>
    </customSheetView>
    <customSheetView guid="{239276AE-B7E9-4788-B341-6859AA10E393}" scale="80" fitToPage="1" hiddenRows="1" showRuler="0">
      <selection activeCell="V15" sqref="V15"/>
      <pageMargins left="0" right="0" top="0" bottom="0" header="0" footer="0"/>
      <pageSetup paperSize="5" scale="70" orientation="landscape" cellComments="asDisplayed" r:id="rId2"/>
      <headerFooter alignWithMargins="0"/>
    </customSheetView>
  </customSheetViews>
  <mergeCells count="5">
    <mergeCell ref="J40:AD40"/>
    <mergeCell ref="A1:AD1"/>
    <mergeCell ref="A2:AD2"/>
    <mergeCell ref="A3:AD3"/>
    <mergeCell ref="R28:V28"/>
  </mergeCells>
  <phoneticPr fontId="0" type="noConversion"/>
  <pageMargins left="0.5" right="0.5" top="0.73" bottom="1" header="0.5" footer="0.5"/>
  <pageSetup paperSize="5" scale="66" orientation="landscape" cellComments="asDisplayed" r:id="rId3"/>
  <headerFooter alignWithMargins="0">
    <oddFooter>&amp;R&amp;F
&amp;D</oddFooter>
  </headerFooter>
  <legacy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2">
    <pageSetUpPr fitToPage="1"/>
  </sheetPr>
  <dimension ref="A1:L60"/>
  <sheetViews>
    <sheetView workbookViewId="0">
      <selection activeCell="A22" sqref="A22"/>
    </sheetView>
  </sheetViews>
  <sheetFormatPr defaultRowHeight="12.5"/>
  <cols>
    <col min="1" max="1" width="20.7265625" customWidth="1"/>
    <col min="2" max="2" width="11" customWidth="1"/>
    <col min="3" max="3" width="12.54296875" customWidth="1"/>
    <col min="4" max="4" width="11" customWidth="1"/>
    <col min="5" max="5" width="12" customWidth="1"/>
    <col min="6" max="6" width="11.1796875" customWidth="1"/>
    <col min="7" max="7" width="2" customWidth="1"/>
    <col min="8" max="8" width="10.54296875" customWidth="1"/>
    <col min="9" max="9" width="30.81640625" customWidth="1"/>
    <col min="10" max="10" width="1" customWidth="1"/>
    <col min="11" max="11" width="9.81640625" customWidth="1"/>
    <col min="12" max="12" width="9.7265625" customWidth="1"/>
  </cols>
  <sheetData>
    <row r="1" spans="1:12" ht="13">
      <c r="A1" s="3" t="s">
        <v>463</v>
      </c>
      <c r="B1" s="3" t="s">
        <v>464</v>
      </c>
    </row>
    <row r="2" spans="1:12" ht="13">
      <c r="A2" s="3" t="s">
        <v>396</v>
      </c>
      <c r="B2" s="3" t="s">
        <v>465</v>
      </c>
    </row>
    <row r="3" spans="1:12" ht="13">
      <c r="A3" s="100" t="s">
        <v>466</v>
      </c>
      <c r="B3" s="361">
        <v>12730.06</v>
      </c>
    </row>
    <row r="4" spans="1:12" ht="13">
      <c r="A4" s="100" t="s">
        <v>467</v>
      </c>
      <c r="B4" s="361">
        <f>'15656-9000'!T11</f>
        <v>-2152.9499999999998</v>
      </c>
    </row>
    <row r="5" spans="1:12" ht="13.5" thickBot="1">
      <c r="A5" s="100" t="s">
        <v>468</v>
      </c>
      <c r="B5" s="392">
        <f>SUM(B3:B4)</f>
        <v>10577.11</v>
      </c>
    </row>
    <row r="6" spans="1:12" ht="13.5" thickTop="1">
      <c r="A6" s="100" t="s">
        <v>469</v>
      </c>
      <c r="B6" s="163">
        <v>0.10249999999999999</v>
      </c>
    </row>
    <row r="7" spans="1:12" ht="13">
      <c r="A7" s="100" t="s">
        <v>470</v>
      </c>
      <c r="B7" s="3">
        <v>48</v>
      </c>
      <c r="C7" s="3" t="s">
        <v>471</v>
      </c>
      <c r="H7" s="164"/>
    </row>
    <row r="8" spans="1:12" ht="13">
      <c r="A8" s="100" t="s">
        <v>472</v>
      </c>
      <c r="B8" s="165">
        <f>PMT(B6/12,B7,-B5,0,0)</f>
        <v>269.53451711019983</v>
      </c>
    </row>
    <row r="9" spans="1:12" ht="13" thickBot="1">
      <c r="A9" s="5"/>
    </row>
    <row r="10" spans="1:12" ht="13.5" thickBot="1">
      <c r="A10" s="166" t="s">
        <v>473</v>
      </c>
      <c r="B10" s="167" t="s">
        <v>474</v>
      </c>
      <c r="C10" s="167" t="s">
        <v>425</v>
      </c>
      <c r="D10" s="167" t="s">
        <v>475</v>
      </c>
      <c r="E10" s="305" t="s">
        <v>476</v>
      </c>
      <c r="F10" s="168" t="s">
        <v>422</v>
      </c>
      <c r="G10" s="169"/>
      <c r="H10" s="1242" t="s">
        <v>477</v>
      </c>
      <c r="I10" s="1243"/>
      <c r="J10" s="1243"/>
      <c r="K10" s="1243"/>
      <c r="L10" s="1244"/>
    </row>
    <row r="11" spans="1:12">
      <c r="C11" s="44"/>
      <c r="D11" s="44"/>
      <c r="E11" s="101"/>
      <c r="F11" s="44">
        <f>+B5</f>
        <v>10577.11</v>
      </c>
      <c r="G11" s="44"/>
      <c r="K11" s="1" t="s">
        <v>478</v>
      </c>
      <c r="L11" s="1" t="s">
        <v>479</v>
      </c>
    </row>
    <row r="12" spans="1:12">
      <c r="A12" s="371">
        <v>1</v>
      </c>
      <c r="B12" s="170">
        <v>39264</v>
      </c>
      <c r="C12" s="171">
        <f t="shared" ref="C12:C43" si="0">F11*$B$6*30/360</f>
        <v>90.346147916666666</v>
      </c>
      <c r="D12" s="172">
        <f t="shared" ref="D12:D43" si="1">$B$8-C12</f>
        <v>179.18836919353316</v>
      </c>
      <c r="E12" s="173">
        <f>+C12</f>
        <v>90.346147916666666</v>
      </c>
      <c r="F12" s="173">
        <f t="shared" ref="F12:F35" si="2">F11-D12</f>
        <v>10397.921630806468</v>
      </c>
      <c r="G12" s="44"/>
      <c r="H12" t="s">
        <v>480</v>
      </c>
      <c r="I12" t="s">
        <v>481</v>
      </c>
      <c r="J12" s="164">
        <f>B8</f>
        <v>269.53451711019983</v>
      </c>
      <c r="K12" s="172">
        <f>B8</f>
        <v>269.53451711019983</v>
      </c>
      <c r="L12" s="173"/>
    </row>
    <row r="13" spans="1:12">
      <c r="A13" s="371">
        <v>2</v>
      </c>
      <c r="B13" s="170">
        <v>39295</v>
      </c>
      <c r="C13" s="171">
        <f t="shared" si="0"/>
        <v>88.815580596471918</v>
      </c>
      <c r="D13" s="172">
        <f t="shared" si="1"/>
        <v>180.7189365137279</v>
      </c>
      <c r="E13" s="173">
        <f>+E12+C13</f>
        <v>179.1617285131386</v>
      </c>
      <c r="F13" s="173">
        <f t="shared" si="2"/>
        <v>10217.20269429274</v>
      </c>
      <c r="G13" s="44"/>
      <c r="H13" t="s">
        <v>482</v>
      </c>
      <c r="I13" t="s">
        <v>483</v>
      </c>
      <c r="K13" s="173"/>
      <c r="L13" s="172">
        <v>196.76</v>
      </c>
    </row>
    <row r="14" spans="1:12">
      <c r="A14" s="371">
        <v>3</v>
      </c>
      <c r="B14" s="170">
        <v>39326</v>
      </c>
      <c r="C14" s="171">
        <f t="shared" si="0"/>
        <v>87.271939680417162</v>
      </c>
      <c r="D14" s="172">
        <f t="shared" si="1"/>
        <v>182.26257742978265</v>
      </c>
      <c r="E14" s="173">
        <f>+E13+C14</f>
        <v>266.43366819355577</v>
      </c>
      <c r="F14" s="173">
        <f t="shared" si="2"/>
        <v>10034.940116862957</v>
      </c>
      <c r="G14" s="44"/>
      <c r="H14" t="s">
        <v>484</v>
      </c>
      <c r="I14" t="s">
        <v>485</v>
      </c>
      <c r="K14" s="173"/>
      <c r="L14" s="173">
        <v>72.77</v>
      </c>
    </row>
    <row r="15" spans="1:12">
      <c r="A15" s="371">
        <v>4</v>
      </c>
      <c r="B15" s="170">
        <v>39356</v>
      </c>
      <c r="C15" s="171">
        <f t="shared" si="0"/>
        <v>85.715113498204417</v>
      </c>
      <c r="D15" s="172">
        <f t="shared" si="1"/>
        <v>183.81940361199543</v>
      </c>
      <c r="E15" s="173">
        <f t="shared" ref="E15:E59" si="3">+E14+C15</f>
        <v>352.14878169176018</v>
      </c>
      <c r="F15" s="173">
        <f t="shared" si="2"/>
        <v>9851.1207132509626</v>
      </c>
      <c r="G15" s="44"/>
    </row>
    <row r="16" spans="1:12" ht="13" thickBot="1">
      <c r="A16" s="371">
        <v>5</v>
      </c>
      <c r="B16" s="170">
        <v>39387</v>
      </c>
      <c r="C16" s="171">
        <f t="shared" si="0"/>
        <v>84.14498942568531</v>
      </c>
      <c r="D16" s="172">
        <f t="shared" si="1"/>
        <v>185.38952768451452</v>
      </c>
      <c r="E16" s="173">
        <f t="shared" si="3"/>
        <v>436.29377111744549</v>
      </c>
      <c r="F16" s="173">
        <f t="shared" si="2"/>
        <v>9665.7311855664484</v>
      </c>
      <c r="G16" s="44"/>
      <c r="K16" s="180">
        <f>SUM(K12:K15)</f>
        <v>269.53451711019983</v>
      </c>
      <c r="L16" s="180">
        <f>SUM(L12:L15)</f>
        <v>269.52999999999997</v>
      </c>
    </row>
    <row r="17" spans="1:6" ht="13" thickTop="1">
      <c r="A17" s="371">
        <v>6</v>
      </c>
      <c r="B17" s="170">
        <v>39417</v>
      </c>
      <c r="C17" s="171">
        <f t="shared" si="0"/>
        <v>82.561453876713401</v>
      </c>
      <c r="D17" s="172">
        <f t="shared" si="1"/>
        <v>186.97306323348641</v>
      </c>
      <c r="E17" s="173">
        <f t="shared" si="3"/>
        <v>518.8552249941589</v>
      </c>
      <c r="F17" s="173">
        <f t="shared" si="2"/>
        <v>9478.7581223329616</v>
      </c>
    </row>
    <row r="18" spans="1:6">
      <c r="A18" s="371">
        <v>7</v>
      </c>
      <c r="B18" s="170">
        <v>39448</v>
      </c>
      <c r="C18" s="171">
        <f t="shared" si="0"/>
        <v>80.964392294927379</v>
      </c>
      <c r="D18" s="172">
        <f t="shared" si="1"/>
        <v>188.57012481527244</v>
      </c>
      <c r="E18" s="173">
        <f t="shared" si="3"/>
        <v>599.8196172890863</v>
      </c>
      <c r="F18" s="173">
        <f t="shared" si="2"/>
        <v>9290.1879975176889</v>
      </c>
    </row>
    <row r="19" spans="1:6">
      <c r="A19" s="371">
        <v>8</v>
      </c>
      <c r="B19" s="170">
        <v>39479</v>
      </c>
      <c r="C19" s="171">
        <f t="shared" si="0"/>
        <v>79.353689145463591</v>
      </c>
      <c r="D19" s="172">
        <f t="shared" si="1"/>
        <v>190.18082796473624</v>
      </c>
      <c r="E19" s="173">
        <f t="shared" si="3"/>
        <v>679.17330643454989</v>
      </c>
      <c r="F19" s="173">
        <f t="shared" si="2"/>
        <v>9100.0071695529532</v>
      </c>
    </row>
    <row r="20" spans="1:6">
      <c r="A20" s="371">
        <v>9</v>
      </c>
      <c r="B20" s="170">
        <v>39508</v>
      </c>
      <c r="C20" s="171">
        <f t="shared" si="0"/>
        <v>77.72922790659814</v>
      </c>
      <c r="D20" s="172">
        <f t="shared" si="1"/>
        <v>191.80528920360169</v>
      </c>
      <c r="E20" s="173">
        <f t="shared" si="3"/>
        <v>756.902534341148</v>
      </c>
      <c r="F20" s="173">
        <f t="shared" si="2"/>
        <v>8908.201880349352</v>
      </c>
    </row>
    <row r="21" spans="1:6">
      <c r="A21" s="371">
        <v>10</v>
      </c>
      <c r="B21" s="170">
        <v>39539</v>
      </c>
      <c r="C21" s="171">
        <f t="shared" si="0"/>
        <v>76.090891061317379</v>
      </c>
      <c r="D21" s="172">
        <f t="shared" si="1"/>
        <v>193.44362604888244</v>
      </c>
      <c r="E21" s="173">
        <f t="shared" si="3"/>
        <v>832.99342540246539</v>
      </c>
      <c r="F21" s="173">
        <f t="shared" si="2"/>
        <v>8714.7582543004701</v>
      </c>
    </row>
    <row r="22" spans="1:6">
      <c r="A22" s="371">
        <v>11</v>
      </c>
      <c r="B22" s="170">
        <v>39569</v>
      </c>
      <c r="C22" s="171">
        <f t="shared" si="0"/>
        <v>74.438560088816516</v>
      </c>
      <c r="D22" s="172">
        <f t="shared" si="1"/>
        <v>195.0959570213833</v>
      </c>
      <c r="E22" s="173">
        <f t="shared" si="3"/>
        <v>907.43198549128192</v>
      </c>
      <c r="F22" s="173">
        <f t="shared" si="2"/>
        <v>8519.6622972790865</v>
      </c>
    </row>
    <row r="23" spans="1:6" ht="13" thickBot="1">
      <c r="A23" s="400">
        <v>12</v>
      </c>
      <c r="B23" s="401">
        <v>39600</v>
      </c>
      <c r="C23" s="402">
        <f t="shared" si="0"/>
        <v>72.77211545592553</v>
      </c>
      <c r="D23" s="403">
        <f t="shared" si="1"/>
        <v>196.7624016542743</v>
      </c>
      <c r="E23" s="404">
        <f t="shared" si="3"/>
        <v>980.20410094720751</v>
      </c>
      <c r="F23" s="404">
        <f t="shared" si="2"/>
        <v>8322.8998956248124</v>
      </c>
    </row>
    <row r="24" spans="1:6">
      <c r="A24">
        <v>13</v>
      </c>
      <c r="B24" s="174">
        <v>39630</v>
      </c>
      <c r="C24" s="369">
        <f t="shared" si="0"/>
        <v>71.091436608461933</v>
      </c>
      <c r="D24" s="370">
        <f t="shared" si="1"/>
        <v>198.44308050173788</v>
      </c>
      <c r="E24" s="101">
        <f>C24</f>
        <v>71.091436608461933</v>
      </c>
      <c r="F24" s="101">
        <f>F23-D24</f>
        <v>8124.4568151230742</v>
      </c>
    </row>
    <row r="25" spans="1:6">
      <c r="A25">
        <v>14</v>
      </c>
      <c r="B25" s="174">
        <v>39661</v>
      </c>
      <c r="C25" s="369">
        <f t="shared" si="0"/>
        <v>69.396401962509586</v>
      </c>
      <c r="D25" s="370">
        <f t="shared" si="1"/>
        <v>200.13811514769026</v>
      </c>
      <c r="E25" s="101">
        <f>+E24+C25</f>
        <v>140.48783857097152</v>
      </c>
      <c r="F25" s="101">
        <f t="shared" si="2"/>
        <v>7924.3186999753843</v>
      </c>
    </row>
    <row r="26" spans="1:6">
      <c r="A26">
        <v>15</v>
      </c>
      <c r="B26" s="174">
        <v>39692</v>
      </c>
      <c r="C26" s="369">
        <f t="shared" si="0"/>
        <v>67.686888895623071</v>
      </c>
      <c r="D26" s="370">
        <f t="shared" si="1"/>
        <v>201.84762821457676</v>
      </c>
      <c r="E26" s="101">
        <f t="shared" si="3"/>
        <v>208.17472746659459</v>
      </c>
      <c r="F26" s="101">
        <f t="shared" si="2"/>
        <v>7722.4710717608077</v>
      </c>
    </row>
    <row r="27" spans="1:6">
      <c r="A27">
        <v>16</v>
      </c>
      <c r="B27" s="174">
        <v>39722</v>
      </c>
      <c r="C27" s="369">
        <f t="shared" si="0"/>
        <v>65.962773737956894</v>
      </c>
      <c r="D27" s="370">
        <f t="shared" si="1"/>
        <v>203.57174337224293</v>
      </c>
      <c r="E27" s="101">
        <f t="shared" si="3"/>
        <v>274.13750120455148</v>
      </c>
      <c r="F27" s="101">
        <f t="shared" si="2"/>
        <v>7518.8993283885648</v>
      </c>
    </row>
    <row r="28" spans="1:6">
      <c r="A28">
        <v>17</v>
      </c>
      <c r="B28" s="174">
        <v>39753</v>
      </c>
      <c r="C28" s="369">
        <f t="shared" si="0"/>
        <v>64.223931763318973</v>
      </c>
      <c r="D28" s="370">
        <f t="shared" si="1"/>
        <v>205.31058534688086</v>
      </c>
      <c r="E28" s="101">
        <f t="shared" si="3"/>
        <v>338.36143296787043</v>
      </c>
      <c r="F28" s="101">
        <f t="shared" si="2"/>
        <v>7313.5887430416842</v>
      </c>
    </row>
    <row r="29" spans="1:6">
      <c r="A29">
        <v>18</v>
      </c>
      <c r="B29" s="174">
        <v>39783</v>
      </c>
      <c r="C29" s="369">
        <f t="shared" si="0"/>
        <v>62.470237180147713</v>
      </c>
      <c r="D29" s="370">
        <f t="shared" si="1"/>
        <v>207.06427993005212</v>
      </c>
      <c r="E29" s="101">
        <f t="shared" si="3"/>
        <v>400.83167014801813</v>
      </c>
      <c r="F29" s="101">
        <f t="shared" si="2"/>
        <v>7106.524463111632</v>
      </c>
    </row>
    <row r="30" spans="1:6">
      <c r="A30">
        <v>19</v>
      </c>
      <c r="B30" s="174">
        <v>39814</v>
      </c>
      <c r="C30" s="369">
        <f t="shared" si="0"/>
        <v>60.701563122411848</v>
      </c>
      <c r="D30" s="370">
        <f t="shared" si="1"/>
        <v>208.83295398778799</v>
      </c>
      <c r="E30" s="101">
        <f t="shared" si="3"/>
        <v>461.53323327043</v>
      </c>
      <c r="F30" s="101">
        <f t="shared" si="2"/>
        <v>6897.6915091238443</v>
      </c>
    </row>
    <row r="31" spans="1:6">
      <c r="A31">
        <v>20</v>
      </c>
      <c r="B31" s="174">
        <v>39845</v>
      </c>
      <c r="C31" s="369">
        <f t="shared" si="0"/>
        <v>58.917781640432835</v>
      </c>
      <c r="D31" s="370">
        <f t="shared" si="1"/>
        <v>210.61673546976698</v>
      </c>
      <c r="E31" s="101">
        <f t="shared" si="3"/>
        <v>520.4510149108628</v>
      </c>
      <c r="F31" s="101">
        <f t="shared" si="2"/>
        <v>6687.074773654077</v>
      </c>
    </row>
    <row r="32" spans="1:6">
      <c r="A32">
        <v>21</v>
      </c>
      <c r="B32" s="174">
        <v>39873</v>
      </c>
      <c r="C32" s="369">
        <f t="shared" si="0"/>
        <v>57.118763691628573</v>
      </c>
      <c r="D32" s="370">
        <f t="shared" si="1"/>
        <v>212.41575341857126</v>
      </c>
      <c r="E32" s="101">
        <f t="shared" si="3"/>
        <v>577.5697786024914</v>
      </c>
      <c r="F32" s="101">
        <f t="shared" si="2"/>
        <v>6474.6590202355055</v>
      </c>
    </row>
    <row r="33" spans="1:6">
      <c r="A33">
        <v>22</v>
      </c>
      <c r="B33" s="174">
        <v>39904</v>
      </c>
      <c r="C33" s="369">
        <f t="shared" si="0"/>
        <v>55.304379131178273</v>
      </c>
      <c r="D33" s="370">
        <f t="shared" si="1"/>
        <v>214.23013797902155</v>
      </c>
      <c r="E33" s="101">
        <f t="shared" si="3"/>
        <v>632.87415773366968</v>
      </c>
      <c r="F33" s="101">
        <f t="shared" si="2"/>
        <v>6260.428882256484</v>
      </c>
    </row>
    <row r="34" spans="1:6">
      <c r="A34">
        <v>23</v>
      </c>
      <c r="B34" s="174">
        <v>39934</v>
      </c>
      <c r="C34" s="369">
        <f t="shared" si="0"/>
        <v>53.474496702607468</v>
      </c>
      <c r="D34" s="370">
        <f t="shared" si="1"/>
        <v>216.06002040759236</v>
      </c>
      <c r="E34" s="101">
        <f t="shared" si="3"/>
        <v>686.34865443627712</v>
      </c>
      <c r="F34" s="101">
        <f t="shared" si="2"/>
        <v>6044.3688618488914</v>
      </c>
    </row>
    <row r="35" spans="1:6" ht="13" thickBot="1">
      <c r="A35" s="146">
        <v>24</v>
      </c>
      <c r="B35" s="364">
        <v>39965</v>
      </c>
      <c r="C35" s="365">
        <f t="shared" si="0"/>
        <v>51.628984028292606</v>
      </c>
      <c r="D35" s="366">
        <f t="shared" si="1"/>
        <v>217.90553308190721</v>
      </c>
      <c r="E35" s="367">
        <f t="shared" si="3"/>
        <v>737.97763846456974</v>
      </c>
      <c r="F35" s="368">
        <f t="shared" si="2"/>
        <v>5826.463328766984</v>
      </c>
    </row>
    <row r="36" spans="1:6">
      <c r="A36">
        <f>A35+1</f>
        <v>25</v>
      </c>
      <c r="B36" s="174">
        <v>39995</v>
      </c>
      <c r="C36" s="175">
        <f t="shared" si="0"/>
        <v>49.767707599884652</v>
      </c>
      <c r="D36" s="176">
        <f t="shared" si="1"/>
        <v>219.76680951031517</v>
      </c>
      <c r="E36" s="101">
        <f>C36</f>
        <v>49.767707599884652</v>
      </c>
      <c r="F36" s="44">
        <f t="shared" ref="F36:F59" si="4">F35-D36</f>
        <v>5606.6965192566686</v>
      </c>
    </row>
    <row r="37" spans="1:6">
      <c r="A37">
        <f t="shared" ref="A37:A59" si="5">A36+1</f>
        <v>26</v>
      </c>
      <c r="B37" s="174">
        <v>40026</v>
      </c>
      <c r="C37" s="175">
        <f t="shared" si="0"/>
        <v>47.890532768650708</v>
      </c>
      <c r="D37" s="176">
        <f t="shared" si="1"/>
        <v>221.64398434154913</v>
      </c>
      <c r="E37" s="101">
        <f>+E36+C37</f>
        <v>97.65824036853536</v>
      </c>
      <c r="F37" s="44">
        <f t="shared" si="4"/>
        <v>5385.0525349151194</v>
      </c>
    </row>
    <row r="38" spans="1:6">
      <c r="A38">
        <f t="shared" si="5"/>
        <v>27</v>
      </c>
      <c r="B38" s="174">
        <v>40057</v>
      </c>
      <c r="C38" s="175">
        <f t="shared" si="0"/>
        <v>45.997323735733303</v>
      </c>
      <c r="D38" s="176">
        <f t="shared" si="1"/>
        <v>223.53719337446654</v>
      </c>
      <c r="E38" s="101">
        <f t="shared" si="3"/>
        <v>143.65556410426865</v>
      </c>
      <c r="F38" s="44">
        <f t="shared" si="4"/>
        <v>5161.515341540653</v>
      </c>
    </row>
    <row r="39" spans="1:6">
      <c r="A39">
        <f t="shared" si="5"/>
        <v>28</v>
      </c>
      <c r="B39" s="174">
        <v>40087</v>
      </c>
      <c r="C39" s="175">
        <f t="shared" si="0"/>
        <v>44.087943542326414</v>
      </c>
      <c r="D39" s="176">
        <f t="shared" si="1"/>
        <v>225.44657356787343</v>
      </c>
      <c r="E39" s="101">
        <f t="shared" si="3"/>
        <v>187.74350764659505</v>
      </c>
      <c r="F39" s="44">
        <f t="shared" si="4"/>
        <v>4936.0687679727798</v>
      </c>
    </row>
    <row r="40" spans="1:6">
      <c r="A40">
        <f t="shared" si="5"/>
        <v>29</v>
      </c>
      <c r="B40" s="174">
        <v>40118</v>
      </c>
      <c r="C40" s="175">
        <f t="shared" si="0"/>
        <v>42.162254059767491</v>
      </c>
      <c r="D40" s="176">
        <f t="shared" si="1"/>
        <v>227.37226305043234</v>
      </c>
      <c r="E40" s="101">
        <f t="shared" si="3"/>
        <v>229.90576170636254</v>
      </c>
      <c r="F40" s="44">
        <f t="shared" si="4"/>
        <v>4708.6965049223472</v>
      </c>
    </row>
    <row r="41" spans="1:6">
      <c r="A41">
        <f t="shared" si="5"/>
        <v>30</v>
      </c>
      <c r="B41" s="174">
        <v>40148</v>
      </c>
      <c r="C41" s="175">
        <f t="shared" si="0"/>
        <v>40.220115979545049</v>
      </c>
      <c r="D41" s="176">
        <f t="shared" si="1"/>
        <v>229.31440113065477</v>
      </c>
      <c r="E41" s="101">
        <f t="shared" si="3"/>
        <v>270.1258776859076</v>
      </c>
      <c r="F41" s="44">
        <f t="shared" si="4"/>
        <v>4479.3821037916923</v>
      </c>
    </row>
    <row r="42" spans="1:6">
      <c r="A42">
        <f t="shared" si="5"/>
        <v>31</v>
      </c>
      <c r="B42" s="174">
        <v>40179</v>
      </c>
      <c r="C42" s="175">
        <f t="shared" si="0"/>
        <v>38.261388803220704</v>
      </c>
      <c r="D42" s="176">
        <f t="shared" si="1"/>
        <v>231.27312830697912</v>
      </c>
      <c r="E42" s="101">
        <f t="shared" si="3"/>
        <v>308.38726648912831</v>
      </c>
      <c r="F42" s="44">
        <f t="shared" si="4"/>
        <v>4248.1089754847135</v>
      </c>
    </row>
    <row r="43" spans="1:6">
      <c r="A43">
        <f t="shared" si="5"/>
        <v>32</v>
      </c>
      <c r="B43" s="174">
        <v>40210</v>
      </c>
      <c r="C43" s="175">
        <f t="shared" si="0"/>
        <v>36.285930832265258</v>
      </c>
      <c r="D43" s="176">
        <f t="shared" si="1"/>
        <v>233.24858627793458</v>
      </c>
      <c r="E43" s="101">
        <f t="shared" si="3"/>
        <v>344.67319732139356</v>
      </c>
      <c r="F43" s="44">
        <f t="shared" si="4"/>
        <v>4014.860389206779</v>
      </c>
    </row>
    <row r="44" spans="1:6">
      <c r="A44">
        <f t="shared" si="5"/>
        <v>33</v>
      </c>
      <c r="B44" s="174">
        <v>40238</v>
      </c>
      <c r="C44" s="175">
        <f t="shared" ref="C44:C59" si="6">F43*$B$6*30/360</f>
        <v>34.293599157807904</v>
      </c>
      <c r="D44" s="176">
        <f t="shared" ref="D44:D59" si="7">$B$8-C44</f>
        <v>235.24091795239192</v>
      </c>
      <c r="E44" s="101">
        <f t="shared" si="3"/>
        <v>378.96679647920143</v>
      </c>
      <c r="F44" s="44">
        <f t="shared" si="4"/>
        <v>3779.619471254387</v>
      </c>
    </row>
    <row r="45" spans="1:6">
      <c r="A45">
        <f t="shared" si="5"/>
        <v>34</v>
      </c>
      <c r="B45" s="174">
        <v>40269</v>
      </c>
      <c r="C45" s="175">
        <f t="shared" si="6"/>
        <v>32.284249650297888</v>
      </c>
      <c r="D45" s="176">
        <f t="shared" si="7"/>
        <v>237.25026745990195</v>
      </c>
      <c r="E45" s="101">
        <f t="shared" si="3"/>
        <v>411.25104612949934</v>
      </c>
      <c r="F45" s="44">
        <f t="shared" si="4"/>
        <v>3542.3692037944852</v>
      </c>
    </row>
    <row r="46" spans="1:6">
      <c r="A46">
        <f t="shared" si="5"/>
        <v>35</v>
      </c>
      <c r="B46" s="174">
        <v>40299</v>
      </c>
      <c r="C46" s="175">
        <f t="shared" si="6"/>
        <v>30.257736949077895</v>
      </c>
      <c r="D46" s="176">
        <f t="shared" si="7"/>
        <v>239.27678016112193</v>
      </c>
      <c r="E46" s="101">
        <f t="shared" si="3"/>
        <v>441.50878307857727</v>
      </c>
      <c r="F46" s="44">
        <f t="shared" si="4"/>
        <v>3303.0924236333631</v>
      </c>
    </row>
    <row r="47" spans="1:6" ht="13" thickBot="1">
      <c r="A47" s="146">
        <f t="shared" si="5"/>
        <v>36</v>
      </c>
      <c r="B47" s="364">
        <v>40330</v>
      </c>
      <c r="C47" s="365">
        <f t="shared" si="6"/>
        <v>28.213914451868312</v>
      </c>
      <c r="D47" s="366">
        <f t="shared" si="7"/>
        <v>241.32060265833152</v>
      </c>
      <c r="E47" s="367">
        <f t="shared" si="3"/>
        <v>469.7226975304456</v>
      </c>
      <c r="F47" s="368">
        <f t="shared" si="4"/>
        <v>3061.7718209750315</v>
      </c>
    </row>
    <row r="48" spans="1:6">
      <c r="A48">
        <f t="shared" si="5"/>
        <v>37</v>
      </c>
      <c r="B48" s="174">
        <v>40360</v>
      </c>
      <c r="C48" s="175">
        <f t="shared" si="6"/>
        <v>26.152634304161726</v>
      </c>
      <c r="D48" s="176">
        <f t="shared" si="7"/>
        <v>243.38188280603811</v>
      </c>
      <c r="E48" s="101">
        <f>C48</f>
        <v>26.152634304161726</v>
      </c>
      <c r="F48" s="44">
        <f t="shared" si="4"/>
        <v>2818.3899381689935</v>
      </c>
    </row>
    <row r="49" spans="1:6">
      <c r="A49">
        <f t="shared" si="5"/>
        <v>38</v>
      </c>
      <c r="B49" s="174">
        <v>40391</v>
      </c>
      <c r="C49" s="175">
        <f t="shared" si="6"/>
        <v>24.073747388526819</v>
      </c>
      <c r="D49" s="176">
        <f t="shared" si="7"/>
        <v>245.46076972167302</v>
      </c>
      <c r="E49" s="101">
        <f t="shared" si="3"/>
        <v>50.226381692688548</v>
      </c>
      <c r="F49" s="44">
        <f t="shared" si="4"/>
        <v>2572.9291684473205</v>
      </c>
    </row>
    <row r="50" spans="1:6">
      <c r="A50">
        <f t="shared" si="5"/>
        <v>39</v>
      </c>
      <c r="B50" s="174">
        <v>40422</v>
      </c>
      <c r="C50" s="175">
        <f t="shared" si="6"/>
        <v>21.977103313820862</v>
      </c>
      <c r="D50" s="176">
        <f t="shared" si="7"/>
        <v>247.55741379637897</v>
      </c>
      <c r="E50" s="101">
        <f t="shared" si="3"/>
        <v>72.20348500650941</v>
      </c>
      <c r="F50" s="44">
        <f t="shared" si="4"/>
        <v>2325.3717546509415</v>
      </c>
    </row>
    <row r="51" spans="1:6">
      <c r="A51">
        <f t="shared" si="5"/>
        <v>40</v>
      </c>
      <c r="B51" s="174">
        <v>40452</v>
      </c>
      <c r="C51" s="175">
        <f t="shared" si="6"/>
        <v>19.862550404310124</v>
      </c>
      <c r="D51" s="176">
        <f t="shared" si="7"/>
        <v>249.6719667058897</v>
      </c>
      <c r="E51" s="101">
        <f t="shared" si="3"/>
        <v>92.066035410819538</v>
      </c>
      <c r="F51" s="44">
        <f t="shared" si="4"/>
        <v>2075.6997879450519</v>
      </c>
    </row>
    <row r="52" spans="1:6">
      <c r="A52">
        <f t="shared" si="5"/>
        <v>41</v>
      </c>
      <c r="B52" s="174">
        <v>40483</v>
      </c>
      <c r="C52" s="175">
        <f t="shared" si="6"/>
        <v>17.729935688697317</v>
      </c>
      <c r="D52" s="176">
        <f t="shared" si="7"/>
        <v>251.80458142150252</v>
      </c>
      <c r="E52" s="101">
        <f t="shared" si="3"/>
        <v>109.79597109951686</v>
      </c>
      <c r="F52" s="44">
        <f t="shared" si="4"/>
        <v>1823.8952065235494</v>
      </c>
    </row>
    <row r="53" spans="1:6">
      <c r="A53">
        <f t="shared" si="5"/>
        <v>42</v>
      </c>
      <c r="B53" s="174">
        <v>40513</v>
      </c>
      <c r="C53" s="175">
        <f t="shared" si="6"/>
        <v>15.579104889055317</v>
      </c>
      <c r="D53" s="176">
        <f t="shared" si="7"/>
        <v>253.95541222114451</v>
      </c>
      <c r="E53" s="101">
        <f t="shared" si="3"/>
        <v>125.37507598857218</v>
      </c>
      <c r="F53" s="44">
        <f t="shared" si="4"/>
        <v>1569.9397943024048</v>
      </c>
    </row>
    <row r="54" spans="1:6">
      <c r="A54">
        <f t="shared" si="5"/>
        <v>43</v>
      </c>
      <c r="B54" s="174">
        <v>40544</v>
      </c>
      <c r="C54" s="175">
        <f t="shared" si="6"/>
        <v>13.409902409666374</v>
      </c>
      <c r="D54" s="176">
        <f t="shared" si="7"/>
        <v>256.12461470053347</v>
      </c>
      <c r="E54" s="101">
        <f t="shared" si="3"/>
        <v>138.78497839823856</v>
      </c>
      <c r="F54" s="44">
        <f t="shared" si="4"/>
        <v>1313.8151796018715</v>
      </c>
    </row>
    <row r="55" spans="1:6">
      <c r="A55">
        <f t="shared" si="5"/>
        <v>44</v>
      </c>
      <c r="B55" s="174">
        <v>40575</v>
      </c>
      <c r="C55" s="175">
        <f t="shared" si="6"/>
        <v>11.222171325765984</v>
      </c>
      <c r="D55" s="176">
        <f t="shared" si="7"/>
        <v>258.31234578443383</v>
      </c>
      <c r="E55" s="101">
        <f t="shared" si="3"/>
        <v>150.00714972400453</v>
      </c>
      <c r="F55" s="44">
        <f t="shared" si="4"/>
        <v>1055.5028338174377</v>
      </c>
    </row>
    <row r="56" spans="1:6">
      <c r="A56">
        <f t="shared" si="5"/>
        <v>45</v>
      </c>
      <c r="B56" s="174">
        <v>40603</v>
      </c>
      <c r="C56" s="175">
        <f t="shared" si="6"/>
        <v>9.0157533721906127</v>
      </c>
      <c r="D56" s="176">
        <f t="shared" si="7"/>
        <v>260.51876373800923</v>
      </c>
      <c r="E56" s="101">
        <f t="shared" si="3"/>
        <v>159.02290309619514</v>
      </c>
      <c r="F56" s="44">
        <f t="shared" si="4"/>
        <v>794.98407007942842</v>
      </c>
    </row>
    <row r="57" spans="1:6">
      <c r="A57">
        <f t="shared" si="5"/>
        <v>46</v>
      </c>
      <c r="B57" s="174">
        <v>40634</v>
      </c>
      <c r="C57" s="175">
        <f t="shared" si="6"/>
        <v>6.7904889319284507</v>
      </c>
      <c r="D57" s="176">
        <f t="shared" si="7"/>
        <v>262.74402817827138</v>
      </c>
      <c r="E57" s="101">
        <f t="shared" si="3"/>
        <v>165.81339202812359</v>
      </c>
      <c r="F57" s="44">
        <f t="shared" si="4"/>
        <v>532.24004190115704</v>
      </c>
    </row>
    <row r="58" spans="1:6">
      <c r="A58">
        <f t="shared" si="5"/>
        <v>47</v>
      </c>
      <c r="B58" s="174">
        <v>40664</v>
      </c>
      <c r="C58" s="175">
        <f t="shared" si="6"/>
        <v>4.5462170245723836</v>
      </c>
      <c r="D58" s="176">
        <f t="shared" si="7"/>
        <v>264.98830008562743</v>
      </c>
      <c r="E58" s="101">
        <f t="shared" si="3"/>
        <v>170.35960905269596</v>
      </c>
      <c r="F58" s="44">
        <f t="shared" si="4"/>
        <v>267.25174181552961</v>
      </c>
    </row>
    <row r="59" spans="1:6" ht="13" thickBot="1">
      <c r="A59" s="146">
        <f t="shared" si="5"/>
        <v>48</v>
      </c>
      <c r="B59" s="364">
        <v>40695</v>
      </c>
      <c r="C59" s="365">
        <f t="shared" si="6"/>
        <v>2.2827752946743152</v>
      </c>
      <c r="D59" s="366">
        <f t="shared" si="7"/>
        <v>267.25174181552552</v>
      </c>
      <c r="E59" s="367">
        <f t="shared" si="3"/>
        <v>172.64238434737027</v>
      </c>
      <c r="F59" s="368">
        <f t="shared" si="4"/>
        <v>4.0927261579781771E-12</v>
      </c>
    </row>
    <row r="60" spans="1:6" ht="13">
      <c r="B60" s="1"/>
      <c r="C60" s="177">
        <f>SUM(C12:C59)</f>
        <v>2360.5468212895935</v>
      </c>
      <c r="D60" s="188">
        <f>SUM(D12:D59)</f>
        <v>10577.109999999999</v>
      </c>
      <c r="E60" s="306"/>
      <c r="F60" s="178"/>
    </row>
  </sheetData>
  <mergeCells count="1">
    <mergeCell ref="H10:L10"/>
  </mergeCells>
  <phoneticPr fontId="40" type="noConversion"/>
  <pageMargins left="0.25" right="0" top="0.75" bottom="0.25" header="0.5" footer="0.5"/>
  <pageSetup scale="73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3">
    <pageSetUpPr fitToPage="1"/>
  </sheetPr>
  <dimension ref="A1:L40"/>
  <sheetViews>
    <sheetView workbookViewId="0">
      <selection activeCell="L15" sqref="L15"/>
    </sheetView>
  </sheetViews>
  <sheetFormatPr defaultRowHeight="12.5"/>
  <cols>
    <col min="1" max="1" width="20.453125" customWidth="1"/>
    <col min="2" max="2" width="11.453125" customWidth="1"/>
    <col min="3" max="3" width="12.54296875" customWidth="1"/>
    <col min="4" max="4" width="11" customWidth="1"/>
    <col min="5" max="5" width="12" customWidth="1"/>
    <col min="6" max="6" width="11.1796875" customWidth="1"/>
    <col min="7" max="7" width="1.453125" customWidth="1"/>
    <col min="8" max="8" width="10.54296875" customWidth="1"/>
    <col min="9" max="9" width="32.1796875" customWidth="1"/>
    <col min="10" max="10" width="1" customWidth="1"/>
    <col min="11" max="11" width="9.81640625" customWidth="1"/>
    <col min="12" max="12" width="9.7265625" customWidth="1"/>
  </cols>
  <sheetData>
    <row r="1" spans="1:12" s="3" customFormat="1" ht="13">
      <c r="A1" s="3" t="s">
        <v>463</v>
      </c>
      <c r="B1" s="3" t="s">
        <v>464</v>
      </c>
    </row>
    <row r="2" spans="1:12" ht="13">
      <c r="A2" s="3" t="s">
        <v>396</v>
      </c>
      <c r="B2" s="100" t="s">
        <v>431</v>
      </c>
    </row>
    <row r="3" spans="1:12" ht="13">
      <c r="A3" s="100" t="s">
        <v>466</v>
      </c>
      <c r="B3" s="361">
        <f>'15656-9000'!G16</f>
        <v>47769.71</v>
      </c>
    </row>
    <row r="4" spans="1:12" ht="13">
      <c r="A4" s="100" t="s">
        <v>486</v>
      </c>
      <c r="B4" s="361">
        <f>'15656-9000'!T16</f>
        <v>-13911.13</v>
      </c>
    </row>
    <row r="5" spans="1:12" ht="13.5" thickBot="1">
      <c r="A5" s="100" t="s">
        <v>487</v>
      </c>
      <c r="B5" s="392">
        <f>SUM(B3:B4)</f>
        <v>33858.58</v>
      </c>
    </row>
    <row r="6" spans="1:12" ht="13.5" thickTop="1">
      <c r="A6" s="100" t="s">
        <v>469</v>
      </c>
      <c r="B6" s="186">
        <v>0.10249999999999999</v>
      </c>
    </row>
    <row r="7" spans="1:12" ht="13">
      <c r="A7" s="100" t="s">
        <v>470</v>
      </c>
      <c r="B7" s="152">
        <v>24</v>
      </c>
      <c r="C7" s="3" t="s">
        <v>399</v>
      </c>
      <c r="H7" s="164"/>
    </row>
    <row r="8" spans="1:12" ht="13">
      <c r="A8" s="100" t="s">
        <v>472</v>
      </c>
      <c r="B8" s="187">
        <f>PMT(B6/12,B7,-B5,0,0)</f>
        <v>1566.3114131825082</v>
      </c>
    </row>
    <row r="9" spans="1:12" ht="13" thickBot="1">
      <c r="A9" s="5"/>
    </row>
    <row r="10" spans="1:12" ht="13.5" thickBot="1">
      <c r="A10" s="166" t="s">
        <v>473</v>
      </c>
      <c r="B10" s="167" t="s">
        <v>474</v>
      </c>
      <c r="C10" s="167" t="s">
        <v>425</v>
      </c>
      <c r="D10" s="167" t="s">
        <v>475</v>
      </c>
      <c r="E10" s="305" t="s">
        <v>476</v>
      </c>
      <c r="F10" s="168" t="s">
        <v>422</v>
      </c>
      <c r="G10" s="169"/>
      <c r="H10" s="1242" t="s">
        <v>477</v>
      </c>
      <c r="I10" s="1243"/>
      <c r="J10" s="1243"/>
      <c r="K10" s="1243"/>
      <c r="L10" s="1244"/>
    </row>
    <row r="11" spans="1:12">
      <c r="C11" s="44"/>
      <c r="D11" s="44"/>
      <c r="E11" s="101"/>
      <c r="F11" s="44">
        <f>B5</f>
        <v>33858.58</v>
      </c>
      <c r="G11" s="44"/>
      <c r="K11" s="1" t="s">
        <v>478</v>
      </c>
      <c r="L11" s="1" t="s">
        <v>479</v>
      </c>
    </row>
    <row r="12" spans="1:12">
      <c r="A12" s="394">
        <v>1</v>
      </c>
      <c r="B12" s="395">
        <v>39264</v>
      </c>
      <c r="C12" s="396">
        <f t="shared" ref="C12:C35" si="0">F11*$B$6*30/360</f>
        <v>289.20870416666668</v>
      </c>
      <c r="D12" s="397">
        <f t="shared" ref="D12:D35" si="1">$B$8-C12</f>
        <v>1277.1027090158416</v>
      </c>
      <c r="E12" s="398">
        <f>+C12</f>
        <v>289.20870416666668</v>
      </c>
      <c r="F12" s="398">
        <f t="shared" ref="F12:F34" si="2">F11-D12</f>
        <v>32581.477290984159</v>
      </c>
      <c r="G12" s="44"/>
      <c r="H12" t="s">
        <v>480</v>
      </c>
      <c r="I12" t="s">
        <v>481</v>
      </c>
      <c r="J12" s="164">
        <f>B8</f>
        <v>1566.3114131825082</v>
      </c>
      <c r="K12" s="173">
        <f>B8</f>
        <v>1566.3114131825082</v>
      </c>
      <c r="L12" s="173"/>
    </row>
    <row r="13" spans="1:12">
      <c r="A13" s="394">
        <v>2</v>
      </c>
      <c r="B13" s="395">
        <v>39295</v>
      </c>
      <c r="C13" s="396">
        <f t="shared" si="0"/>
        <v>278.30011852715637</v>
      </c>
      <c r="D13" s="397">
        <f t="shared" si="1"/>
        <v>1288.0112946553518</v>
      </c>
      <c r="E13" s="398">
        <f>+E12+C13</f>
        <v>567.50882269382305</v>
      </c>
      <c r="F13" s="398">
        <f t="shared" si="2"/>
        <v>31293.465996328807</v>
      </c>
      <c r="G13" s="44"/>
      <c r="H13" t="s">
        <v>482</v>
      </c>
      <c r="I13" t="s">
        <v>483</v>
      </c>
      <c r="K13" s="173"/>
      <c r="L13" s="173">
        <v>1402.36</v>
      </c>
    </row>
    <row r="14" spans="1:12">
      <c r="A14" s="394">
        <v>3</v>
      </c>
      <c r="B14" s="395">
        <v>39326</v>
      </c>
      <c r="C14" s="396">
        <f t="shared" si="0"/>
        <v>267.29835538530858</v>
      </c>
      <c r="D14" s="397">
        <f t="shared" si="1"/>
        <v>1299.0130577971995</v>
      </c>
      <c r="E14" s="398">
        <f t="shared" ref="E14:E35" si="3">+E13+C14</f>
        <v>834.80717807913163</v>
      </c>
      <c r="F14" s="398">
        <f t="shared" si="2"/>
        <v>29994.452938531605</v>
      </c>
      <c r="G14" s="44"/>
      <c r="H14" t="s">
        <v>484</v>
      </c>
      <c r="I14" t="s">
        <v>485</v>
      </c>
      <c r="K14" s="173"/>
      <c r="L14" s="173">
        <v>163.95</v>
      </c>
    </row>
    <row r="15" spans="1:12">
      <c r="A15" s="394">
        <v>4</v>
      </c>
      <c r="B15" s="395">
        <v>39356</v>
      </c>
      <c r="C15" s="396">
        <f t="shared" si="0"/>
        <v>256.2026188499575</v>
      </c>
      <c r="D15" s="397">
        <f t="shared" si="1"/>
        <v>1310.1087943325506</v>
      </c>
      <c r="E15" s="398">
        <f t="shared" si="3"/>
        <v>1091.0097969290891</v>
      </c>
      <c r="F15" s="398">
        <f t="shared" si="2"/>
        <v>28684.344144199054</v>
      </c>
      <c r="G15" s="44"/>
    </row>
    <row r="16" spans="1:12" ht="13" thickBot="1">
      <c r="A16" s="394">
        <v>5</v>
      </c>
      <c r="B16" s="395">
        <v>39387</v>
      </c>
      <c r="C16" s="396">
        <f t="shared" si="0"/>
        <v>245.01210623170024</v>
      </c>
      <c r="D16" s="397">
        <f t="shared" si="1"/>
        <v>1321.2993069508079</v>
      </c>
      <c r="E16" s="398">
        <f t="shared" si="3"/>
        <v>1336.0219031607894</v>
      </c>
      <c r="F16" s="398">
        <f t="shared" si="2"/>
        <v>27363.044837248246</v>
      </c>
      <c r="G16" s="44"/>
      <c r="K16" s="181">
        <f>SUM(K12:K15)</f>
        <v>1566.3114131825082</v>
      </c>
      <c r="L16" s="181">
        <f>SUM(L12:L15)</f>
        <v>1566.31</v>
      </c>
    </row>
    <row r="17" spans="1:7" ht="13" thickTop="1">
      <c r="A17" s="394">
        <v>6</v>
      </c>
      <c r="B17" s="395">
        <v>39417</v>
      </c>
      <c r="C17" s="396">
        <f t="shared" si="0"/>
        <v>233.72600798482875</v>
      </c>
      <c r="D17" s="397">
        <f t="shared" si="1"/>
        <v>1332.5854051976794</v>
      </c>
      <c r="E17" s="398">
        <f t="shared" si="3"/>
        <v>1569.7479111456182</v>
      </c>
      <c r="F17" s="398">
        <f t="shared" si="2"/>
        <v>26030.459432050568</v>
      </c>
      <c r="G17" s="44"/>
    </row>
    <row r="18" spans="1:7">
      <c r="A18" s="394">
        <v>7</v>
      </c>
      <c r="B18" s="395">
        <v>39448</v>
      </c>
      <c r="C18" s="396">
        <f t="shared" si="0"/>
        <v>222.34350764876524</v>
      </c>
      <c r="D18" s="397">
        <f t="shared" si="1"/>
        <v>1343.9679055337429</v>
      </c>
      <c r="E18" s="398">
        <f t="shared" si="3"/>
        <v>1792.0914187943836</v>
      </c>
      <c r="F18" s="398">
        <f t="shared" si="2"/>
        <v>24686.491526516824</v>
      </c>
      <c r="G18" s="44"/>
    </row>
    <row r="19" spans="1:7">
      <c r="A19" s="394">
        <v>8</v>
      </c>
      <c r="B19" s="395">
        <v>39479</v>
      </c>
      <c r="C19" s="396">
        <f t="shared" si="0"/>
        <v>210.86378178899787</v>
      </c>
      <c r="D19" s="397">
        <f t="shared" si="1"/>
        <v>1355.4476313935104</v>
      </c>
      <c r="E19" s="398">
        <f t="shared" si="3"/>
        <v>2002.9552005833814</v>
      </c>
      <c r="F19" s="398">
        <f t="shared" si="2"/>
        <v>23331.043895123312</v>
      </c>
      <c r="G19" s="44"/>
    </row>
    <row r="20" spans="1:7">
      <c r="A20" s="394">
        <v>9</v>
      </c>
      <c r="B20" s="395">
        <v>39508</v>
      </c>
      <c r="C20" s="396">
        <f t="shared" si="0"/>
        <v>199.28599993751158</v>
      </c>
      <c r="D20" s="397">
        <f t="shared" si="1"/>
        <v>1367.0254132449966</v>
      </c>
      <c r="E20" s="398">
        <f t="shared" si="3"/>
        <v>2202.241200520893</v>
      </c>
      <c r="F20" s="398">
        <f t="shared" si="2"/>
        <v>21964.018481878316</v>
      </c>
      <c r="G20" s="44"/>
    </row>
    <row r="21" spans="1:7">
      <c r="A21" s="394">
        <v>10</v>
      </c>
      <c r="B21" s="395">
        <v>39539</v>
      </c>
      <c r="C21" s="396">
        <f t="shared" si="0"/>
        <v>187.60932453271062</v>
      </c>
      <c r="D21" s="397">
        <f t="shared" si="1"/>
        <v>1378.7020886497976</v>
      </c>
      <c r="E21" s="398">
        <f t="shared" si="3"/>
        <v>2389.8505250536036</v>
      </c>
      <c r="F21" s="398">
        <f t="shared" si="2"/>
        <v>20585.316393228517</v>
      </c>
      <c r="G21" s="44"/>
    </row>
    <row r="22" spans="1:7">
      <c r="A22" s="394">
        <v>11</v>
      </c>
      <c r="B22" s="395">
        <v>39569</v>
      </c>
      <c r="C22" s="396">
        <f t="shared" si="0"/>
        <v>175.83291085882692</v>
      </c>
      <c r="D22" s="397">
        <f t="shared" si="1"/>
        <v>1390.4785023236814</v>
      </c>
      <c r="E22" s="398">
        <f t="shared" si="3"/>
        <v>2565.6834359124305</v>
      </c>
      <c r="F22" s="398">
        <f t="shared" si="2"/>
        <v>19194.837890904837</v>
      </c>
      <c r="G22" s="44"/>
    </row>
    <row r="23" spans="1:7" ht="13" thickBot="1">
      <c r="A23" s="405">
        <v>12</v>
      </c>
      <c r="B23" s="406">
        <v>39600</v>
      </c>
      <c r="C23" s="407">
        <f t="shared" si="0"/>
        <v>163.95590698481215</v>
      </c>
      <c r="D23" s="408">
        <f t="shared" si="1"/>
        <v>1402.3555061976961</v>
      </c>
      <c r="E23" s="409">
        <f t="shared" si="3"/>
        <v>2729.6393428972424</v>
      </c>
      <c r="F23" s="409">
        <f t="shared" si="2"/>
        <v>17792.482384707142</v>
      </c>
      <c r="G23" s="44"/>
    </row>
    <row r="24" spans="1:7">
      <c r="A24">
        <v>13</v>
      </c>
      <c r="B24" s="174">
        <v>39630</v>
      </c>
      <c r="C24" s="369">
        <f t="shared" si="0"/>
        <v>151.97745370270681</v>
      </c>
      <c r="D24" s="370">
        <f t="shared" si="1"/>
        <v>1414.3339594798015</v>
      </c>
      <c r="E24" s="101">
        <f>C24</f>
        <v>151.97745370270681</v>
      </c>
      <c r="F24" s="101">
        <f t="shared" si="2"/>
        <v>16378.14842522734</v>
      </c>
      <c r="G24" s="44"/>
    </row>
    <row r="25" spans="1:7">
      <c r="A25">
        <v>14</v>
      </c>
      <c r="B25" s="174">
        <v>39661</v>
      </c>
      <c r="C25" s="369">
        <f t="shared" si="0"/>
        <v>139.89668446548353</v>
      </c>
      <c r="D25" s="370">
        <f t="shared" si="1"/>
        <v>1426.4147287170247</v>
      </c>
      <c r="E25" s="101">
        <f>+E24+C25</f>
        <v>291.87413816819037</v>
      </c>
      <c r="F25" s="101">
        <f t="shared" si="2"/>
        <v>14951.733696510315</v>
      </c>
      <c r="G25" s="44"/>
    </row>
    <row r="26" spans="1:7">
      <c r="A26">
        <v>15</v>
      </c>
      <c r="B26" s="174">
        <v>39692</v>
      </c>
      <c r="C26" s="369">
        <f t="shared" si="0"/>
        <v>127.71272532435893</v>
      </c>
      <c r="D26" s="370">
        <f t="shared" si="1"/>
        <v>1438.5986878581493</v>
      </c>
      <c r="E26" s="101">
        <f t="shared" si="3"/>
        <v>419.5868634925493</v>
      </c>
      <c r="F26" s="101">
        <f t="shared" si="2"/>
        <v>13513.135008652165</v>
      </c>
      <c r="G26" s="44"/>
    </row>
    <row r="27" spans="1:7">
      <c r="A27">
        <v>16</v>
      </c>
      <c r="B27" s="174">
        <v>39722</v>
      </c>
      <c r="C27" s="369">
        <f t="shared" si="0"/>
        <v>115.42469486557056</v>
      </c>
      <c r="D27" s="370">
        <f t="shared" si="1"/>
        <v>1450.8867183169377</v>
      </c>
      <c r="E27" s="101">
        <f t="shared" si="3"/>
        <v>535.01155835811983</v>
      </c>
      <c r="F27" s="101">
        <f t="shared" si="2"/>
        <v>12062.248290335228</v>
      </c>
      <c r="G27" s="44"/>
    </row>
    <row r="28" spans="1:7">
      <c r="A28">
        <v>17</v>
      </c>
      <c r="B28" s="174">
        <v>39753</v>
      </c>
      <c r="C28" s="369">
        <f t="shared" si="0"/>
        <v>103.03170414661341</v>
      </c>
      <c r="D28" s="370">
        <f t="shared" si="1"/>
        <v>1463.2797090358947</v>
      </c>
      <c r="E28" s="101">
        <f t="shared" si="3"/>
        <v>638.04326250473321</v>
      </c>
      <c r="F28" s="101">
        <f t="shared" si="2"/>
        <v>10598.968581299334</v>
      </c>
      <c r="G28" s="44"/>
    </row>
    <row r="29" spans="1:7">
      <c r="A29">
        <v>18</v>
      </c>
      <c r="B29" s="174">
        <v>39783</v>
      </c>
      <c r="C29" s="369">
        <f t="shared" si="0"/>
        <v>90.532856631931807</v>
      </c>
      <c r="D29" s="370">
        <f t="shared" si="1"/>
        <v>1475.7785565505765</v>
      </c>
      <c r="E29" s="101">
        <f t="shared" si="3"/>
        <v>728.57611913666506</v>
      </c>
      <c r="F29" s="101">
        <f t="shared" si="2"/>
        <v>9123.1900247487574</v>
      </c>
      <c r="G29" s="44"/>
    </row>
    <row r="30" spans="1:7">
      <c r="A30">
        <v>19</v>
      </c>
      <c r="B30" s="174">
        <v>39814</v>
      </c>
      <c r="C30" s="369">
        <f t="shared" si="0"/>
        <v>77.927248128062303</v>
      </c>
      <c r="D30" s="370">
        <f t="shared" si="1"/>
        <v>1488.3841650544459</v>
      </c>
      <c r="E30" s="101">
        <f t="shared" si="3"/>
        <v>806.50336726472733</v>
      </c>
      <c r="F30" s="101">
        <f t="shared" si="2"/>
        <v>7634.8058596943119</v>
      </c>
      <c r="G30" s="44"/>
    </row>
    <row r="31" spans="1:7">
      <c r="A31">
        <v>20</v>
      </c>
      <c r="B31" s="174">
        <v>39845</v>
      </c>
      <c r="C31" s="369">
        <f t="shared" si="0"/>
        <v>65.213966718222238</v>
      </c>
      <c r="D31" s="370">
        <f t="shared" si="1"/>
        <v>1501.0974464642859</v>
      </c>
      <c r="E31" s="101">
        <f t="shared" si="3"/>
        <v>871.71733398294953</v>
      </c>
      <c r="F31" s="101">
        <f t="shared" si="2"/>
        <v>6133.7084132300261</v>
      </c>
      <c r="G31" s="44"/>
    </row>
    <row r="32" spans="1:7">
      <c r="A32">
        <v>21</v>
      </c>
      <c r="B32" s="174">
        <v>39873</v>
      </c>
      <c r="C32" s="369">
        <f t="shared" si="0"/>
        <v>52.392092696339802</v>
      </c>
      <c r="D32" s="370">
        <f t="shared" si="1"/>
        <v>1513.9193204861683</v>
      </c>
      <c r="E32" s="101">
        <f t="shared" si="3"/>
        <v>924.1094266792893</v>
      </c>
      <c r="F32" s="101">
        <f t="shared" si="2"/>
        <v>4619.7890927438575</v>
      </c>
      <c r="G32" s="44"/>
    </row>
    <row r="33" spans="1:7">
      <c r="A33">
        <v>22</v>
      </c>
      <c r="B33" s="174">
        <v>39904</v>
      </c>
      <c r="C33" s="369">
        <f t="shared" si="0"/>
        <v>39.460698500520451</v>
      </c>
      <c r="D33" s="370">
        <f t="shared" si="1"/>
        <v>1526.8507146819877</v>
      </c>
      <c r="E33" s="101">
        <f t="shared" si="3"/>
        <v>963.57012517980979</v>
      </c>
      <c r="F33" s="101">
        <f>F32-D33</f>
        <v>3092.93837806187</v>
      </c>
      <c r="G33" s="44"/>
    </row>
    <row r="34" spans="1:7">
      <c r="A34">
        <v>23</v>
      </c>
      <c r="B34" s="174">
        <v>39934</v>
      </c>
      <c r="C34" s="369">
        <f t="shared" si="0"/>
        <v>26.418848645945136</v>
      </c>
      <c r="D34" s="370">
        <f t="shared" si="1"/>
        <v>1539.892564536563</v>
      </c>
      <c r="E34" s="101">
        <f t="shared" si="3"/>
        <v>989.9889738257549</v>
      </c>
      <c r="F34" s="101">
        <f t="shared" si="2"/>
        <v>1553.045813525307</v>
      </c>
      <c r="G34" s="44"/>
    </row>
    <row r="35" spans="1:7" ht="13" thickBot="1">
      <c r="A35" s="146">
        <v>24</v>
      </c>
      <c r="B35" s="364">
        <v>39965</v>
      </c>
      <c r="C35" s="365">
        <f t="shared" si="0"/>
        <v>13.265599657195331</v>
      </c>
      <c r="D35" s="366">
        <f t="shared" si="1"/>
        <v>1553.045813525313</v>
      </c>
      <c r="E35" s="367">
        <f t="shared" si="3"/>
        <v>1003.2545734829503</v>
      </c>
      <c r="F35" s="368">
        <f>F34-D35</f>
        <v>-5.9117155615240335E-12</v>
      </c>
      <c r="G35" s="44"/>
    </row>
    <row r="36" spans="1:7" ht="13">
      <c r="B36" s="1"/>
      <c r="C36" s="177">
        <f>SUM(C12:C35)</f>
        <v>3732.893916380192</v>
      </c>
      <c r="D36" s="393">
        <f>SUM(D12:D35)</f>
        <v>33858.58</v>
      </c>
      <c r="E36" s="101"/>
      <c r="F36" s="178"/>
      <c r="G36" s="178"/>
    </row>
    <row r="37" spans="1:7">
      <c r="C37" s="44"/>
      <c r="D37" s="44"/>
      <c r="E37" s="101"/>
      <c r="F37" s="179"/>
      <c r="G37" s="44"/>
    </row>
    <row r="38" spans="1:7">
      <c r="C38" s="44"/>
      <c r="D38" s="44"/>
      <c r="E38" s="101"/>
      <c r="F38" s="44"/>
      <c r="G38" s="44"/>
    </row>
    <row r="39" spans="1:7">
      <c r="C39" s="45"/>
      <c r="D39" s="44"/>
      <c r="E39" s="101"/>
      <c r="F39" s="44"/>
      <c r="G39" s="44"/>
    </row>
    <row r="40" spans="1:7">
      <c r="C40" s="44"/>
      <c r="D40" s="44"/>
      <c r="E40" s="101"/>
      <c r="F40" s="44"/>
      <c r="G40" s="44"/>
    </row>
  </sheetData>
  <mergeCells count="1">
    <mergeCell ref="H10:L10"/>
  </mergeCells>
  <phoneticPr fontId="40" type="noConversion"/>
  <pageMargins left="0.25" right="0" top="1" bottom="0.25" header="0.5" footer="0.5"/>
  <pageSetup scale="73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4">
    <pageSetUpPr fitToPage="1"/>
  </sheetPr>
  <dimension ref="A1:L60"/>
  <sheetViews>
    <sheetView workbookViewId="0">
      <selection activeCell="L15" sqref="L15"/>
    </sheetView>
  </sheetViews>
  <sheetFormatPr defaultRowHeight="12.5"/>
  <cols>
    <col min="1" max="1" width="20.7265625" customWidth="1"/>
    <col min="2" max="2" width="11" customWidth="1"/>
    <col min="3" max="3" width="12.54296875" customWidth="1"/>
    <col min="4" max="4" width="11" customWidth="1"/>
    <col min="5" max="5" width="11.81640625" customWidth="1"/>
    <col min="6" max="6" width="11.1796875" customWidth="1"/>
    <col min="7" max="7" width="2" customWidth="1"/>
    <col min="8" max="8" width="10.54296875" customWidth="1"/>
    <col min="9" max="9" width="30.81640625" customWidth="1"/>
    <col min="10" max="10" width="1" customWidth="1"/>
    <col min="11" max="11" width="9.81640625" customWidth="1"/>
    <col min="12" max="12" width="9.7265625" customWidth="1"/>
  </cols>
  <sheetData>
    <row r="1" spans="1:12" ht="13">
      <c r="A1" s="3" t="s">
        <v>463</v>
      </c>
      <c r="B1" s="3" t="s">
        <v>464</v>
      </c>
    </row>
    <row r="2" spans="1:12" ht="13">
      <c r="A2" s="3" t="s">
        <v>396</v>
      </c>
      <c r="B2" s="3" t="s">
        <v>488</v>
      </c>
    </row>
    <row r="3" spans="1:12" ht="13">
      <c r="A3" s="100" t="s">
        <v>466</v>
      </c>
      <c r="B3" s="362">
        <f>'15656-9000'!G20</f>
        <v>55349.52</v>
      </c>
    </row>
    <row r="4" spans="1:12" ht="13">
      <c r="A4" s="100" t="s">
        <v>486</v>
      </c>
      <c r="B4" s="362">
        <f>'15656-9000'!T20</f>
        <v>-8787.9699999999993</v>
      </c>
    </row>
    <row r="5" spans="1:12" ht="13.5" thickBot="1">
      <c r="A5" s="100" t="s">
        <v>487</v>
      </c>
      <c r="B5" s="399">
        <f>SUM(B3:B4)</f>
        <v>46561.549999999996</v>
      </c>
    </row>
    <row r="6" spans="1:12" ht="13.5" thickTop="1">
      <c r="A6" s="100" t="s">
        <v>469</v>
      </c>
      <c r="B6" s="163">
        <v>0.10249999999999999</v>
      </c>
    </row>
    <row r="7" spans="1:12" ht="13">
      <c r="A7" s="100" t="s">
        <v>470</v>
      </c>
      <c r="B7" s="3">
        <v>48</v>
      </c>
      <c r="C7" s="3" t="s">
        <v>471</v>
      </c>
      <c r="H7" s="164"/>
    </row>
    <row r="8" spans="1:12" ht="13">
      <c r="A8" s="100" t="s">
        <v>472</v>
      </c>
      <c r="B8" s="165">
        <f>PMT(B6/12,B7,-B5,0,0)</f>
        <v>1186.5192756010315</v>
      </c>
    </row>
    <row r="9" spans="1:12" ht="13" thickBot="1">
      <c r="A9" s="5"/>
    </row>
    <row r="10" spans="1:12" ht="13.5" thickBot="1">
      <c r="A10" s="166" t="s">
        <v>473</v>
      </c>
      <c r="B10" s="167" t="s">
        <v>474</v>
      </c>
      <c r="C10" s="167" t="s">
        <v>425</v>
      </c>
      <c r="D10" s="167" t="s">
        <v>475</v>
      </c>
      <c r="E10" s="305" t="s">
        <v>476</v>
      </c>
      <c r="F10" s="168" t="s">
        <v>422</v>
      </c>
      <c r="G10" s="169"/>
      <c r="H10" s="1242" t="s">
        <v>477</v>
      </c>
      <c r="I10" s="1243"/>
      <c r="J10" s="1243"/>
      <c r="K10" s="1243"/>
      <c r="L10" s="1244"/>
    </row>
    <row r="11" spans="1:12">
      <c r="C11" s="44"/>
      <c r="D11" s="44"/>
      <c r="E11" s="101"/>
      <c r="F11" s="44">
        <f>+B5</f>
        <v>46561.549999999996</v>
      </c>
      <c r="G11" s="44"/>
      <c r="K11" s="1" t="s">
        <v>478</v>
      </c>
      <c r="L11" s="1" t="s">
        <v>479</v>
      </c>
    </row>
    <row r="12" spans="1:12">
      <c r="A12" s="394">
        <v>1</v>
      </c>
      <c r="B12" s="395">
        <v>39264</v>
      </c>
      <c r="C12" s="396">
        <f t="shared" ref="C12:C59" si="0">F11*$B$6*30/360</f>
        <v>397.71323958333329</v>
      </c>
      <c r="D12" s="397">
        <f t="shared" ref="D12:D59" si="1">$B$8-C12</f>
        <v>788.80603601769826</v>
      </c>
      <c r="E12" s="398">
        <f>+C12</f>
        <v>397.71323958333329</v>
      </c>
      <c r="F12" s="398">
        <f t="shared" ref="F12:F34" si="2">F11-D12</f>
        <v>45772.743963982299</v>
      </c>
      <c r="G12" s="44"/>
      <c r="H12" t="s">
        <v>480</v>
      </c>
      <c r="I12" t="s">
        <v>481</v>
      </c>
      <c r="J12" s="164">
        <f>B8</f>
        <v>1186.5192756010315</v>
      </c>
      <c r="K12" s="172">
        <f>B8</f>
        <v>1186.5192756010315</v>
      </c>
      <c r="L12" s="173"/>
    </row>
    <row r="13" spans="1:12">
      <c r="A13" s="394">
        <v>2</v>
      </c>
      <c r="B13" s="395">
        <v>39295</v>
      </c>
      <c r="C13" s="396">
        <f t="shared" si="0"/>
        <v>390.97552135901543</v>
      </c>
      <c r="D13" s="397">
        <f t="shared" si="1"/>
        <v>795.54375424201612</v>
      </c>
      <c r="E13" s="398">
        <f>+E12+C13</f>
        <v>788.68876094234872</v>
      </c>
      <c r="F13" s="398">
        <f t="shared" si="2"/>
        <v>44977.20020974028</v>
      </c>
      <c r="G13" s="44"/>
      <c r="H13" t="s">
        <v>482</v>
      </c>
      <c r="I13" t="s">
        <v>483</v>
      </c>
      <c r="K13" s="173"/>
      <c r="L13" s="172">
        <v>866.17</v>
      </c>
    </row>
    <row r="14" spans="1:12">
      <c r="A14" s="394">
        <v>3</v>
      </c>
      <c r="B14" s="395">
        <v>39326</v>
      </c>
      <c r="C14" s="396">
        <f t="shared" si="0"/>
        <v>384.18025179153159</v>
      </c>
      <c r="D14" s="397">
        <f t="shared" si="1"/>
        <v>802.33902380949985</v>
      </c>
      <c r="E14" s="398">
        <f t="shared" ref="E14:E59" si="3">+E13+C14</f>
        <v>1172.8690127338803</v>
      </c>
      <c r="F14" s="398">
        <f t="shared" si="2"/>
        <v>44174.861185930778</v>
      </c>
      <c r="G14" s="44"/>
      <c r="H14" t="s">
        <v>484</v>
      </c>
      <c r="I14" t="s">
        <v>485</v>
      </c>
      <c r="K14" s="173"/>
      <c r="L14" s="173">
        <v>320.35000000000002</v>
      </c>
    </row>
    <row r="15" spans="1:12">
      <c r="A15" s="394">
        <v>4</v>
      </c>
      <c r="B15" s="395">
        <v>39356</v>
      </c>
      <c r="C15" s="396">
        <f t="shared" si="0"/>
        <v>377.32693929649207</v>
      </c>
      <c r="D15" s="397">
        <f t="shared" si="1"/>
        <v>809.19233630453937</v>
      </c>
      <c r="E15" s="398">
        <f t="shared" si="3"/>
        <v>1550.1959520303724</v>
      </c>
      <c r="F15" s="398">
        <f t="shared" si="2"/>
        <v>43365.668849626236</v>
      </c>
      <c r="G15" s="44"/>
    </row>
    <row r="16" spans="1:12" ht="13" thickBot="1">
      <c r="A16" s="394">
        <v>5</v>
      </c>
      <c r="B16" s="395">
        <v>39387</v>
      </c>
      <c r="C16" s="396">
        <f t="shared" si="0"/>
        <v>370.4150880905575</v>
      </c>
      <c r="D16" s="397">
        <f t="shared" si="1"/>
        <v>816.10418751047405</v>
      </c>
      <c r="E16" s="398">
        <f t="shared" si="3"/>
        <v>1920.6110401209298</v>
      </c>
      <c r="F16" s="398">
        <f t="shared" si="2"/>
        <v>42549.564662115765</v>
      </c>
      <c r="G16" s="44"/>
      <c r="K16" s="180">
        <f>SUM(K12:K15)</f>
        <v>1186.5192756010315</v>
      </c>
      <c r="L16" s="181">
        <f>SUM(L12:L15)</f>
        <v>1186.52</v>
      </c>
    </row>
    <row r="17" spans="1:7" ht="13" thickTop="1">
      <c r="A17" s="394">
        <v>6</v>
      </c>
      <c r="B17" s="395">
        <v>39417</v>
      </c>
      <c r="C17" s="396">
        <f t="shared" si="0"/>
        <v>363.44419815557217</v>
      </c>
      <c r="D17" s="397">
        <f t="shared" si="1"/>
        <v>823.07507744545933</v>
      </c>
      <c r="E17" s="398">
        <f t="shared" si="3"/>
        <v>2284.0552382765018</v>
      </c>
      <c r="F17" s="398">
        <f t="shared" si="2"/>
        <v>41726.489584670308</v>
      </c>
      <c r="G17" s="44"/>
    </row>
    <row r="18" spans="1:7">
      <c r="A18" s="394">
        <v>7</v>
      </c>
      <c r="B18" s="395">
        <v>39448</v>
      </c>
      <c r="C18" s="396">
        <f t="shared" si="0"/>
        <v>356.4137652023922</v>
      </c>
      <c r="D18" s="397">
        <f t="shared" si="1"/>
        <v>830.10551039863935</v>
      </c>
      <c r="E18" s="398">
        <f t="shared" si="3"/>
        <v>2640.4690034788941</v>
      </c>
      <c r="F18" s="398">
        <f t="shared" si="2"/>
        <v>40896.384074271671</v>
      </c>
      <c r="G18" s="44"/>
    </row>
    <row r="19" spans="1:7">
      <c r="A19" s="394">
        <v>8</v>
      </c>
      <c r="B19" s="395">
        <v>39479</v>
      </c>
      <c r="C19" s="396">
        <f t="shared" si="0"/>
        <v>349.32328063440383</v>
      </c>
      <c r="D19" s="397">
        <f t="shared" si="1"/>
        <v>837.19599496662772</v>
      </c>
      <c r="E19" s="398">
        <f t="shared" si="3"/>
        <v>2989.7922841132981</v>
      </c>
      <c r="F19" s="398">
        <f t="shared" si="2"/>
        <v>40059.188079305044</v>
      </c>
      <c r="G19" s="44"/>
    </row>
    <row r="20" spans="1:7">
      <c r="A20" s="394">
        <v>9</v>
      </c>
      <c r="B20" s="395">
        <v>39508</v>
      </c>
      <c r="C20" s="396">
        <f t="shared" si="0"/>
        <v>342.17223151073057</v>
      </c>
      <c r="D20" s="397">
        <f t="shared" si="1"/>
        <v>844.34704409030087</v>
      </c>
      <c r="E20" s="398">
        <f t="shared" si="3"/>
        <v>3331.9645156240285</v>
      </c>
      <c r="F20" s="398">
        <f t="shared" si="2"/>
        <v>39214.84103521474</v>
      </c>
      <c r="G20" s="44"/>
    </row>
    <row r="21" spans="1:7">
      <c r="A21" s="394">
        <v>10</v>
      </c>
      <c r="B21" s="395">
        <v>39539</v>
      </c>
      <c r="C21" s="396">
        <f t="shared" si="0"/>
        <v>334.96010050912594</v>
      </c>
      <c r="D21" s="397">
        <f t="shared" si="1"/>
        <v>851.55917509190556</v>
      </c>
      <c r="E21" s="398">
        <f t="shared" si="3"/>
        <v>3666.9246161331544</v>
      </c>
      <c r="F21" s="398">
        <f t="shared" si="2"/>
        <v>38363.281860122835</v>
      </c>
      <c r="G21" s="44"/>
    </row>
    <row r="22" spans="1:7">
      <c r="A22" s="394">
        <v>11</v>
      </c>
      <c r="B22" s="395">
        <v>39569</v>
      </c>
      <c r="C22" s="396">
        <f t="shared" si="0"/>
        <v>327.68636588854923</v>
      </c>
      <c r="D22" s="397">
        <f t="shared" si="1"/>
        <v>858.83290971248221</v>
      </c>
      <c r="E22" s="398">
        <f t="shared" si="3"/>
        <v>3994.6109820217034</v>
      </c>
      <c r="F22" s="398">
        <f t="shared" si="2"/>
        <v>37504.448950410355</v>
      </c>
      <c r="G22" s="44"/>
    </row>
    <row r="23" spans="1:7" ht="13" thickBot="1">
      <c r="A23" s="405">
        <v>12</v>
      </c>
      <c r="B23" s="406">
        <v>39600</v>
      </c>
      <c r="C23" s="407">
        <f t="shared" si="0"/>
        <v>320.35050145142174</v>
      </c>
      <c r="D23" s="408">
        <f t="shared" si="1"/>
        <v>866.16877414960982</v>
      </c>
      <c r="E23" s="409">
        <f t="shared" si="3"/>
        <v>4314.9614834731256</v>
      </c>
      <c r="F23" s="409">
        <f t="shared" si="2"/>
        <v>36638.280176260741</v>
      </c>
      <c r="G23" s="44"/>
    </row>
    <row r="24" spans="1:7">
      <c r="A24">
        <v>13</v>
      </c>
      <c r="B24" s="174">
        <v>39630</v>
      </c>
      <c r="C24" s="369">
        <f t="shared" si="0"/>
        <v>312.95197650556048</v>
      </c>
      <c r="D24" s="370">
        <f t="shared" si="1"/>
        <v>873.56729909547107</v>
      </c>
      <c r="E24" s="101">
        <f>C24</f>
        <v>312.95197650556048</v>
      </c>
      <c r="F24" s="101">
        <f t="shared" si="2"/>
        <v>35764.712877165271</v>
      </c>
      <c r="G24" s="44"/>
    </row>
    <row r="25" spans="1:7">
      <c r="A25">
        <v>14</v>
      </c>
      <c r="B25" s="174">
        <v>39661</v>
      </c>
      <c r="C25" s="369">
        <f t="shared" si="0"/>
        <v>305.49025582578668</v>
      </c>
      <c r="D25" s="370">
        <f t="shared" si="1"/>
        <v>881.02901977524482</v>
      </c>
      <c r="E25" s="101">
        <f>+E24+C25</f>
        <v>618.44223233134721</v>
      </c>
      <c r="F25" s="101">
        <f t="shared" si="2"/>
        <v>34883.683857390024</v>
      </c>
      <c r="G25" s="44"/>
    </row>
    <row r="26" spans="1:7">
      <c r="A26">
        <v>15</v>
      </c>
      <c r="B26" s="174">
        <v>39692</v>
      </c>
      <c r="C26" s="369">
        <f t="shared" si="0"/>
        <v>297.96479961520646</v>
      </c>
      <c r="D26" s="370">
        <f t="shared" si="1"/>
        <v>888.55447598582509</v>
      </c>
      <c r="E26" s="101">
        <f t="shared" si="3"/>
        <v>916.40703194655362</v>
      </c>
      <c r="F26" s="101">
        <f t="shared" si="2"/>
        <v>33995.1293814042</v>
      </c>
      <c r="G26" s="44"/>
    </row>
    <row r="27" spans="1:7">
      <c r="A27">
        <v>16</v>
      </c>
      <c r="B27" s="174">
        <v>39722</v>
      </c>
      <c r="C27" s="369">
        <f t="shared" si="0"/>
        <v>290.37506346616084</v>
      </c>
      <c r="D27" s="370">
        <f t="shared" si="1"/>
        <v>896.14421213487071</v>
      </c>
      <c r="E27" s="101">
        <f t="shared" si="3"/>
        <v>1206.7820954127144</v>
      </c>
      <c r="F27" s="101">
        <f t="shared" si="2"/>
        <v>33098.985169269326</v>
      </c>
      <c r="G27" s="44"/>
    </row>
    <row r="28" spans="1:7">
      <c r="A28">
        <v>17</v>
      </c>
      <c r="B28" s="174">
        <v>39753</v>
      </c>
      <c r="C28" s="369">
        <f t="shared" si="0"/>
        <v>282.72049832084213</v>
      </c>
      <c r="D28" s="370">
        <f t="shared" si="1"/>
        <v>903.79877728018937</v>
      </c>
      <c r="E28" s="101">
        <f t="shared" si="3"/>
        <v>1489.5025937335565</v>
      </c>
      <c r="F28" s="101">
        <f t="shared" si="2"/>
        <v>32195.186391989137</v>
      </c>
      <c r="G28" s="44"/>
    </row>
    <row r="29" spans="1:7">
      <c r="A29">
        <v>18</v>
      </c>
      <c r="B29" s="174">
        <v>39783</v>
      </c>
      <c r="C29" s="369">
        <f t="shared" si="0"/>
        <v>275.00055043157386</v>
      </c>
      <c r="D29" s="370">
        <f t="shared" si="1"/>
        <v>911.51872516945764</v>
      </c>
      <c r="E29" s="101">
        <f t="shared" si="3"/>
        <v>1764.5031441651304</v>
      </c>
      <c r="F29" s="101">
        <f t="shared" si="2"/>
        <v>31283.667666819678</v>
      </c>
      <c r="G29" s="44"/>
    </row>
    <row r="30" spans="1:7">
      <c r="A30">
        <v>19</v>
      </c>
      <c r="B30" s="174">
        <v>39814</v>
      </c>
      <c r="C30" s="369">
        <f t="shared" si="0"/>
        <v>267.21466132075142</v>
      </c>
      <c r="D30" s="370">
        <f t="shared" si="1"/>
        <v>919.30461428028002</v>
      </c>
      <c r="E30" s="101">
        <f t="shared" si="3"/>
        <v>2031.7178054858819</v>
      </c>
      <c r="F30" s="101">
        <f t="shared" si="2"/>
        <v>30364.363052539396</v>
      </c>
      <c r="G30" s="44"/>
    </row>
    <row r="31" spans="1:7">
      <c r="A31">
        <v>20</v>
      </c>
      <c r="B31" s="174">
        <v>39845</v>
      </c>
      <c r="C31" s="369">
        <f t="shared" si="0"/>
        <v>259.3622677404407</v>
      </c>
      <c r="D31" s="370">
        <f t="shared" si="1"/>
        <v>927.15700786059074</v>
      </c>
      <c r="E31" s="101">
        <f t="shared" si="3"/>
        <v>2291.0800732263224</v>
      </c>
      <c r="F31" s="101">
        <f t="shared" si="2"/>
        <v>29437.206044678805</v>
      </c>
      <c r="G31" s="44"/>
    </row>
    <row r="32" spans="1:7">
      <c r="A32">
        <v>21</v>
      </c>
      <c r="B32" s="174">
        <v>39873</v>
      </c>
      <c r="C32" s="369">
        <f t="shared" si="0"/>
        <v>251.44280163163145</v>
      </c>
      <c r="D32" s="370">
        <f t="shared" si="1"/>
        <v>935.07647396940001</v>
      </c>
      <c r="E32" s="101">
        <f t="shared" si="3"/>
        <v>2542.5228748579539</v>
      </c>
      <c r="F32" s="101">
        <f t="shared" si="2"/>
        <v>28502.129570709407</v>
      </c>
      <c r="G32" s="44"/>
    </row>
    <row r="33" spans="1:7">
      <c r="A33">
        <v>22</v>
      </c>
      <c r="B33" s="174">
        <v>39904</v>
      </c>
      <c r="C33" s="369">
        <f t="shared" si="0"/>
        <v>243.4556900831428</v>
      </c>
      <c r="D33" s="370">
        <f t="shared" si="1"/>
        <v>943.06358551788867</v>
      </c>
      <c r="E33" s="101">
        <f t="shared" si="3"/>
        <v>2785.9785649410965</v>
      </c>
      <c r="F33" s="101">
        <f>F32-D33</f>
        <v>27559.065985191519</v>
      </c>
      <c r="G33" s="44"/>
    </row>
    <row r="34" spans="1:7">
      <c r="A34">
        <v>23</v>
      </c>
      <c r="B34" s="174">
        <v>39934</v>
      </c>
      <c r="C34" s="369">
        <f t="shared" si="0"/>
        <v>235.40035529017752</v>
      </c>
      <c r="D34" s="370">
        <f t="shared" si="1"/>
        <v>951.11892031085404</v>
      </c>
      <c r="E34" s="101">
        <f t="shared" si="3"/>
        <v>3021.3789202312742</v>
      </c>
      <c r="F34" s="101">
        <f t="shared" si="2"/>
        <v>26607.947064880664</v>
      </c>
      <c r="G34" s="44"/>
    </row>
    <row r="35" spans="1:7" ht="13" thickBot="1">
      <c r="A35" s="146">
        <v>24</v>
      </c>
      <c r="B35" s="364">
        <v>39965</v>
      </c>
      <c r="C35" s="365">
        <f t="shared" si="0"/>
        <v>227.27621451252236</v>
      </c>
      <c r="D35" s="366">
        <f t="shared" si="1"/>
        <v>959.24306108850919</v>
      </c>
      <c r="E35" s="367">
        <f t="shared" si="3"/>
        <v>3248.6551347437967</v>
      </c>
      <c r="F35" s="368">
        <f>F34-D35</f>
        <v>25648.704003792154</v>
      </c>
      <c r="G35" s="44"/>
    </row>
    <row r="36" spans="1:7">
      <c r="A36">
        <f>A35+1</f>
        <v>25</v>
      </c>
      <c r="B36" s="174">
        <v>39995</v>
      </c>
      <c r="C36" s="175">
        <f t="shared" si="0"/>
        <v>219.08268003239129</v>
      </c>
      <c r="D36" s="176">
        <f t="shared" si="1"/>
        <v>967.4365955686402</v>
      </c>
      <c r="E36" s="101">
        <f>C36</f>
        <v>219.08268003239129</v>
      </c>
      <c r="F36" s="44">
        <f t="shared" ref="F36:F59" si="4">F35-D36</f>
        <v>24681.267408223513</v>
      </c>
      <c r="G36" s="44"/>
    </row>
    <row r="37" spans="1:7">
      <c r="A37">
        <f t="shared" ref="A37:A59" si="5">A36+1</f>
        <v>26</v>
      </c>
      <c r="B37" s="174">
        <v>40026</v>
      </c>
      <c r="C37" s="175">
        <f t="shared" si="0"/>
        <v>210.81915911190919</v>
      </c>
      <c r="D37" s="176">
        <f t="shared" si="1"/>
        <v>975.70011648912237</v>
      </c>
      <c r="E37" s="101">
        <f>+E36+C37</f>
        <v>429.90183914430048</v>
      </c>
      <c r="F37" s="44">
        <f t="shared" si="4"/>
        <v>23705.567291734391</v>
      </c>
      <c r="G37" s="44"/>
    </row>
    <row r="38" spans="1:7">
      <c r="A38">
        <f t="shared" si="5"/>
        <v>27</v>
      </c>
      <c r="B38" s="174">
        <v>40057</v>
      </c>
      <c r="C38" s="175">
        <f t="shared" si="0"/>
        <v>202.48505395023122</v>
      </c>
      <c r="D38" s="176">
        <f t="shared" si="1"/>
        <v>984.0342216508003</v>
      </c>
      <c r="E38" s="101">
        <f t="shared" si="3"/>
        <v>632.38689309453173</v>
      </c>
      <c r="F38" s="44">
        <f t="shared" si="4"/>
        <v>22721.533070083591</v>
      </c>
      <c r="G38" s="44"/>
    </row>
    <row r="39" spans="1:7">
      <c r="A39">
        <f t="shared" si="5"/>
        <v>28</v>
      </c>
      <c r="B39" s="174">
        <v>40087</v>
      </c>
      <c r="C39" s="175">
        <f t="shared" si="0"/>
        <v>194.07976164029736</v>
      </c>
      <c r="D39" s="176">
        <f t="shared" si="1"/>
        <v>992.43951396073408</v>
      </c>
      <c r="E39" s="101">
        <f t="shared" si="3"/>
        <v>826.46665473482904</v>
      </c>
      <c r="F39" s="44">
        <f t="shared" si="4"/>
        <v>21729.093556122858</v>
      </c>
      <c r="G39" s="44"/>
    </row>
    <row r="40" spans="1:7">
      <c r="A40">
        <f t="shared" si="5"/>
        <v>29</v>
      </c>
      <c r="B40" s="174">
        <v>40118</v>
      </c>
      <c r="C40" s="175">
        <f t="shared" si="0"/>
        <v>185.60267412521608</v>
      </c>
      <c r="D40" s="176">
        <f t="shared" si="1"/>
        <v>1000.9166014758155</v>
      </c>
      <c r="E40" s="101">
        <f t="shared" si="3"/>
        <v>1012.0693288600451</v>
      </c>
      <c r="F40" s="44">
        <f t="shared" si="4"/>
        <v>20728.176954647042</v>
      </c>
      <c r="G40" s="44"/>
    </row>
    <row r="41" spans="1:7">
      <c r="A41">
        <f t="shared" si="5"/>
        <v>30</v>
      </c>
      <c r="B41" s="174">
        <v>40148</v>
      </c>
      <c r="C41" s="175">
        <f t="shared" si="0"/>
        <v>177.05317815427679</v>
      </c>
      <c r="D41" s="176">
        <f t="shared" si="1"/>
        <v>1009.4660974467547</v>
      </c>
      <c r="E41" s="101">
        <f t="shared" si="3"/>
        <v>1189.1225070143219</v>
      </c>
      <c r="F41" s="44">
        <f t="shared" si="4"/>
        <v>19718.710857200287</v>
      </c>
      <c r="G41" s="44"/>
    </row>
    <row r="42" spans="1:7">
      <c r="A42">
        <f t="shared" si="5"/>
        <v>31</v>
      </c>
      <c r="B42" s="174">
        <v>40179</v>
      </c>
      <c r="C42" s="175">
        <f t="shared" si="0"/>
        <v>168.43065523858579</v>
      </c>
      <c r="D42" s="176">
        <f t="shared" si="1"/>
        <v>1018.0886203624457</v>
      </c>
      <c r="E42" s="101">
        <f t="shared" si="3"/>
        <v>1357.5531622529077</v>
      </c>
      <c r="F42" s="44">
        <f t="shared" si="4"/>
        <v>18700.62223683784</v>
      </c>
      <c r="G42" s="44"/>
    </row>
    <row r="43" spans="1:7">
      <c r="A43">
        <f t="shared" si="5"/>
        <v>32</v>
      </c>
      <c r="B43" s="174">
        <v>40210</v>
      </c>
      <c r="C43" s="175">
        <f t="shared" si="0"/>
        <v>159.73448160632321</v>
      </c>
      <c r="D43" s="176">
        <f t="shared" si="1"/>
        <v>1026.7847939947083</v>
      </c>
      <c r="E43" s="101">
        <f t="shared" si="3"/>
        <v>1517.2876438592309</v>
      </c>
      <c r="F43" s="44">
        <f t="shared" si="4"/>
        <v>17673.837442843131</v>
      </c>
      <c r="G43" s="44"/>
    </row>
    <row r="44" spans="1:7">
      <c r="A44">
        <f t="shared" si="5"/>
        <v>33</v>
      </c>
      <c r="B44" s="174">
        <v>40238</v>
      </c>
      <c r="C44" s="175">
        <f t="shared" si="0"/>
        <v>150.96402815761837</v>
      </c>
      <c r="D44" s="176">
        <f t="shared" si="1"/>
        <v>1035.555247443413</v>
      </c>
      <c r="E44" s="101">
        <f t="shared" si="3"/>
        <v>1668.2516720168492</v>
      </c>
      <c r="F44" s="44">
        <f t="shared" si="4"/>
        <v>16638.282195399719</v>
      </c>
      <c r="G44" s="44"/>
    </row>
    <row r="45" spans="1:7">
      <c r="A45">
        <f t="shared" si="5"/>
        <v>34</v>
      </c>
      <c r="B45" s="174">
        <v>40269</v>
      </c>
      <c r="C45" s="175">
        <f t="shared" si="0"/>
        <v>142.11866041903926</v>
      </c>
      <c r="D45" s="176">
        <f t="shared" si="1"/>
        <v>1044.4006151819922</v>
      </c>
      <c r="E45" s="101">
        <f t="shared" si="3"/>
        <v>1810.3703324358885</v>
      </c>
      <c r="F45" s="44">
        <f t="shared" si="4"/>
        <v>15593.881580217727</v>
      </c>
      <c r="G45" s="44"/>
    </row>
    <row r="46" spans="1:7">
      <c r="A46">
        <f t="shared" si="5"/>
        <v>35</v>
      </c>
      <c r="B46" s="174">
        <v>40299</v>
      </c>
      <c r="C46" s="175">
        <f t="shared" si="0"/>
        <v>133.19773849769308</v>
      </c>
      <c r="D46" s="176">
        <f t="shared" si="1"/>
        <v>1053.3215371033384</v>
      </c>
      <c r="E46" s="101">
        <f t="shared" si="3"/>
        <v>1943.5680709335816</v>
      </c>
      <c r="F46" s="44">
        <f t="shared" si="4"/>
        <v>14540.560043114388</v>
      </c>
      <c r="G46" s="44"/>
    </row>
    <row r="47" spans="1:7" ht="13" thickBot="1">
      <c r="A47" s="146">
        <f t="shared" si="5"/>
        <v>36</v>
      </c>
      <c r="B47" s="364">
        <v>40330</v>
      </c>
      <c r="C47" s="365">
        <f t="shared" si="0"/>
        <v>124.20061703493541</v>
      </c>
      <c r="D47" s="366">
        <f t="shared" si="1"/>
        <v>1062.318658566096</v>
      </c>
      <c r="E47" s="367">
        <f t="shared" si="3"/>
        <v>2067.768687968517</v>
      </c>
      <c r="F47" s="368">
        <f t="shared" si="4"/>
        <v>13478.241384548292</v>
      </c>
      <c r="G47" s="44"/>
    </row>
    <row r="48" spans="1:7">
      <c r="A48">
        <f t="shared" si="5"/>
        <v>37</v>
      </c>
      <c r="B48" s="174">
        <v>40360</v>
      </c>
      <c r="C48" s="175">
        <f t="shared" si="0"/>
        <v>115.12664515968332</v>
      </c>
      <c r="D48" s="176">
        <f t="shared" si="1"/>
        <v>1071.3926304413483</v>
      </c>
      <c r="E48" s="101">
        <f>C48</f>
        <v>115.12664515968332</v>
      </c>
      <c r="F48" s="44">
        <f t="shared" si="4"/>
        <v>12406.848754106943</v>
      </c>
      <c r="G48" s="44"/>
    </row>
    <row r="49" spans="1:7">
      <c r="A49">
        <f t="shared" si="5"/>
        <v>38</v>
      </c>
      <c r="B49" s="174">
        <v>40391</v>
      </c>
      <c r="C49" s="175">
        <f t="shared" si="0"/>
        <v>105.97516644133013</v>
      </c>
      <c r="D49" s="176">
        <f t="shared" si="1"/>
        <v>1080.5441091597013</v>
      </c>
      <c r="E49" s="101">
        <f>+E48+C49</f>
        <v>221.10181160101345</v>
      </c>
      <c r="F49" s="44">
        <f t="shared" si="4"/>
        <v>11326.304644947242</v>
      </c>
      <c r="G49" s="44"/>
    </row>
    <row r="50" spans="1:7">
      <c r="A50">
        <f t="shared" si="5"/>
        <v>39</v>
      </c>
      <c r="B50" s="174">
        <v>40422</v>
      </c>
      <c r="C50" s="175">
        <f t="shared" si="0"/>
        <v>96.745518842257695</v>
      </c>
      <c r="D50" s="176">
        <f t="shared" si="1"/>
        <v>1089.7737567587737</v>
      </c>
      <c r="E50" s="101">
        <f t="shared" si="3"/>
        <v>317.84733044327118</v>
      </c>
      <c r="F50" s="44">
        <f t="shared" si="4"/>
        <v>10236.530888188468</v>
      </c>
      <c r="G50" s="44"/>
    </row>
    <row r="51" spans="1:7">
      <c r="A51">
        <f t="shared" si="5"/>
        <v>40</v>
      </c>
      <c r="B51" s="174">
        <v>40452</v>
      </c>
      <c r="C51" s="175">
        <f t="shared" si="0"/>
        <v>87.437034669943159</v>
      </c>
      <c r="D51" s="176">
        <f t="shared" si="1"/>
        <v>1099.0822409310883</v>
      </c>
      <c r="E51" s="101">
        <f t="shared" si="3"/>
        <v>405.28436511321433</v>
      </c>
      <c r="F51" s="44">
        <f t="shared" si="4"/>
        <v>9137.4486472573808</v>
      </c>
      <c r="G51" s="44"/>
    </row>
    <row r="52" spans="1:7">
      <c r="A52">
        <f t="shared" si="5"/>
        <v>41</v>
      </c>
      <c r="B52" s="174">
        <v>40483</v>
      </c>
      <c r="C52" s="175">
        <f t="shared" si="0"/>
        <v>78.049040528656789</v>
      </c>
      <c r="D52" s="176">
        <f t="shared" si="1"/>
        <v>1108.4702350723746</v>
      </c>
      <c r="E52" s="101">
        <f t="shared" si="3"/>
        <v>483.33340564187114</v>
      </c>
      <c r="F52" s="44">
        <f t="shared" si="4"/>
        <v>8028.9784121850062</v>
      </c>
      <c r="G52" s="44"/>
    </row>
    <row r="53" spans="1:7">
      <c r="A53">
        <f t="shared" si="5"/>
        <v>42</v>
      </c>
      <c r="B53" s="174">
        <v>40513</v>
      </c>
      <c r="C53" s="175">
        <f t="shared" si="0"/>
        <v>68.580857270746932</v>
      </c>
      <c r="D53" s="176">
        <f t="shared" si="1"/>
        <v>1117.9384183302845</v>
      </c>
      <c r="E53" s="101">
        <f t="shared" si="3"/>
        <v>551.91426291261803</v>
      </c>
      <c r="F53" s="44">
        <f t="shared" si="4"/>
        <v>6911.0399938547216</v>
      </c>
      <c r="G53" s="44"/>
    </row>
    <row r="54" spans="1:7">
      <c r="A54">
        <f t="shared" si="5"/>
        <v>43</v>
      </c>
      <c r="B54" s="174">
        <v>40544</v>
      </c>
      <c r="C54" s="175">
        <f t="shared" si="0"/>
        <v>59.031799947509079</v>
      </c>
      <c r="D54" s="176">
        <f t="shared" si="1"/>
        <v>1127.4874756535223</v>
      </c>
      <c r="E54" s="101">
        <f t="shared" si="3"/>
        <v>610.94606286012709</v>
      </c>
      <c r="F54" s="44">
        <f t="shared" si="4"/>
        <v>5783.5525182011988</v>
      </c>
      <c r="G54" s="44"/>
    </row>
    <row r="55" spans="1:7">
      <c r="A55">
        <f t="shared" si="5"/>
        <v>44</v>
      </c>
      <c r="B55" s="174">
        <v>40575</v>
      </c>
      <c r="C55" s="175">
        <f t="shared" si="0"/>
        <v>49.401177759635246</v>
      </c>
      <c r="D55" s="176">
        <f t="shared" si="1"/>
        <v>1137.1180978413963</v>
      </c>
      <c r="E55" s="101">
        <f t="shared" si="3"/>
        <v>660.34724061976237</v>
      </c>
      <c r="F55" s="44">
        <f t="shared" si="4"/>
        <v>4646.434420359803</v>
      </c>
      <c r="G55" s="44"/>
    </row>
    <row r="56" spans="1:7">
      <c r="A56">
        <f t="shared" si="5"/>
        <v>45</v>
      </c>
      <c r="B56" s="174">
        <v>40603</v>
      </c>
      <c r="C56" s="175">
        <f t="shared" si="0"/>
        <v>39.688294007239975</v>
      </c>
      <c r="D56" s="176">
        <f t="shared" si="1"/>
        <v>1146.8309815937914</v>
      </c>
      <c r="E56" s="101">
        <f t="shared" si="3"/>
        <v>700.03553462700233</v>
      </c>
      <c r="F56" s="44">
        <f t="shared" si="4"/>
        <v>3499.6034387660115</v>
      </c>
      <c r="G56" s="44"/>
    </row>
    <row r="57" spans="1:7">
      <c r="A57">
        <f t="shared" si="5"/>
        <v>46</v>
      </c>
      <c r="B57" s="174">
        <v>40634</v>
      </c>
      <c r="C57" s="175">
        <f t="shared" si="0"/>
        <v>29.892446039459678</v>
      </c>
      <c r="D57" s="176">
        <f t="shared" si="1"/>
        <v>1156.6268295615719</v>
      </c>
      <c r="E57" s="101">
        <f t="shared" si="3"/>
        <v>729.92798066646196</v>
      </c>
      <c r="F57" s="44">
        <f t="shared" si="4"/>
        <v>2342.9766092044397</v>
      </c>
      <c r="G57" s="44"/>
    </row>
    <row r="58" spans="1:7">
      <c r="A58">
        <f t="shared" si="5"/>
        <v>47</v>
      </c>
      <c r="B58" s="174">
        <v>40664</v>
      </c>
      <c r="C58" s="175">
        <f t="shared" si="0"/>
        <v>20.012925203621254</v>
      </c>
      <c r="D58" s="176">
        <f t="shared" si="1"/>
        <v>1166.5063503974102</v>
      </c>
      <c r="E58" s="101">
        <f t="shared" si="3"/>
        <v>749.94090587008327</v>
      </c>
      <c r="F58" s="44">
        <f t="shared" si="4"/>
        <v>1176.4702588070295</v>
      </c>
      <c r="G58" s="44"/>
    </row>
    <row r="59" spans="1:7" ht="13" thickBot="1">
      <c r="A59" s="146">
        <f t="shared" si="5"/>
        <v>48</v>
      </c>
      <c r="B59" s="364">
        <v>40695</v>
      </c>
      <c r="C59" s="365">
        <f t="shared" si="0"/>
        <v>10.04901679397671</v>
      </c>
      <c r="D59" s="366">
        <f t="shared" si="1"/>
        <v>1176.4702588070547</v>
      </c>
      <c r="E59" s="367">
        <f t="shared" si="3"/>
        <v>759.98992266406003</v>
      </c>
      <c r="F59" s="368">
        <f t="shared" si="4"/>
        <v>-2.5238477974198759E-11</v>
      </c>
      <c r="G59" s="44"/>
    </row>
    <row r="60" spans="1:7" ht="13">
      <c r="B60" s="1"/>
      <c r="C60" s="177">
        <f>SUM(C12:C59)</f>
        <v>10391.375228849496</v>
      </c>
      <c r="D60" s="188">
        <f>SUM(D12:D59)</f>
        <v>46561.55000000001</v>
      </c>
      <c r="E60" s="101"/>
      <c r="F60" s="178"/>
      <c r="G60" s="178"/>
    </row>
  </sheetData>
  <mergeCells count="1">
    <mergeCell ref="H10:L10"/>
  </mergeCells>
  <phoneticPr fontId="40" type="noConversion"/>
  <pageMargins left="0.75" right="0.75" top="1" bottom="1" header="0.5" footer="0.5"/>
  <pageSetup scale="6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autoPageBreaks="0" fitToPage="1"/>
  </sheetPr>
  <dimension ref="A1:G44"/>
  <sheetViews>
    <sheetView topLeftCell="A23" workbookViewId="0">
      <selection activeCell="E51" sqref="E51"/>
    </sheetView>
  </sheetViews>
  <sheetFormatPr defaultRowHeight="12.5"/>
  <cols>
    <col min="1" max="1" width="4.7265625" customWidth="1"/>
    <col min="2" max="2" width="17" customWidth="1"/>
    <col min="3" max="3" width="22.26953125" customWidth="1"/>
    <col min="4" max="4" width="20.26953125" customWidth="1"/>
    <col min="5" max="5" width="16" customWidth="1"/>
    <col min="6" max="6" width="26.1796875" customWidth="1"/>
    <col min="7" max="7" width="20.54296875" customWidth="1"/>
  </cols>
  <sheetData>
    <row r="1" spans="1:7" ht="18">
      <c r="A1" s="1223" t="str">
        <f>+'Review Comments'!B11</f>
        <v>ABI PROPERTIES</v>
      </c>
      <c r="B1" s="1224"/>
      <c r="C1" s="1224"/>
      <c r="D1" s="1224"/>
      <c r="E1" s="1224"/>
      <c r="F1" s="1224"/>
      <c r="G1" s="1225"/>
    </row>
    <row r="2" spans="1:7" ht="18">
      <c r="A2" s="1197" t="s">
        <v>489</v>
      </c>
      <c r="B2" s="1198"/>
      <c r="C2" s="1198"/>
      <c r="D2" s="1198"/>
      <c r="E2" s="1198"/>
      <c r="F2" s="1198"/>
      <c r="G2" s="1199"/>
    </row>
    <row r="3" spans="1:7" ht="18.5" thickBot="1">
      <c r="A3" s="1226" t="str">
        <f>'Review Comments'!B13</f>
        <v>FOR THE MONTH ENDED 08/31/26</v>
      </c>
      <c r="B3" s="1227"/>
      <c r="C3" s="1227"/>
      <c r="D3" s="1227"/>
      <c r="E3" s="1227"/>
      <c r="F3" s="1227"/>
      <c r="G3" s="1228"/>
    </row>
    <row r="4" spans="1:7" ht="18">
      <c r="B4" s="14"/>
      <c r="C4" s="10"/>
      <c r="D4" s="15"/>
      <c r="E4" s="9"/>
      <c r="F4" s="9"/>
      <c r="G4" s="9"/>
    </row>
    <row r="5" spans="1:7" ht="18">
      <c r="B5" s="14"/>
      <c r="C5" s="10"/>
      <c r="D5" s="15"/>
      <c r="E5" s="9"/>
      <c r="F5" s="9"/>
      <c r="G5" s="9"/>
    </row>
    <row r="6" spans="1:7">
      <c r="B6" s="5" t="s">
        <v>474</v>
      </c>
      <c r="C6" s="36"/>
      <c r="D6" s="37"/>
      <c r="E6" s="9"/>
      <c r="F6" s="9"/>
      <c r="G6" s="9"/>
    </row>
    <row r="7" spans="1:7">
      <c r="B7" s="5"/>
      <c r="C7" s="36"/>
      <c r="D7" s="37"/>
      <c r="E7" s="9"/>
      <c r="F7" s="9"/>
      <c r="G7" s="9"/>
    </row>
    <row r="8" spans="1:7" ht="15" customHeight="1">
      <c r="B8" s="1"/>
      <c r="C8" s="980" t="s">
        <v>64</v>
      </c>
      <c r="D8" s="124"/>
      <c r="E8" s="36"/>
      <c r="F8" s="9" t="s">
        <v>490</v>
      </c>
      <c r="G8" s="9"/>
    </row>
    <row r="9" spans="1:7">
      <c r="B9" s="5" t="s">
        <v>491</v>
      </c>
      <c r="C9" s="963"/>
      <c r="D9" s="386"/>
      <c r="E9" s="386"/>
      <c r="F9" s="387"/>
      <c r="G9" s="9"/>
    </row>
    <row r="10" spans="1:7">
      <c r="B10" s="5"/>
      <c r="C10" s="963"/>
      <c r="D10" s="386"/>
      <c r="E10" s="386"/>
      <c r="F10" s="387"/>
      <c r="G10" s="9"/>
    </row>
    <row r="11" spans="1:7">
      <c r="B11" s="5"/>
      <c r="C11" s="38"/>
      <c r="D11" s="386"/>
      <c r="E11" s="386"/>
      <c r="F11" s="387"/>
      <c r="G11" s="9"/>
    </row>
    <row r="12" spans="1:7">
      <c r="B12" s="5"/>
      <c r="C12" s="38"/>
      <c r="D12" s="386"/>
      <c r="E12" s="386"/>
      <c r="F12" s="387"/>
      <c r="G12" s="18"/>
    </row>
    <row r="13" spans="1:7" ht="13" thickBot="1">
      <c r="B13" s="1" t="s">
        <v>147</v>
      </c>
      <c r="C13" s="964">
        <f>SUM(C9:C12)</f>
        <v>0</v>
      </c>
      <c r="D13" s="964">
        <f>SUM(D9:D12)</f>
        <v>0</v>
      </c>
      <c r="E13" s="36"/>
      <c r="F13" s="9"/>
      <c r="G13" s="9"/>
    </row>
    <row r="14" spans="1:7" ht="13" thickTop="1">
      <c r="B14" s="9"/>
      <c r="C14" s="10"/>
      <c r="D14" s="15"/>
      <c r="E14" s="9"/>
      <c r="F14" s="9"/>
      <c r="G14" s="9"/>
    </row>
    <row r="15" spans="1:7">
      <c r="B15" s="9"/>
      <c r="C15" s="10"/>
      <c r="D15" s="15"/>
      <c r="E15" s="9"/>
      <c r="F15" s="9"/>
      <c r="G15" s="9"/>
    </row>
    <row r="16" spans="1:7">
      <c r="A16" s="359"/>
      <c r="B16" s="354"/>
      <c r="C16" s="309" t="s">
        <v>491</v>
      </c>
      <c r="D16" s="354" t="s">
        <v>492</v>
      </c>
      <c r="E16" s="354" t="s">
        <v>390</v>
      </c>
      <c r="F16" s="354" t="s">
        <v>387</v>
      </c>
      <c r="G16" s="310" t="s">
        <v>389</v>
      </c>
    </row>
    <row r="17" spans="2:7">
      <c r="B17" s="356" t="s">
        <v>61</v>
      </c>
      <c r="C17" s="356">
        <v>54000</v>
      </c>
      <c r="D17" s="356">
        <v>54000</v>
      </c>
      <c r="E17" s="356">
        <v>54000</v>
      </c>
      <c r="F17" s="356">
        <v>13120</v>
      </c>
      <c r="G17" s="311">
        <v>20200</v>
      </c>
    </row>
    <row r="18" spans="2:7">
      <c r="B18" s="10"/>
      <c r="C18" s="10"/>
      <c r="D18" s="37"/>
      <c r="E18" s="9"/>
      <c r="F18" s="9"/>
      <c r="G18" s="9"/>
    </row>
    <row r="19" spans="2:7">
      <c r="B19" s="19">
        <v>41275</v>
      </c>
      <c r="C19" s="51"/>
      <c r="D19" s="51"/>
      <c r="E19" s="41">
        <f t="shared" ref="E19:E24" si="0">SUM(C19:D19)</f>
        <v>0</v>
      </c>
      <c r="F19" s="966"/>
      <c r="G19" s="141">
        <f>-E19</f>
        <v>0</v>
      </c>
    </row>
    <row r="20" spans="2:7" ht="13.5" customHeight="1">
      <c r="B20" s="19">
        <f t="shared" ref="B20:B31" si="1">+B19+31</f>
        <v>41306</v>
      </c>
      <c r="C20" s="51"/>
      <c r="D20" s="51"/>
      <c r="E20" s="41">
        <f t="shared" si="0"/>
        <v>0</v>
      </c>
      <c r="F20" s="966"/>
      <c r="G20" s="141">
        <f>(G19-E20)</f>
        <v>0</v>
      </c>
    </row>
    <row r="21" spans="2:7">
      <c r="B21" s="981">
        <f t="shared" si="1"/>
        <v>41337</v>
      </c>
      <c r="C21" s="982"/>
      <c r="D21" s="982"/>
      <c r="E21" s="983">
        <f t="shared" si="0"/>
        <v>0</v>
      </c>
      <c r="F21" s="984"/>
      <c r="G21" s="985">
        <f>(G20-E21)</f>
        <v>0</v>
      </c>
    </row>
    <row r="22" spans="2:7">
      <c r="B22" s="19">
        <f t="shared" si="1"/>
        <v>41368</v>
      </c>
      <c r="C22" s="51"/>
      <c r="D22" s="51"/>
      <c r="E22" s="41">
        <f t="shared" si="0"/>
        <v>0</v>
      </c>
      <c r="F22" s="966"/>
      <c r="G22" s="141"/>
    </row>
    <row r="23" spans="2:7" s="161" customFormat="1">
      <c r="B23" s="19">
        <f t="shared" si="1"/>
        <v>41399</v>
      </c>
      <c r="C23" s="51"/>
      <c r="D23" s="51"/>
      <c r="E23" s="41">
        <f t="shared" si="0"/>
        <v>0</v>
      </c>
      <c r="F23" s="966"/>
      <c r="G23" s="141"/>
    </row>
    <row r="24" spans="2:7">
      <c r="B24" s="19">
        <f t="shared" si="1"/>
        <v>41430</v>
      </c>
      <c r="C24" s="51"/>
      <c r="D24" s="51"/>
      <c r="E24" s="41">
        <f t="shared" si="0"/>
        <v>0</v>
      </c>
      <c r="F24" s="138"/>
      <c r="G24" s="141"/>
    </row>
    <row r="25" spans="2:7">
      <c r="B25" s="19">
        <f t="shared" si="1"/>
        <v>41461</v>
      </c>
      <c r="C25" s="51"/>
      <c r="D25" s="51"/>
      <c r="E25" s="41">
        <f>+C25+D25</f>
        <v>0</v>
      </c>
      <c r="F25" s="138"/>
      <c r="G25" s="141"/>
    </row>
    <row r="26" spans="2:7">
      <c r="B26" s="19">
        <f t="shared" si="1"/>
        <v>41492</v>
      </c>
      <c r="C26" s="51"/>
      <c r="D26" s="51"/>
      <c r="E26" s="41">
        <f t="shared" ref="E26:E31" si="2">SUM(C26:D26)</f>
        <v>0</v>
      </c>
      <c r="F26" s="138"/>
      <c r="G26" s="141"/>
    </row>
    <row r="27" spans="2:7">
      <c r="B27" s="19">
        <f t="shared" si="1"/>
        <v>41523</v>
      </c>
      <c r="C27" s="51"/>
      <c r="D27" s="51"/>
      <c r="E27" s="41">
        <f t="shared" si="2"/>
        <v>0</v>
      </c>
      <c r="F27" s="138"/>
      <c r="G27" s="141"/>
    </row>
    <row r="28" spans="2:7">
      <c r="B28" s="19">
        <v>41194</v>
      </c>
      <c r="C28" s="51"/>
      <c r="D28" s="51"/>
      <c r="E28" s="41">
        <f t="shared" si="2"/>
        <v>0</v>
      </c>
      <c r="F28" s="138"/>
      <c r="G28" s="141"/>
    </row>
    <row r="29" spans="2:7">
      <c r="B29" s="19">
        <f>+B27+31</f>
        <v>41554</v>
      </c>
      <c r="C29" s="51"/>
      <c r="D29" s="51"/>
      <c r="E29" s="41">
        <f t="shared" si="2"/>
        <v>0</v>
      </c>
      <c r="F29" s="138"/>
      <c r="G29" s="141"/>
    </row>
    <row r="30" spans="2:7">
      <c r="B30" s="19">
        <f t="shared" si="1"/>
        <v>41585</v>
      </c>
      <c r="C30" s="51"/>
      <c r="D30" s="51"/>
      <c r="E30" s="41">
        <f t="shared" si="2"/>
        <v>0</v>
      </c>
      <c r="F30" s="138"/>
      <c r="G30" s="141"/>
    </row>
    <row r="31" spans="2:7" s="22" customFormat="1" ht="13.5" customHeight="1">
      <c r="B31" s="19">
        <f t="shared" si="1"/>
        <v>41616</v>
      </c>
      <c r="C31" s="51"/>
      <c r="D31" s="51"/>
      <c r="E31" s="41">
        <f t="shared" si="2"/>
        <v>0</v>
      </c>
      <c r="F31" s="138"/>
      <c r="G31" s="141"/>
    </row>
    <row r="34" spans="2:7" ht="13.5" thickBot="1">
      <c r="B34" s="123" t="s">
        <v>391</v>
      </c>
      <c r="C34" s="42">
        <f>SUM(C19:C31)</f>
        <v>0</v>
      </c>
      <c r="D34" s="42">
        <f>SUM(D19:D31)</f>
        <v>0</v>
      </c>
      <c r="E34" s="42">
        <f>SUM(C34:D34)</f>
        <v>0</v>
      </c>
      <c r="F34" s="42">
        <f>+F25</f>
        <v>0</v>
      </c>
      <c r="G34" s="42">
        <f>G21</f>
        <v>0</v>
      </c>
    </row>
    <row r="35" spans="2:7" ht="13.5" thickTop="1">
      <c r="B35" s="19"/>
      <c r="C35" s="29"/>
      <c r="D35" s="29"/>
      <c r="E35" s="29"/>
      <c r="F35" s="43"/>
      <c r="G35" s="43"/>
    </row>
    <row r="36" spans="2:7" ht="13.5" customHeight="1">
      <c r="B36" s="19"/>
      <c r="C36" s="39"/>
      <c r="D36" s="40"/>
      <c r="E36" s="41"/>
      <c r="F36" s="18"/>
      <c r="G36" s="142"/>
    </row>
    <row r="37" spans="2:7">
      <c r="B37" s="34"/>
      <c r="C37" s="973" t="s">
        <v>493</v>
      </c>
      <c r="D37" s="974" t="s">
        <v>494</v>
      </c>
      <c r="E37" s="44"/>
      <c r="F37" s="44"/>
      <c r="G37" s="44"/>
    </row>
    <row r="38" spans="2:7">
      <c r="C38" s="27"/>
      <c r="D38" s="27"/>
    </row>
    <row r="39" spans="2:7">
      <c r="C39" s="27"/>
      <c r="D39" s="27"/>
    </row>
    <row r="40" spans="2:7">
      <c r="C40" s="27"/>
      <c r="D40" s="27"/>
    </row>
    <row r="41" spans="2:7">
      <c r="C41" s="27"/>
      <c r="D41" s="27"/>
    </row>
    <row r="42" spans="2:7">
      <c r="C42" s="27"/>
      <c r="D42" s="27"/>
    </row>
    <row r="43" spans="2:7">
      <c r="C43" s="27"/>
    </row>
    <row r="44" spans="2:7" ht="13" thickBot="1">
      <c r="B44" t="s">
        <v>147</v>
      </c>
      <c r="C44" s="967">
        <f>SUM(C38:C43)</f>
        <v>0</v>
      </c>
      <c r="D44" s="967">
        <f>SUM(D38:D43)</f>
        <v>0</v>
      </c>
    </row>
  </sheetData>
  <mergeCells count="3">
    <mergeCell ref="A1:G1"/>
    <mergeCell ref="A2:G2"/>
    <mergeCell ref="A3:G3"/>
  </mergeCells>
  <phoneticPr fontId="0" type="noConversion"/>
  <pageMargins left="0.75" right="0.75" top="1" bottom="1" header="0.5" footer="0.5"/>
  <pageSetup scale="73" orientation="landscape" r:id="rId1"/>
  <headerFooter alignWithMargins="0">
    <oddFooter>&amp;R&amp;F
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autoPageBreaks="0" fitToPage="1"/>
  </sheetPr>
  <dimension ref="A1:G21"/>
  <sheetViews>
    <sheetView workbookViewId="0">
      <selection activeCell="F12" sqref="F12"/>
    </sheetView>
  </sheetViews>
  <sheetFormatPr defaultRowHeight="12.5"/>
  <cols>
    <col min="1" max="1" width="12.7265625" customWidth="1"/>
    <col min="2" max="2" width="2.7265625" customWidth="1"/>
    <col min="3" max="3" width="16.7265625" bestFit="1" customWidth="1"/>
    <col min="4" max="4" width="50.7265625" customWidth="1"/>
    <col min="5" max="5" width="2.7265625" customWidth="1"/>
    <col min="6" max="6" width="16.54296875" customWidth="1"/>
    <col min="7" max="7" width="47.1796875" customWidth="1"/>
  </cols>
  <sheetData>
    <row r="1" spans="1:7" s="9" customFormat="1" ht="18">
      <c r="A1" s="1194" t="str">
        <f>+'Review Comments'!B11</f>
        <v>ABI PROPERTIES</v>
      </c>
      <c r="B1" s="1195"/>
      <c r="C1" s="1195"/>
      <c r="D1" s="1195"/>
      <c r="E1" s="1195"/>
      <c r="F1" s="1195"/>
      <c r="G1" s="1196"/>
    </row>
    <row r="2" spans="1:7" s="9" customFormat="1" ht="18">
      <c r="A2" s="1197" t="s">
        <v>495</v>
      </c>
      <c r="B2" s="1198"/>
      <c r="C2" s="1198"/>
      <c r="D2" s="1198"/>
      <c r="E2" s="1198"/>
      <c r="F2" s="1198"/>
      <c r="G2" s="1199"/>
    </row>
    <row r="3" spans="1:7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1"/>
      <c r="G3" s="1202"/>
    </row>
    <row r="4" spans="1:7" s="9" customFormat="1"/>
    <row r="5" spans="1:7" s="9" customFormat="1"/>
    <row r="6" spans="1:7" s="9" customFormat="1"/>
    <row r="7" spans="1:7" s="9" customFormat="1" ht="13" thickBot="1"/>
    <row r="8" spans="1:7" s="9" customFormat="1" ht="13">
      <c r="A8" s="338"/>
      <c r="B8" s="339"/>
      <c r="C8" s="339"/>
      <c r="D8" s="339"/>
      <c r="E8" s="339"/>
      <c r="F8" s="339"/>
      <c r="G8" s="341"/>
    </row>
    <row r="9" spans="1:7" s="9" customFormat="1" ht="26.5" thickBot="1">
      <c r="A9" s="315" t="s">
        <v>327</v>
      </c>
      <c r="B9" s="316"/>
      <c r="C9" s="316" t="s">
        <v>496</v>
      </c>
      <c r="D9" s="316" t="s">
        <v>328</v>
      </c>
      <c r="E9" s="316"/>
      <c r="F9" s="316" t="s">
        <v>329</v>
      </c>
      <c r="G9" s="357" t="s">
        <v>330</v>
      </c>
    </row>
    <row r="10" spans="1:7" s="9" customFormat="1">
      <c r="A10" s="52"/>
      <c r="G10" s="106"/>
    </row>
    <row r="11" spans="1:7" s="9" customFormat="1">
      <c r="A11" s="968">
        <v>40544</v>
      </c>
      <c r="B11" s="139"/>
      <c r="C11" s="139"/>
      <c r="D11" s="16" t="s">
        <v>497</v>
      </c>
      <c r="E11" s="139"/>
      <c r="F11" s="156">
        <v>0</v>
      </c>
      <c r="G11" s="155"/>
    </row>
    <row r="21" spans="4:6" s="13" customFormat="1" ht="13.5" thickBot="1">
      <c r="D21" s="135" t="s">
        <v>331</v>
      </c>
      <c r="E21" s="135"/>
      <c r="F21" s="965">
        <f>SUM(F11:F20)</f>
        <v>0</v>
      </c>
    </row>
  </sheetData>
  <mergeCells count="3">
    <mergeCell ref="A1:G1"/>
    <mergeCell ref="A2:G2"/>
    <mergeCell ref="A3:G3"/>
  </mergeCells>
  <phoneticPr fontId="0" type="noConversion"/>
  <printOptions horizontalCentered="1"/>
  <pageMargins left="0.75" right="0.75" top="1" bottom="1" header="0.5" footer="0.5"/>
  <pageSetup scale="68" orientation="portrait" r:id="rId1"/>
  <headerFooter alignWithMargins="0">
    <oddFooter>&amp;R&amp;F
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transitionEvaluation="1" codeName="Sheet27">
    <pageSetUpPr autoPageBreaks="0" fitToPage="1"/>
  </sheetPr>
  <dimension ref="A1:E16"/>
  <sheetViews>
    <sheetView workbookViewId="0">
      <selection activeCell="C27" sqref="C27"/>
    </sheetView>
  </sheetViews>
  <sheetFormatPr defaultRowHeight="12.5"/>
  <cols>
    <col min="1" max="1" width="12.7265625" customWidth="1"/>
    <col min="2" max="2" width="19" customWidth="1"/>
    <col min="3" max="3" width="51.81640625" customWidth="1"/>
    <col min="4" max="4" width="2.81640625" customWidth="1"/>
    <col min="5" max="5" width="14.26953125" style="7" customWidth="1"/>
    <col min="6" max="6" width="9.81640625" bestFit="1" customWidth="1"/>
  </cols>
  <sheetData>
    <row r="1" spans="1:5" s="9" customFormat="1" ht="18">
      <c r="A1" s="1180" t="str">
        <f>+'12020'!A1</f>
        <v>ABI PROPERTIES</v>
      </c>
      <c r="B1" s="1181"/>
      <c r="C1" s="1181"/>
      <c r="D1" s="1181"/>
      <c r="E1" s="1182"/>
    </row>
    <row r="2" spans="1:5" s="9" customFormat="1" ht="18">
      <c r="A2" s="1197" t="s">
        <v>498</v>
      </c>
      <c r="B2" s="1198"/>
      <c r="C2" s="1198"/>
      <c r="D2" s="1198"/>
      <c r="E2" s="1199"/>
    </row>
    <row r="3" spans="1:5" s="9" customFormat="1" ht="18.5" thickBot="1">
      <c r="A3" s="1245" t="str">
        <f>+'Review Comments'!B13</f>
        <v>FOR THE MONTH ENDED 08/31/26</v>
      </c>
      <c r="B3" s="1246"/>
      <c r="C3" s="1246"/>
      <c r="D3" s="1246"/>
      <c r="E3" s="1247"/>
    </row>
    <row r="4" spans="1:5" s="9" customFormat="1">
      <c r="E4" s="17"/>
    </row>
    <row r="5" spans="1:5" s="9" customFormat="1" ht="13" thickBot="1">
      <c r="E5" s="17"/>
    </row>
    <row r="6" spans="1:5" s="9" customFormat="1">
      <c r="A6" s="312"/>
      <c r="B6" s="313"/>
      <c r="C6" s="313"/>
      <c r="D6" s="313"/>
      <c r="E6" s="314"/>
    </row>
    <row r="7" spans="1:5" s="13" customFormat="1" ht="26.5" thickBot="1">
      <c r="A7" s="315" t="s">
        <v>327</v>
      </c>
      <c r="B7" s="316" t="s">
        <v>27</v>
      </c>
      <c r="C7" s="316" t="s">
        <v>328</v>
      </c>
      <c r="D7" s="316"/>
      <c r="E7" s="317" t="s">
        <v>329</v>
      </c>
    </row>
    <row r="8" spans="1:5" s="9" customFormat="1" ht="15" customHeight="1">
      <c r="A8" s="52"/>
      <c r="E8" s="108"/>
    </row>
    <row r="9" spans="1:5" s="9" customFormat="1" ht="15" customHeight="1">
      <c r="A9" s="968"/>
      <c r="B9" s="1"/>
      <c r="C9" s="22"/>
      <c r="E9" s="86"/>
    </row>
    <row r="10" spans="1:5" s="9" customFormat="1" ht="15" customHeight="1">
      <c r="A10" s="968"/>
      <c r="B10" s="1"/>
      <c r="C10" s="22"/>
      <c r="E10" s="86"/>
    </row>
    <row r="11" spans="1:5" s="9" customFormat="1" ht="15" customHeight="1">
      <c r="A11" s="109"/>
      <c r="B11" s="110"/>
      <c r="C11" s="111"/>
      <c r="D11" s="112"/>
      <c r="E11" s="157"/>
    </row>
    <row r="12" spans="1:5" s="9" customFormat="1" ht="15" customHeight="1" thickBot="1">
      <c r="A12" s="133"/>
      <c r="B12" s="134"/>
      <c r="C12" s="135" t="s">
        <v>120</v>
      </c>
      <c r="D12" s="135"/>
      <c r="E12" s="158">
        <f>SUM(E9:E11)</f>
        <v>0</v>
      </c>
    </row>
    <row r="13" spans="1:5">
      <c r="A13" s="9"/>
      <c r="B13" s="9"/>
      <c r="C13" s="9"/>
      <c r="D13" s="9"/>
      <c r="E13" s="17"/>
    </row>
    <row r="14" spans="1:5">
      <c r="A14" s="105"/>
      <c r="B14" s="9"/>
    </row>
    <row r="15" spans="1:5">
      <c r="C15" s="9"/>
    </row>
    <row r="16" spans="1:5" ht="13">
      <c r="C16" s="3"/>
      <c r="D16" s="3"/>
      <c r="E16" s="655"/>
    </row>
  </sheetData>
  <mergeCells count="3">
    <mergeCell ref="A1:E1"/>
    <mergeCell ref="A2:E2"/>
    <mergeCell ref="A3:E3"/>
  </mergeCells>
  <phoneticPr fontId="0" type="noConversion"/>
  <printOptions horizontalCentered="1"/>
  <pageMargins left="0.5" right="0" top="1" bottom="1" header="0.5" footer="0.5"/>
  <pageSetup scale="93" orientation="portrait" r:id="rId1"/>
  <headerFooter alignWithMargins="0">
    <oddFooter>&amp;R&amp;F
&amp;D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8">
    <pageSetUpPr autoPageBreaks="0" fitToPage="1"/>
  </sheetPr>
  <dimension ref="A1:G10"/>
  <sheetViews>
    <sheetView topLeftCell="A17" workbookViewId="0">
      <selection activeCell="G26" sqref="G26"/>
    </sheetView>
  </sheetViews>
  <sheetFormatPr defaultColWidth="12.453125" defaultRowHeight="15.5"/>
  <cols>
    <col min="1" max="1" width="14.81640625" style="115" customWidth="1"/>
    <col min="2" max="2" width="2" style="115" customWidth="1"/>
    <col min="3" max="3" width="31.26953125" style="115" customWidth="1"/>
    <col min="4" max="4" width="2.1796875" style="115" customWidth="1"/>
    <col min="5" max="5" width="18" style="121" customWidth="1"/>
    <col min="6" max="6" width="2.7265625" style="119" customWidth="1"/>
    <col min="7" max="7" width="73.453125" style="115" customWidth="1"/>
    <col min="8" max="16384" width="12.453125" style="115"/>
  </cols>
  <sheetData>
    <row r="1" spans="1:7" s="114" customFormat="1" ht="18">
      <c r="A1" s="1180" t="str">
        <f>+'12020'!A1</f>
        <v>ABI PROPERTIES</v>
      </c>
      <c r="B1" s="1181"/>
      <c r="C1" s="1181"/>
      <c r="D1" s="1181"/>
      <c r="E1" s="1181"/>
      <c r="F1" s="1181"/>
      <c r="G1" s="1182"/>
    </row>
    <row r="2" spans="1:7" s="114" customFormat="1" ht="18">
      <c r="A2" s="1248" t="s">
        <v>499</v>
      </c>
      <c r="B2" s="1249"/>
      <c r="C2" s="1249"/>
      <c r="D2" s="1249"/>
      <c r="E2" s="1249"/>
      <c r="F2" s="1249"/>
      <c r="G2" s="1250"/>
    </row>
    <row r="3" spans="1:7" s="114" customFormat="1" ht="18.5" thickBot="1">
      <c r="A3" s="1251" t="str">
        <f>'Review Comments'!B13</f>
        <v>FOR THE MONTH ENDED 08/31/26</v>
      </c>
      <c r="B3" s="1252"/>
      <c r="C3" s="1252"/>
      <c r="D3" s="1252"/>
      <c r="E3" s="1252"/>
      <c r="F3" s="1252"/>
      <c r="G3" s="1253"/>
    </row>
    <row r="4" spans="1:7" ht="16" thickBot="1">
      <c r="C4" s="116"/>
      <c r="D4" s="117"/>
      <c r="E4" s="118"/>
      <c r="G4" s="120"/>
    </row>
    <row r="5" spans="1:7" s="120" customFormat="1" ht="13">
      <c r="A5" s="318"/>
      <c r="B5" s="319"/>
      <c r="C5" s="320"/>
      <c r="D5" s="321"/>
      <c r="E5" s="322"/>
      <c r="F5" s="323"/>
      <c r="G5" s="324"/>
    </row>
    <row r="6" spans="1:7" s="120" customFormat="1" ht="13.5" thickBot="1">
      <c r="A6" s="325" t="s">
        <v>415</v>
      </c>
      <c r="B6" s="326"/>
      <c r="C6" s="327" t="s">
        <v>500</v>
      </c>
      <c r="D6" s="326"/>
      <c r="E6" s="328" t="s">
        <v>329</v>
      </c>
      <c r="F6" s="329"/>
      <c r="G6" s="330" t="s">
        <v>328</v>
      </c>
    </row>
    <row r="7" spans="1:7" s="120" customFormat="1" ht="12.5">
      <c r="A7" s="383"/>
      <c r="C7" s="122"/>
      <c r="E7" s="144"/>
      <c r="F7" s="119"/>
      <c r="G7" s="410"/>
    </row>
    <row r="8" spans="1:7" s="120" customFormat="1" ht="12.5">
      <c r="A8" s="383"/>
      <c r="C8" s="122"/>
      <c r="E8" s="144"/>
      <c r="F8" s="119"/>
      <c r="G8" s="410"/>
    </row>
    <row r="9" spans="1:7" s="120" customFormat="1" ht="12.5">
      <c r="A9" s="383"/>
      <c r="C9" s="122"/>
      <c r="E9" s="144"/>
      <c r="F9" s="119"/>
      <c r="G9" s="410"/>
    </row>
    <row r="10" spans="1:7" ht="16" thickBot="1">
      <c r="A10" s="331"/>
      <c r="B10" s="332"/>
      <c r="C10" s="333" t="s">
        <v>120</v>
      </c>
      <c r="D10" s="334"/>
      <c r="E10" s="335">
        <f>SUM(E7:E9)</f>
        <v>0</v>
      </c>
      <c r="F10" s="336"/>
      <c r="G10" s="337"/>
    </row>
  </sheetData>
  <customSheetViews>
    <customSheetView guid="{407D59A7-4157-4601-BF25-0D4BC2569A3E}" fitToPage="1" hiddenRows="1" showRuler="0">
      <pageMargins left="0" right="0" top="0" bottom="0" header="0" footer="0"/>
      <pageSetup orientation="landscape" r:id="rId1"/>
      <headerFooter alignWithMargins="0"/>
    </customSheetView>
    <customSheetView guid="{C5E32A41-FC3E-4628-B0E4-BCDB4BDAC35C}" fitToPage="1" showRuler="0">
      <selection sqref="A1:G1"/>
      <pageMargins left="0" right="0" top="0" bottom="0" header="0" footer="0"/>
      <pageSetup scale="93" orientation="landscape" r:id="rId2"/>
      <headerFooter alignWithMargins="0"/>
    </customSheetView>
    <customSheetView guid="{239276AE-B7E9-4788-B341-6859AA10E393}" fitToPage="1" showRuler="0">
      <pageMargins left="0" right="0" top="0" bottom="0" header="0" footer="0"/>
      <pageSetup orientation="landscape" r:id="rId3"/>
      <headerFooter alignWithMargins="0"/>
    </customSheetView>
  </customSheetViews>
  <mergeCells count="3">
    <mergeCell ref="A1:G1"/>
    <mergeCell ref="A2:G2"/>
    <mergeCell ref="A3:G3"/>
  </mergeCells>
  <phoneticPr fontId="0" type="noConversion"/>
  <pageMargins left="0.75" right="0.75" top="1" bottom="1" header="0.5" footer="0.5"/>
  <pageSetup scale="78" orientation="landscape" r:id="rId4"/>
  <headerFooter alignWithMargins="0">
    <oddFooter>&amp;R&amp;F
&amp;D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transitionEvaluation="1" codeName="Sheet19">
    <pageSetUpPr autoPageBreaks="0" fitToPage="1"/>
  </sheetPr>
  <dimension ref="A1:G31"/>
  <sheetViews>
    <sheetView topLeftCell="B1" workbookViewId="0">
      <selection activeCell="K15" sqref="K15"/>
    </sheetView>
  </sheetViews>
  <sheetFormatPr defaultRowHeight="12.5"/>
  <cols>
    <col min="1" max="1" width="12.7265625" hidden="1" customWidth="1"/>
    <col min="2" max="2" width="13.54296875" customWidth="1"/>
    <col min="3" max="3" width="16" customWidth="1"/>
    <col min="4" max="4" width="20.26953125" customWidth="1"/>
    <col min="5" max="5" width="47.54296875" customWidth="1"/>
    <col min="6" max="6" width="2.81640625" customWidth="1"/>
    <col min="7" max="7" width="14.26953125" style="7" customWidth="1"/>
    <col min="8" max="8" width="9.81640625" bestFit="1" customWidth="1"/>
    <col min="10" max="10" width="10.7265625" customWidth="1"/>
    <col min="11" max="11" width="10.81640625" customWidth="1"/>
    <col min="12" max="12" width="10.453125" customWidth="1"/>
    <col min="13" max="13" width="10.7265625" customWidth="1"/>
  </cols>
  <sheetData>
    <row r="1" spans="1:7" s="9" customFormat="1" ht="18">
      <c r="A1" s="1180" t="str">
        <f>+'12020'!A1</f>
        <v>ABI PROPERTIES</v>
      </c>
      <c r="B1" s="1254"/>
      <c r="C1" s="1254"/>
      <c r="D1" s="1254"/>
      <c r="E1" s="1254"/>
      <c r="F1" s="1254"/>
      <c r="G1" s="1255"/>
    </row>
    <row r="2" spans="1:7" s="9" customFormat="1" ht="18">
      <c r="A2" s="1256" t="s">
        <v>501</v>
      </c>
      <c r="B2" s="1198"/>
      <c r="C2" s="1198"/>
      <c r="D2" s="1198"/>
      <c r="E2" s="1198"/>
      <c r="F2" s="1198"/>
      <c r="G2" s="1199"/>
    </row>
    <row r="3" spans="1:7" s="9" customFormat="1" ht="18.5" thickBot="1">
      <c r="A3" s="1245" t="str">
        <f>'Review Comments'!B13</f>
        <v>FOR THE MONTH ENDED 08/31/26</v>
      </c>
      <c r="B3" s="1246"/>
      <c r="C3" s="1246"/>
      <c r="D3" s="1246"/>
      <c r="E3" s="1246"/>
      <c r="F3" s="1246"/>
      <c r="G3" s="1247"/>
    </row>
    <row r="4" spans="1:7" s="9" customFormat="1">
      <c r="G4" s="17"/>
    </row>
    <row r="5" spans="1:7" s="9" customFormat="1" ht="13" thickBot="1">
      <c r="G5" s="17"/>
    </row>
    <row r="6" spans="1:7" s="9" customFormat="1">
      <c r="A6" s="312"/>
      <c r="B6" s="312"/>
      <c r="C6" s="313"/>
      <c r="D6" s="313"/>
      <c r="E6" s="313"/>
      <c r="F6" s="313"/>
      <c r="G6" s="314"/>
    </row>
    <row r="7" spans="1:7" s="13" customFormat="1" ht="26.5" thickBot="1">
      <c r="A7" s="315" t="s">
        <v>327</v>
      </c>
      <c r="B7" s="315" t="s">
        <v>347</v>
      </c>
      <c r="C7" s="316" t="s">
        <v>474</v>
      </c>
      <c r="D7" s="316" t="s">
        <v>496</v>
      </c>
      <c r="E7" s="316" t="s">
        <v>328</v>
      </c>
      <c r="F7" s="316"/>
      <c r="G7" s="317" t="s">
        <v>329</v>
      </c>
    </row>
    <row r="8" spans="1:7" s="9" customFormat="1" ht="12.75" customHeight="1">
      <c r="A8" s="52"/>
      <c r="B8" s="84"/>
      <c r="G8" s="108"/>
    </row>
    <row r="9" spans="1:7" s="9" customFormat="1" ht="12.75" customHeight="1">
      <c r="A9" s="52"/>
      <c r="B9" s="971"/>
      <c r="C9" s="129"/>
      <c r="D9" s="43"/>
      <c r="G9" s="86"/>
    </row>
    <row r="10" spans="1:7" s="9" customFormat="1" ht="14.25" customHeight="1">
      <c r="A10" s="113"/>
      <c r="B10" s="970"/>
      <c r="C10" s="976"/>
      <c r="D10" s="43"/>
      <c r="E10" s="126"/>
      <c r="G10" s="86"/>
    </row>
    <row r="11" spans="1:7" s="9" customFormat="1" ht="14.25" customHeight="1">
      <c r="A11" s="113"/>
      <c r="B11" s="970"/>
      <c r="C11" s="976"/>
      <c r="D11" s="43"/>
      <c r="E11" s="126"/>
      <c r="G11" s="86"/>
    </row>
    <row r="12" spans="1:7" s="9" customFormat="1" ht="14.25" customHeight="1">
      <c r="A12" s="113"/>
      <c r="B12" s="970"/>
      <c r="C12" s="976"/>
      <c r="D12" s="43"/>
      <c r="E12" s="126"/>
      <c r="G12" s="86"/>
    </row>
    <row r="13" spans="1:7" s="9" customFormat="1" ht="14.25" customHeight="1">
      <c r="A13" s="113"/>
      <c r="B13" s="971"/>
      <c r="C13" s="129"/>
      <c r="D13" s="43"/>
      <c r="G13" s="86"/>
    </row>
    <row r="14" spans="1:7" s="9" customFormat="1" ht="14.25" customHeight="1">
      <c r="A14" s="113"/>
      <c r="B14" s="970"/>
      <c r="C14" s="43"/>
      <c r="D14" s="43"/>
      <c r="E14" s="126"/>
      <c r="G14" s="86"/>
    </row>
    <row r="15" spans="1:7" s="9" customFormat="1" ht="14.25" customHeight="1">
      <c r="A15" s="113"/>
      <c r="B15" s="970"/>
      <c r="C15" s="10"/>
      <c r="D15" s="10"/>
      <c r="E15" s="126"/>
      <c r="G15" s="86"/>
    </row>
    <row r="16" spans="1:7" s="9" customFormat="1" ht="14.25" customHeight="1">
      <c r="A16" s="113"/>
      <c r="B16" s="970"/>
      <c r="C16" s="10"/>
      <c r="D16" s="43"/>
      <c r="E16" s="126"/>
      <c r="G16" s="86"/>
    </row>
    <row r="17" spans="1:7" s="9" customFormat="1" ht="14.25" customHeight="1">
      <c r="A17" s="113"/>
      <c r="B17" s="971"/>
      <c r="C17" s="10"/>
      <c r="D17" s="43"/>
      <c r="G17" s="86"/>
    </row>
    <row r="18" spans="1:7" s="9" customFormat="1" ht="14.25" customHeight="1">
      <c r="A18" s="113"/>
      <c r="B18" s="971"/>
      <c r="C18" s="129"/>
      <c r="D18" s="43"/>
      <c r="G18" s="86"/>
    </row>
    <row r="19" spans="1:7" s="9" customFormat="1" ht="14.25" customHeight="1">
      <c r="A19" s="113"/>
      <c r="B19" s="971"/>
      <c r="C19" s="129"/>
      <c r="D19" s="43"/>
      <c r="G19" s="86"/>
    </row>
    <row r="20" spans="1:7" s="9" customFormat="1" ht="14.25" customHeight="1">
      <c r="A20" s="113"/>
      <c r="B20" s="971"/>
      <c r="C20" s="129"/>
      <c r="D20" s="43"/>
      <c r="G20" s="86"/>
    </row>
    <row r="21" spans="1:7" s="9" customFormat="1" ht="14.25" customHeight="1">
      <c r="A21" s="113"/>
      <c r="B21" s="971"/>
      <c r="C21" s="129"/>
      <c r="D21" s="43"/>
      <c r="G21" s="86"/>
    </row>
    <row r="22" spans="1:7" s="9" customFormat="1" ht="14.25" customHeight="1">
      <c r="A22" s="113"/>
      <c r="B22" s="971"/>
      <c r="C22" s="969"/>
      <c r="D22" s="43"/>
      <c r="G22" s="977"/>
    </row>
    <row r="23" spans="1:7" s="9" customFormat="1" ht="14.25" customHeight="1">
      <c r="A23" s="113"/>
      <c r="B23" s="971"/>
      <c r="C23" s="653"/>
      <c r="D23" s="43"/>
      <c r="G23" s="86"/>
    </row>
    <row r="24" spans="1:7" s="9" customFormat="1" ht="14.25" customHeight="1">
      <c r="A24" s="113"/>
      <c r="B24" s="971"/>
      <c r="C24" s="653"/>
      <c r="D24" s="43"/>
      <c r="G24" s="86"/>
    </row>
    <row r="25" spans="1:7" s="9" customFormat="1" ht="14.25" customHeight="1">
      <c r="A25" s="113"/>
      <c r="B25" s="970"/>
      <c r="C25" s="871"/>
      <c r="D25" s="871"/>
      <c r="E25" s="126"/>
      <c r="G25" s="86"/>
    </row>
    <row r="26" spans="1:7" s="9" customFormat="1" ht="14.25" customHeight="1">
      <c r="A26" s="109"/>
      <c r="B26" s="972"/>
      <c r="C26" s="110"/>
      <c r="D26" s="110"/>
      <c r="E26" s="111"/>
      <c r="F26" s="112"/>
      <c r="G26" s="157"/>
    </row>
    <row r="27" spans="1:7" s="9" customFormat="1" ht="13.5" thickBot="1">
      <c r="A27" s="133"/>
      <c r="B27" s="133"/>
      <c r="C27" s="134"/>
      <c r="D27" s="134"/>
      <c r="E27" s="135" t="s">
        <v>120</v>
      </c>
      <c r="F27" s="135"/>
      <c r="G27" s="158">
        <f>SUM(G10:G26)</f>
        <v>0</v>
      </c>
    </row>
    <row r="28" spans="1:7">
      <c r="A28" s="9"/>
      <c r="B28" s="9"/>
      <c r="C28" s="9"/>
      <c r="D28" s="9"/>
      <c r="E28" s="9"/>
      <c r="F28" s="9"/>
      <c r="G28" s="17"/>
    </row>
    <row r="29" spans="1:7">
      <c r="A29" s="105"/>
      <c r="B29" s="9"/>
      <c r="C29" s="9"/>
      <c r="D29" s="9"/>
    </row>
    <row r="30" spans="1:7">
      <c r="E30" s="9"/>
    </row>
    <row r="31" spans="1:7" ht="13">
      <c r="E31" s="3"/>
      <c r="F31" s="3"/>
      <c r="G31" s="655"/>
    </row>
  </sheetData>
  <customSheetViews>
    <customSheetView guid="{407D59A7-4157-4601-BF25-0D4BC2569A3E}" showRuler="0">
      <selection activeCell="E11" sqref="E11"/>
      <pageMargins left="0" right="0" top="0" bottom="0" header="0" footer="0"/>
      <pageSetup orientation="landscape" r:id="rId1"/>
      <headerFooter alignWithMargins="0">
        <oddFooter>&amp;R&amp;F
&amp;D</oddFooter>
      </headerFooter>
    </customSheetView>
    <customSheetView guid="{C5E32A41-FC3E-4628-B0E4-BCDB4BDAC35C}" showRuler="0">
      <selection activeCell="E13" sqref="E13"/>
      <pageMargins left="0" right="0" top="0" bottom="0" header="0" footer="0"/>
      <printOptions horizontalCentered="1"/>
      <pageSetup orientation="landscape" r:id="rId2"/>
      <headerFooter alignWithMargins="0">
        <oddFooter>&amp;R&amp;F
&amp;D</oddFooter>
      </headerFooter>
    </customSheetView>
    <customSheetView guid="{239276AE-B7E9-4788-B341-6859AA10E393}" showRuler="0">
      <selection activeCell="E11" sqref="E11"/>
      <pageMargins left="0" right="0" top="0" bottom="0" header="0" footer="0"/>
      <pageSetup orientation="landscape" r:id="rId3"/>
      <headerFooter alignWithMargins="0">
        <oddFooter>&amp;R&amp;F
&amp;D</oddFooter>
      </headerFooter>
    </customSheetView>
  </customSheetViews>
  <mergeCells count="3">
    <mergeCell ref="A1:G1"/>
    <mergeCell ref="A2:G2"/>
    <mergeCell ref="A3:G3"/>
  </mergeCells>
  <phoneticPr fontId="0" type="noConversion"/>
  <printOptions horizontalCentered="1"/>
  <pageMargins left="0.5" right="0" top="1" bottom="1" header="0.5" footer="0.5"/>
  <pageSetup scale="86" orientation="portrait" r:id="rId4"/>
  <headerFooter alignWithMargins="0">
    <oddFooter>&amp;R&amp;F
&amp;D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5082-32D5-4CFE-A4F4-B17229E1FD44}">
  <sheetPr>
    <pageSetUpPr fitToPage="1"/>
  </sheetPr>
  <dimension ref="A1:F30"/>
  <sheetViews>
    <sheetView workbookViewId="0">
      <selection activeCell="D27" sqref="D27"/>
    </sheetView>
  </sheetViews>
  <sheetFormatPr defaultRowHeight="12.5"/>
  <cols>
    <col min="1" max="1" width="12.7265625" customWidth="1"/>
    <col min="2" max="2" width="2.7265625" customWidth="1"/>
    <col min="3" max="3" width="23.1796875" bestFit="1" customWidth="1"/>
    <col min="4" max="4" width="36" customWidth="1"/>
    <col min="5" max="5" width="2.7265625" customWidth="1"/>
    <col min="6" max="6" width="16.54296875" customWidth="1"/>
    <col min="256" max="256" width="12.7265625" customWidth="1"/>
    <col min="257" max="257" width="2.7265625" customWidth="1"/>
    <col min="258" max="258" width="23.1796875" bestFit="1" customWidth="1"/>
    <col min="259" max="259" width="36" customWidth="1"/>
    <col min="260" max="260" width="2.7265625" customWidth="1"/>
    <col min="261" max="261" width="16.54296875" customWidth="1"/>
    <col min="262" max="262" width="14.453125" customWidth="1"/>
    <col min="512" max="512" width="12.7265625" customWidth="1"/>
    <col min="513" max="513" width="2.7265625" customWidth="1"/>
    <col min="514" max="514" width="23.1796875" bestFit="1" customWidth="1"/>
    <col min="515" max="515" width="36" customWidth="1"/>
    <col min="516" max="516" width="2.7265625" customWidth="1"/>
    <col min="517" max="517" width="16.54296875" customWidth="1"/>
    <col min="518" max="518" width="14.453125" customWidth="1"/>
    <col min="768" max="768" width="12.7265625" customWidth="1"/>
    <col min="769" max="769" width="2.7265625" customWidth="1"/>
    <col min="770" max="770" width="23.1796875" bestFit="1" customWidth="1"/>
    <col min="771" max="771" width="36" customWidth="1"/>
    <col min="772" max="772" width="2.7265625" customWidth="1"/>
    <col min="773" max="773" width="16.54296875" customWidth="1"/>
    <col min="774" max="774" width="14.453125" customWidth="1"/>
    <col min="1024" max="1024" width="12.7265625" customWidth="1"/>
    <col min="1025" max="1025" width="2.7265625" customWidth="1"/>
    <col min="1026" max="1026" width="23.1796875" bestFit="1" customWidth="1"/>
    <col min="1027" max="1027" width="36" customWidth="1"/>
    <col min="1028" max="1028" width="2.7265625" customWidth="1"/>
    <col min="1029" max="1029" width="16.54296875" customWidth="1"/>
    <col min="1030" max="1030" width="14.453125" customWidth="1"/>
    <col min="1280" max="1280" width="12.7265625" customWidth="1"/>
    <col min="1281" max="1281" width="2.7265625" customWidth="1"/>
    <col min="1282" max="1282" width="23.1796875" bestFit="1" customWidth="1"/>
    <col min="1283" max="1283" width="36" customWidth="1"/>
    <col min="1284" max="1284" width="2.7265625" customWidth="1"/>
    <col min="1285" max="1285" width="16.54296875" customWidth="1"/>
    <col min="1286" max="1286" width="14.453125" customWidth="1"/>
    <col min="1536" max="1536" width="12.7265625" customWidth="1"/>
    <col min="1537" max="1537" width="2.7265625" customWidth="1"/>
    <col min="1538" max="1538" width="23.1796875" bestFit="1" customWidth="1"/>
    <col min="1539" max="1539" width="36" customWidth="1"/>
    <col min="1540" max="1540" width="2.7265625" customWidth="1"/>
    <col min="1541" max="1541" width="16.54296875" customWidth="1"/>
    <col min="1542" max="1542" width="14.453125" customWidth="1"/>
    <col min="1792" max="1792" width="12.7265625" customWidth="1"/>
    <col min="1793" max="1793" width="2.7265625" customWidth="1"/>
    <col min="1794" max="1794" width="23.1796875" bestFit="1" customWidth="1"/>
    <col min="1795" max="1795" width="36" customWidth="1"/>
    <col min="1796" max="1796" width="2.7265625" customWidth="1"/>
    <col min="1797" max="1797" width="16.54296875" customWidth="1"/>
    <col min="1798" max="1798" width="14.453125" customWidth="1"/>
    <col min="2048" max="2048" width="12.7265625" customWidth="1"/>
    <col min="2049" max="2049" width="2.7265625" customWidth="1"/>
    <col min="2050" max="2050" width="23.1796875" bestFit="1" customWidth="1"/>
    <col min="2051" max="2051" width="36" customWidth="1"/>
    <col min="2052" max="2052" width="2.7265625" customWidth="1"/>
    <col min="2053" max="2053" width="16.54296875" customWidth="1"/>
    <col min="2054" max="2054" width="14.453125" customWidth="1"/>
    <col min="2304" max="2304" width="12.7265625" customWidth="1"/>
    <col min="2305" max="2305" width="2.7265625" customWidth="1"/>
    <col min="2306" max="2306" width="23.1796875" bestFit="1" customWidth="1"/>
    <col min="2307" max="2307" width="36" customWidth="1"/>
    <col min="2308" max="2308" width="2.7265625" customWidth="1"/>
    <col min="2309" max="2309" width="16.54296875" customWidth="1"/>
    <col min="2310" max="2310" width="14.453125" customWidth="1"/>
    <col min="2560" max="2560" width="12.7265625" customWidth="1"/>
    <col min="2561" max="2561" width="2.7265625" customWidth="1"/>
    <col min="2562" max="2562" width="23.1796875" bestFit="1" customWidth="1"/>
    <col min="2563" max="2563" width="36" customWidth="1"/>
    <col min="2564" max="2564" width="2.7265625" customWidth="1"/>
    <col min="2565" max="2565" width="16.54296875" customWidth="1"/>
    <col min="2566" max="2566" width="14.453125" customWidth="1"/>
    <col min="2816" max="2816" width="12.7265625" customWidth="1"/>
    <col min="2817" max="2817" width="2.7265625" customWidth="1"/>
    <col min="2818" max="2818" width="23.1796875" bestFit="1" customWidth="1"/>
    <col min="2819" max="2819" width="36" customWidth="1"/>
    <col min="2820" max="2820" width="2.7265625" customWidth="1"/>
    <col min="2821" max="2821" width="16.54296875" customWidth="1"/>
    <col min="2822" max="2822" width="14.453125" customWidth="1"/>
    <col min="3072" max="3072" width="12.7265625" customWidth="1"/>
    <col min="3073" max="3073" width="2.7265625" customWidth="1"/>
    <col min="3074" max="3074" width="23.1796875" bestFit="1" customWidth="1"/>
    <col min="3075" max="3075" width="36" customWidth="1"/>
    <col min="3076" max="3076" width="2.7265625" customWidth="1"/>
    <col min="3077" max="3077" width="16.54296875" customWidth="1"/>
    <col min="3078" max="3078" width="14.453125" customWidth="1"/>
    <col min="3328" max="3328" width="12.7265625" customWidth="1"/>
    <col min="3329" max="3329" width="2.7265625" customWidth="1"/>
    <col min="3330" max="3330" width="23.1796875" bestFit="1" customWidth="1"/>
    <col min="3331" max="3331" width="36" customWidth="1"/>
    <col min="3332" max="3332" width="2.7265625" customWidth="1"/>
    <col min="3333" max="3333" width="16.54296875" customWidth="1"/>
    <col min="3334" max="3334" width="14.453125" customWidth="1"/>
    <col min="3584" max="3584" width="12.7265625" customWidth="1"/>
    <col min="3585" max="3585" width="2.7265625" customWidth="1"/>
    <col min="3586" max="3586" width="23.1796875" bestFit="1" customWidth="1"/>
    <col min="3587" max="3587" width="36" customWidth="1"/>
    <col min="3588" max="3588" width="2.7265625" customWidth="1"/>
    <col min="3589" max="3589" width="16.54296875" customWidth="1"/>
    <col min="3590" max="3590" width="14.453125" customWidth="1"/>
    <col min="3840" max="3840" width="12.7265625" customWidth="1"/>
    <col min="3841" max="3841" width="2.7265625" customWidth="1"/>
    <col min="3842" max="3842" width="23.1796875" bestFit="1" customWidth="1"/>
    <col min="3843" max="3843" width="36" customWidth="1"/>
    <col min="3844" max="3844" width="2.7265625" customWidth="1"/>
    <col min="3845" max="3845" width="16.54296875" customWidth="1"/>
    <col min="3846" max="3846" width="14.453125" customWidth="1"/>
    <col min="4096" max="4096" width="12.7265625" customWidth="1"/>
    <col min="4097" max="4097" width="2.7265625" customWidth="1"/>
    <col min="4098" max="4098" width="23.1796875" bestFit="1" customWidth="1"/>
    <col min="4099" max="4099" width="36" customWidth="1"/>
    <col min="4100" max="4100" width="2.7265625" customWidth="1"/>
    <col min="4101" max="4101" width="16.54296875" customWidth="1"/>
    <col min="4102" max="4102" width="14.453125" customWidth="1"/>
    <col min="4352" max="4352" width="12.7265625" customWidth="1"/>
    <col min="4353" max="4353" width="2.7265625" customWidth="1"/>
    <col min="4354" max="4354" width="23.1796875" bestFit="1" customWidth="1"/>
    <col min="4355" max="4355" width="36" customWidth="1"/>
    <col min="4356" max="4356" width="2.7265625" customWidth="1"/>
    <col min="4357" max="4357" width="16.54296875" customWidth="1"/>
    <col min="4358" max="4358" width="14.453125" customWidth="1"/>
    <col min="4608" max="4608" width="12.7265625" customWidth="1"/>
    <col min="4609" max="4609" width="2.7265625" customWidth="1"/>
    <col min="4610" max="4610" width="23.1796875" bestFit="1" customWidth="1"/>
    <col min="4611" max="4611" width="36" customWidth="1"/>
    <col min="4612" max="4612" width="2.7265625" customWidth="1"/>
    <col min="4613" max="4613" width="16.54296875" customWidth="1"/>
    <col min="4614" max="4614" width="14.453125" customWidth="1"/>
    <col min="4864" max="4864" width="12.7265625" customWidth="1"/>
    <col min="4865" max="4865" width="2.7265625" customWidth="1"/>
    <col min="4866" max="4866" width="23.1796875" bestFit="1" customWidth="1"/>
    <col min="4867" max="4867" width="36" customWidth="1"/>
    <col min="4868" max="4868" width="2.7265625" customWidth="1"/>
    <col min="4869" max="4869" width="16.54296875" customWidth="1"/>
    <col min="4870" max="4870" width="14.453125" customWidth="1"/>
    <col min="5120" max="5120" width="12.7265625" customWidth="1"/>
    <col min="5121" max="5121" width="2.7265625" customWidth="1"/>
    <col min="5122" max="5122" width="23.1796875" bestFit="1" customWidth="1"/>
    <col min="5123" max="5123" width="36" customWidth="1"/>
    <col min="5124" max="5124" width="2.7265625" customWidth="1"/>
    <col min="5125" max="5125" width="16.54296875" customWidth="1"/>
    <col min="5126" max="5126" width="14.453125" customWidth="1"/>
    <col min="5376" max="5376" width="12.7265625" customWidth="1"/>
    <col min="5377" max="5377" width="2.7265625" customWidth="1"/>
    <col min="5378" max="5378" width="23.1796875" bestFit="1" customWidth="1"/>
    <col min="5379" max="5379" width="36" customWidth="1"/>
    <col min="5380" max="5380" width="2.7265625" customWidth="1"/>
    <col min="5381" max="5381" width="16.54296875" customWidth="1"/>
    <col min="5382" max="5382" width="14.453125" customWidth="1"/>
    <col min="5632" max="5632" width="12.7265625" customWidth="1"/>
    <col min="5633" max="5633" width="2.7265625" customWidth="1"/>
    <col min="5634" max="5634" width="23.1796875" bestFit="1" customWidth="1"/>
    <col min="5635" max="5635" width="36" customWidth="1"/>
    <col min="5636" max="5636" width="2.7265625" customWidth="1"/>
    <col min="5637" max="5637" width="16.54296875" customWidth="1"/>
    <col min="5638" max="5638" width="14.453125" customWidth="1"/>
    <col min="5888" max="5888" width="12.7265625" customWidth="1"/>
    <col min="5889" max="5889" width="2.7265625" customWidth="1"/>
    <col min="5890" max="5890" width="23.1796875" bestFit="1" customWidth="1"/>
    <col min="5891" max="5891" width="36" customWidth="1"/>
    <col min="5892" max="5892" width="2.7265625" customWidth="1"/>
    <col min="5893" max="5893" width="16.54296875" customWidth="1"/>
    <col min="5894" max="5894" width="14.453125" customWidth="1"/>
    <col min="6144" max="6144" width="12.7265625" customWidth="1"/>
    <col min="6145" max="6145" width="2.7265625" customWidth="1"/>
    <col min="6146" max="6146" width="23.1796875" bestFit="1" customWidth="1"/>
    <col min="6147" max="6147" width="36" customWidth="1"/>
    <col min="6148" max="6148" width="2.7265625" customWidth="1"/>
    <col min="6149" max="6149" width="16.54296875" customWidth="1"/>
    <col min="6150" max="6150" width="14.453125" customWidth="1"/>
    <col min="6400" max="6400" width="12.7265625" customWidth="1"/>
    <col min="6401" max="6401" width="2.7265625" customWidth="1"/>
    <col min="6402" max="6402" width="23.1796875" bestFit="1" customWidth="1"/>
    <col min="6403" max="6403" width="36" customWidth="1"/>
    <col min="6404" max="6404" width="2.7265625" customWidth="1"/>
    <col min="6405" max="6405" width="16.54296875" customWidth="1"/>
    <col min="6406" max="6406" width="14.453125" customWidth="1"/>
    <col min="6656" max="6656" width="12.7265625" customWidth="1"/>
    <col min="6657" max="6657" width="2.7265625" customWidth="1"/>
    <col min="6658" max="6658" width="23.1796875" bestFit="1" customWidth="1"/>
    <col min="6659" max="6659" width="36" customWidth="1"/>
    <col min="6660" max="6660" width="2.7265625" customWidth="1"/>
    <col min="6661" max="6661" width="16.54296875" customWidth="1"/>
    <col min="6662" max="6662" width="14.453125" customWidth="1"/>
    <col min="6912" max="6912" width="12.7265625" customWidth="1"/>
    <col min="6913" max="6913" width="2.7265625" customWidth="1"/>
    <col min="6914" max="6914" width="23.1796875" bestFit="1" customWidth="1"/>
    <col min="6915" max="6915" width="36" customWidth="1"/>
    <col min="6916" max="6916" width="2.7265625" customWidth="1"/>
    <col min="6917" max="6917" width="16.54296875" customWidth="1"/>
    <col min="6918" max="6918" width="14.453125" customWidth="1"/>
    <col min="7168" max="7168" width="12.7265625" customWidth="1"/>
    <col min="7169" max="7169" width="2.7265625" customWidth="1"/>
    <col min="7170" max="7170" width="23.1796875" bestFit="1" customWidth="1"/>
    <col min="7171" max="7171" width="36" customWidth="1"/>
    <col min="7172" max="7172" width="2.7265625" customWidth="1"/>
    <col min="7173" max="7173" width="16.54296875" customWidth="1"/>
    <col min="7174" max="7174" width="14.453125" customWidth="1"/>
    <col min="7424" max="7424" width="12.7265625" customWidth="1"/>
    <col min="7425" max="7425" width="2.7265625" customWidth="1"/>
    <col min="7426" max="7426" width="23.1796875" bestFit="1" customWidth="1"/>
    <col min="7427" max="7427" width="36" customWidth="1"/>
    <col min="7428" max="7428" width="2.7265625" customWidth="1"/>
    <col min="7429" max="7429" width="16.54296875" customWidth="1"/>
    <col min="7430" max="7430" width="14.453125" customWidth="1"/>
    <col min="7680" max="7680" width="12.7265625" customWidth="1"/>
    <col min="7681" max="7681" width="2.7265625" customWidth="1"/>
    <col min="7682" max="7682" width="23.1796875" bestFit="1" customWidth="1"/>
    <col min="7683" max="7683" width="36" customWidth="1"/>
    <col min="7684" max="7684" width="2.7265625" customWidth="1"/>
    <col min="7685" max="7685" width="16.54296875" customWidth="1"/>
    <col min="7686" max="7686" width="14.453125" customWidth="1"/>
    <col min="7936" max="7936" width="12.7265625" customWidth="1"/>
    <col min="7937" max="7937" width="2.7265625" customWidth="1"/>
    <col min="7938" max="7938" width="23.1796875" bestFit="1" customWidth="1"/>
    <col min="7939" max="7939" width="36" customWidth="1"/>
    <col min="7940" max="7940" width="2.7265625" customWidth="1"/>
    <col min="7941" max="7941" width="16.54296875" customWidth="1"/>
    <col min="7942" max="7942" width="14.453125" customWidth="1"/>
    <col min="8192" max="8192" width="12.7265625" customWidth="1"/>
    <col min="8193" max="8193" width="2.7265625" customWidth="1"/>
    <col min="8194" max="8194" width="23.1796875" bestFit="1" customWidth="1"/>
    <col min="8195" max="8195" width="36" customWidth="1"/>
    <col min="8196" max="8196" width="2.7265625" customWidth="1"/>
    <col min="8197" max="8197" width="16.54296875" customWidth="1"/>
    <col min="8198" max="8198" width="14.453125" customWidth="1"/>
    <col min="8448" max="8448" width="12.7265625" customWidth="1"/>
    <col min="8449" max="8449" width="2.7265625" customWidth="1"/>
    <col min="8450" max="8450" width="23.1796875" bestFit="1" customWidth="1"/>
    <col min="8451" max="8451" width="36" customWidth="1"/>
    <col min="8452" max="8452" width="2.7265625" customWidth="1"/>
    <col min="8453" max="8453" width="16.54296875" customWidth="1"/>
    <col min="8454" max="8454" width="14.453125" customWidth="1"/>
    <col min="8704" max="8704" width="12.7265625" customWidth="1"/>
    <col min="8705" max="8705" width="2.7265625" customWidth="1"/>
    <col min="8706" max="8706" width="23.1796875" bestFit="1" customWidth="1"/>
    <col min="8707" max="8707" width="36" customWidth="1"/>
    <col min="8708" max="8708" width="2.7265625" customWidth="1"/>
    <col min="8709" max="8709" width="16.54296875" customWidth="1"/>
    <col min="8710" max="8710" width="14.453125" customWidth="1"/>
    <col min="8960" max="8960" width="12.7265625" customWidth="1"/>
    <col min="8961" max="8961" width="2.7265625" customWidth="1"/>
    <col min="8962" max="8962" width="23.1796875" bestFit="1" customWidth="1"/>
    <col min="8963" max="8963" width="36" customWidth="1"/>
    <col min="8964" max="8964" width="2.7265625" customWidth="1"/>
    <col min="8965" max="8965" width="16.54296875" customWidth="1"/>
    <col min="8966" max="8966" width="14.453125" customWidth="1"/>
    <col min="9216" max="9216" width="12.7265625" customWidth="1"/>
    <col min="9217" max="9217" width="2.7265625" customWidth="1"/>
    <col min="9218" max="9218" width="23.1796875" bestFit="1" customWidth="1"/>
    <col min="9219" max="9219" width="36" customWidth="1"/>
    <col min="9220" max="9220" width="2.7265625" customWidth="1"/>
    <col min="9221" max="9221" width="16.54296875" customWidth="1"/>
    <col min="9222" max="9222" width="14.453125" customWidth="1"/>
    <col min="9472" max="9472" width="12.7265625" customWidth="1"/>
    <col min="9473" max="9473" width="2.7265625" customWidth="1"/>
    <col min="9474" max="9474" width="23.1796875" bestFit="1" customWidth="1"/>
    <col min="9475" max="9475" width="36" customWidth="1"/>
    <col min="9476" max="9476" width="2.7265625" customWidth="1"/>
    <col min="9477" max="9477" width="16.54296875" customWidth="1"/>
    <col min="9478" max="9478" width="14.453125" customWidth="1"/>
    <col min="9728" max="9728" width="12.7265625" customWidth="1"/>
    <col min="9729" max="9729" width="2.7265625" customWidth="1"/>
    <col min="9730" max="9730" width="23.1796875" bestFit="1" customWidth="1"/>
    <col min="9731" max="9731" width="36" customWidth="1"/>
    <col min="9732" max="9732" width="2.7265625" customWidth="1"/>
    <col min="9733" max="9733" width="16.54296875" customWidth="1"/>
    <col min="9734" max="9734" width="14.453125" customWidth="1"/>
    <col min="9984" max="9984" width="12.7265625" customWidth="1"/>
    <col min="9985" max="9985" width="2.7265625" customWidth="1"/>
    <col min="9986" max="9986" width="23.1796875" bestFit="1" customWidth="1"/>
    <col min="9987" max="9987" width="36" customWidth="1"/>
    <col min="9988" max="9988" width="2.7265625" customWidth="1"/>
    <col min="9989" max="9989" width="16.54296875" customWidth="1"/>
    <col min="9990" max="9990" width="14.453125" customWidth="1"/>
    <col min="10240" max="10240" width="12.7265625" customWidth="1"/>
    <col min="10241" max="10241" width="2.7265625" customWidth="1"/>
    <col min="10242" max="10242" width="23.1796875" bestFit="1" customWidth="1"/>
    <col min="10243" max="10243" width="36" customWidth="1"/>
    <col min="10244" max="10244" width="2.7265625" customWidth="1"/>
    <col min="10245" max="10245" width="16.54296875" customWidth="1"/>
    <col min="10246" max="10246" width="14.453125" customWidth="1"/>
    <col min="10496" max="10496" width="12.7265625" customWidth="1"/>
    <col min="10497" max="10497" width="2.7265625" customWidth="1"/>
    <col min="10498" max="10498" width="23.1796875" bestFit="1" customWidth="1"/>
    <col min="10499" max="10499" width="36" customWidth="1"/>
    <col min="10500" max="10500" width="2.7265625" customWidth="1"/>
    <col min="10501" max="10501" width="16.54296875" customWidth="1"/>
    <col min="10502" max="10502" width="14.453125" customWidth="1"/>
    <col min="10752" max="10752" width="12.7265625" customWidth="1"/>
    <col min="10753" max="10753" width="2.7265625" customWidth="1"/>
    <col min="10754" max="10754" width="23.1796875" bestFit="1" customWidth="1"/>
    <col min="10755" max="10755" width="36" customWidth="1"/>
    <col min="10756" max="10756" width="2.7265625" customWidth="1"/>
    <col min="10757" max="10757" width="16.54296875" customWidth="1"/>
    <col min="10758" max="10758" width="14.453125" customWidth="1"/>
    <col min="11008" max="11008" width="12.7265625" customWidth="1"/>
    <col min="11009" max="11009" width="2.7265625" customWidth="1"/>
    <col min="11010" max="11010" width="23.1796875" bestFit="1" customWidth="1"/>
    <col min="11011" max="11011" width="36" customWidth="1"/>
    <col min="11012" max="11012" width="2.7265625" customWidth="1"/>
    <col min="11013" max="11013" width="16.54296875" customWidth="1"/>
    <col min="11014" max="11014" width="14.453125" customWidth="1"/>
    <col min="11264" max="11264" width="12.7265625" customWidth="1"/>
    <col min="11265" max="11265" width="2.7265625" customWidth="1"/>
    <col min="11266" max="11266" width="23.1796875" bestFit="1" customWidth="1"/>
    <col min="11267" max="11267" width="36" customWidth="1"/>
    <col min="11268" max="11268" width="2.7265625" customWidth="1"/>
    <col min="11269" max="11269" width="16.54296875" customWidth="1"/>
    <col min="11270" max="11270" width="14.453125" customWidth="1"/>
    <col min="11520" max="11520" width="12.7265625" customWidth="1"/>
    <col min="11521" max="11521" width="2.7265625" customWidth="1"/>
    <col min="11522" max="11522" width="23.1796875" bestFit="1" customWidth="1"/>
    <col min="11523" max="11523" width="36" customWidth="1"/>
    <col min="11524" max="11524" width="2.7265625" customWidth="1"/>
    <col min="11525" max="11525" width="16.54296875" customWidth="1"/>
    <col min="11526" max="11526" width="14.453125" customWidth="1"/>
    <col min="11776" max="11776" width="12.7265625" customWidth="1"/>
    <col min="11777" max="11777" width="2.7265625" customWidth="1"/>
    <col min="11778" max="11778" width="23.1796875" bestFit="1" customWidth="1"/>
    <col min="11779" max="11779" width="36" customWidth="1"/>
    <col min="11780" max="11780" width="2.7265625" customWidth="1"/>
    <col min="11781" max="11781" width="16.54296875" customWidth="1"/>
    <col min="11782" max="11782" width="14.453125" customWidth="1"/>
    <col min="12032" max="12032" width="12.7265625" customWidth="1"/>
    <col min="12033" max="12033" width="2.7265625" customWidth="1"/>
    <col min="12034" max="12034" width="23.1796875" bestFit="1" customWidth="1"/>
    <col min="12035" max="12035" width="36" customWidth="1"/>
    <col min="12036" max="12036" width="2.7265625" customWidth="1"/>
    <col min="12037" max="12037" width="16.54296875" customWidth="1"/>
    <col min="12038" max="12038" width="14.453125" customWidth="1"/>
    <col min="12288" max="12288" width="12.7265625" customWidth="1"/>
    <col min="12289" max="12289" width="2.7265625" customWidth="1"/>
    <col min="12290" max="12290" width="23.1796875" bestFit="1" customWidth="1"/>
    <col min="12291" max="12291" width="36" customWidth="1"/>
    <col min="12292" max="12292" width="2.7265625" customWidth="1"/>
    <col min="12293" max="12293" width="16.54296875" customWidth="1"/>
    <col min="12294" max="12294" width="14.453125" customWidth="1"/>
    <col min="12544" max="12544" width="12.7265625" customWidth="1"/>
    <col min="12545" max="12545" width="2.7265625" customWidth="1"/>
    <col min="12546" max="12546" width="23.1796875" bestFit="1" customWidth="1"/>
    <col min="12547" max="12547" width="36" customWidth="1"/>
    <col min="12548" max="12548" width="2.7265625" customWidth="1"/>
    <col min="12549" max="12549" width="16.54296875" customWidth="1"/>
    <col min="12550" max="12550" width="14.453125" customWidth="1"/>
    <col min="12800" max="12800" width="12.7265625" customWidth="1"/>
    <col min="12801" max="12801" width="2.7265625" customWidth="1"/>
    <col min="12802" max="12802" width="23.1796875" bestFit="1" customWidth="1"/>
    <col min="12803" max="12803" width="36" customWidth="1"/>
    <col min="12804" max="12804" width="2.7265625" customWidth="1"/>
    <col min="12805" max="12805" width="16.54296875" customWidth="1"/>
    <col min="12806" max="12806" width="14.453125" customWidth="1"/>
    <col min="13056" max="13056" width="12.7265625" customWidth="1"/>
    <col min="13057" max="13057" width="2.7265625" customWidth="1"/>
    <col min="13058" max="13058" width="23.1796875" bestFit="1" customWidth="1"/>
    <col min="13059" max="13059" width="36" customWidth="1"/>
    <col min="13060" max="13060" width="2.7265625" customWidth="1"/>
    <col min="13061" max="13061" width="16.54296875" customWidth="1"/>
    <col min="13062" max="13062" width="14.453125" customWidth="1"/>
    <col min="13312" max="13312" width="12.7265625" customWidth="1"/>
    <col min="13313" max="13313" width="2.7265625" customWidth="1"/>
    <col min="13314" max="13314" width="23.1796875" bestFit="1" customWidth="1"/>
    <col min="13315" max="13315" width="36" customWidth="1"/>
    <col min="13316" max="13316" width="2.7265625" customWidth="1"/>
    <col min="13317" max="13317" width="16.54296875" customWidth="1"/>
    <col min="13318" max="13318" width="14.453125" customWidth="1"/>
    <col min="13568" max="13568" width="12.7265625" customWidth="1"/>
    <col min="13569" max="13569" width="2.7265625" customWidth="1"/>
    <col min="13570" max="13570" width="23.1796875" bestFit="1" customWidth="1"/>
    <col min="13571" max="13571" width="36" customWidth="1"/>
    <col min="13572" max="13572" width="2.7265625" customWidth="1"/>
    <col min="13573" max="13573" width="16.54296875" customWidth="1"/>
    <col min="13574" max="13574" width="14.453125" customWidth="1"/>
    <col min="13824" max="13824" width="12.7265625" customWidth="1"/>
    <col min="13825" max="13825" width="2.7265625" customWidth="1"/>
    <col min="13826" max="13826" width="23.1796875" bestFit="1" customWidth="1"/>
    <col min="13827" max="13827" width="36" customWidth="1"/>
    <col min="13828" max="13828" width="2.7265625" customWidth="1"/>
    <col min="13829" max="13829" width="16.54296875" customWidth="1"/>
    <col min="13830" max="13830" width="14.453125" customWidth="1"/>
    <col min="14080" max="14080" width="12.7265625" customWidth="1"/>
    <col min="14081" max="14081" width="2.7265625" customWidth="1"/>
    <col min="14082" max="14082" width="23.1796875" bestFit="1" customWidth="1"/>
    <col min="14083" max="14083" width="36" customWidth="1"/>
    <col min="14084" max="14084" width="2.7265625" customWidth="1"/>
    <col min="14085" max="14085" width="16.54296875" customWidth="1"/>
    <col min="14086" max="14086" width="14.453125" customWidth="1"/>
    <col min="14336" max="14336" width="12.7265625" customWidth="1"/>
    <col min="14337" max="14337" width="2.7265625" customWidth="1"/>
    <col min="14338" max="14338" width="23.1796875" bestFit="1" customWidth="1"/>
    <col min="14339" max="14339" width="36" customWidth="1"/>
    <col min="14340" max="14340" width="2.7265625" customWidth="1"/>
    <col min="14341" max="14341" width="16.54296875" customWidth="1"/>
    <col min="14342" max="14342" width="14.453125" customWidth="1"/>
    <col min="14592" max="14592" width="12.7265625" customWidth="1"/>
    <col min="14593" max="14593" width="2.7265625" customWidth="1"/>
    <col min="14594" max="14594" width="23.1796875" bestFit="1" customWidth="1"/>
    <col min="14595" max="14595" width="36" customWidth="1"/>
    <col min="14596" max="14596" width="2.7265625" customWidth="1"/>
    <col min="14597" max="14597" width="16.54296875" customWidth="1"/>
    <col min="14598" max="14598" width="14.453125" customWidth="1"/>
    <col min="14848" max="14848" width="12.7265625" customWidth="1"/>
    <col min="14849" max="14849" width="2.7265625" customWidth="1"/>
    <col min="14850" max="14850" width="23.1796875" bestFit="1" customWidth="1"/>
    <col min="14851" max="14851" width="36" customWidth="1"/>
    <col min="14852" max="14852" width="2.7265625" customWidth="1"/>
    <col min="14853" max="14853" width="16.54296875" customWidth="1"/>
    <col min="14854" max="14854" width="14.453125" customWidth="1"/>
    <col min="15104" max="15104" width="12.7265625" customWidth="1"/>
    <col min="15105" max="15105" width="2.7265625" customWidth="1"/>
    <col min="15106" max="15106" width="23.1796875" bestFit="1" customWidth="1"/>
    <col min="15107" max="15107" width="36" customWidth="1"/>
    <col min="15108" max="15108" width="2.7265625" customWidth="1"/>
    <col min="15109" max="15109" width="16.54296875" customWidth="1"/>
    <col min="15110" max="15110" width="14.453125" customWidth="1"/>
    <col min="15360" max="15360" width="12.7265625" customWidth="1"/>
    <col min="15361" max="15361" width="2.7265625" customWidth="1"/>
    <col min="15362" max="15362" width="23.1796875" bestFit="1" customWidth="1"/>
    <col min="15363" max="15363" width="36" customWidth="1"/>
    <col min="15364" max="15364" width="2.7265625" customWidth="1"/>
    <col min="15365" max="15365" width="16.54296875" customWidth="1"/>
    <col min="15366" max="15366" width="14.453125" customWidth="1"/>
    <col min="15616" max="15616" width="12.7265625" customWidth="1"/>
    <col min="15617" max="15617" width="2.7265625" customWidth="1"/>
    <col min="15618" max="15618" width="23.1796875" bestFit="1" customWidth="1"/>
    <col min="15619" max="15619" width="36" customWidth="1"/>
    <col min="15620" max="15620" width="2.7265625" customWidth="1"/>
    <col min="15621" max="15621" width="16.54296875" customWidth="1"/>
    <col min="15622" max="15622" width="14.453125" customWidth="1"/>
    <col min="15872" max="15872" width="12.7265625" customWidth="1"/>
    <col min="15873" max="15873" width="2.7265625" customWidth="1"/>
    <col min="15874" max="15874" width="23.1796875" bestFit="1" customWidth="1"/>
    <col min="15875" max="15875" width="36" customWidth="1"/>
    <col min="15876" max="15876" width="2.7265625" customWidth="1"/>
    <col min="15877" max="15877" width="16.54296875" customWidth="1"/>
    <col min="15878" max="15878" width="14.453125" customWidth="1"/>
    <col min="16128" max="16128" width="12.7265625" customWidth="1"/>
    <col min="16129" max="16129" width="2.7265625" customWidth="1"/>
    <col min="16130" max="16130" width="23.1796875" bestFit="1" customWidth="1"/>
    <col min="16131" max="16131" width="36" customWidth="1"/>
    <col min="16132" max="16132" width="2.7265625" customWidth="1"/>
    <col min="16133" max="16133" width="16.54296875" customWidth="1"/>
    <col min="16134" max="16134" width="14.453125" customWidth="1"/>
  </cols>
  <sheetData>
    <row r="1" spans="1:6" s="9" customFormat="1" ht="18">
      <c r="A1" s="1194" t="s">
        <v>645</v>
      </c>
      <c r="B1" s="1195"/>
      <c r="C1" s="1195"/>
      <c r="D1" s="1195"/>
      <c r="E1" s="1195"/>
      <c r="F1" s="1196"/>
    </row>
    <row r="2" spans="1:6" s="9" customFormat="1" ht="18">
      <c r="A2" s="1197" t="s">
        <v>495</v>
      </c>
      <c r="B2" s="1198"/>
      <c r="C2" s="1198"/>
      <c r="D2" s="1198"/>
      <c r="E2" s="1198"/>
      <c r="F2" s="1199"/>
    </row>
    <row r="3" spans="1:6" s="9" customFormat="1" ht="18.5" thickBot="1">
      <c r="A3" s="1257" t="str">
        <f>'17980'!A3</f>
        <v>FOR THE MONTH ENDED 08/31/26</v>
      </c>
      <c r="B3" s="1258"/>
      <c r="C3" s="1258"/>
      <c r="D3" s="1258"/>
      <c r="E3" s="1258"/>
      <c r="F3" s="1259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3" customHeight="1">
      <c r="A8" s="338"/>
      <c r="B8" s="339"/>
      <c r="C8" s="339"/>
      <c r="D8" s="339"/>
      <c r="E8" s="339"/>
      <c r="F8" s="341"/>
    </row>
    <row r="9" spans="1:6" s="9" customFormat="1" ht="26.5" thickBot="1">
      <c r="A9" s="1047" t="s">
        <v>327</v>
      </c>
      <c r="B9" s="1048"/>
      <c r="C9" s="1048" t="s">
        <v>496</v>
      </c>
      <c r="D9" s="1048" t="s">
        <v>328</v>
      </c>
      <c r="E9" s="1048"/>
      <c r="F9" s="1049" t="s">
        <v>643</v>
      </c>
    </row>
    <row r="10" spans="1:6" s="9" customFormat="1">
      <c r="A10" s="991"/>
      <c r="B10" s="992"/>
      <c r="C10" s="992"/>
      <c r="D10" s="992"/>
      <c r="E10" s="992"/>
      <c r="F10" s="1051"/>
    </row>
    <row r="11" spans="1:6" s="9" customFormat="1" ht="13">
      <c r="A11" s="994"/>
      <c r="B11" s="995"/>
      <c r="C11" s="995"/>
      <c r="D11" s="998" t="s">
        <v>342</v>
      </c>
      <c r="E11" s="995"/>
      <c r="F11" s="1052"/>
    </row>
    <row r="12" spans="1:6" s="9" customFormat="1">
      <c r="A12" s="968">
        <v>44920</v>
      </c>
      <c r="B12" s="139"/>
      <c r="C12" s="139" t="s">
        <v>646</v>
      </c>
      <c r="D12" s="16" t="s">
        <v>647</v>
      </c>
      <c r="E12" s="139"/>
      <c r="F12" s="1013">
        <v>35000</v>
      </c>
    </row>
    <row r="13" spans="1:6" s="9" customFormat="1">
      <c r="A13" s="968">
        <v>45291</v>
      </c>
      <c r="B13" s="139"/>
      <c r="C13" s="139"/>
      <c r="D13" s="1078" t="s">
        <v>782</v>
      </c>
      <c r="E13" s="139"/>
      <c r="F13" s="1013">
        <v>-35000</v>
      </c>
    </row>
    <row r="14" spans="1:6" s="9" customFormat="1">
      <c r="A14" s="968">
        <v>45291</v>
      </c>
      <c r="B14" s="139"/>
      <c r="C14" s="139"/>
      <c r="D14" s="1078" t="s">
        <v>783</v>
      </c>
      <c r="E14" s="139"/>
      <c r="F14" s="1013">
        <v>208326.27</v>
      </c>
    </row>
    <row r="15" spans="1:6" s="9" customFormat="1">
      <c r="A15" s="968">
        <v>45291</v>
      </c>
      <c r="B15" s="139"/>
      <c r="C15" s="139"/>
      <c r="D15" s="1078" t="s">
        <v>784</v>
      </c>
      <c r="E15" s="139"/>
      <c r="F15" s="1013">
        <v>-208326.27</v>
      </c>
    </row>
    <row r="16" spans="1:6" s="9" customFormat="1">
      <c r="A16" s="968">
        <v>45291</v>
      </c>
      <c r="B16" s="139"/>
      <c r="C16" s="139"/>
      <c r="D16" s="1078" t="s">
        <v>785</v>
      </c>
      <c r="E16" s="139"/>
      <c r="F16" s="1013">
        <v>208326.27</v>
      </c>
    </row>
    <row r="17" spans="1:6" s="9" customFormat="1">
      <c r="A17" s="968">
        <v>45291</v>
      </c>
      <c r="B17" s="139"/>
      <c r="C17" s="139"/>
      <c r="D17" s="1078" t="s">
        <v>785</v>
      </c>
      <c r="E17" s="139"/>
      <c r="F17" s="1013">
        <v>-208326.27</v>
      </c>
    </row>
    <row r="18" spans="1:6" s="9" customFormat="1">
      <c r="A18" s="968">
        <v>45442</v>
      </c>
      <c r="B18" s="139"/>
      <c r="C18" s="139"/>
      <c r="D18" s="1078" t="s">
        <v>786</v>
      </c>
      <c r="E18" s="139"/>
      <c r="F18" s="1013">
        <v>45281.25</v>
      </c>
    </row>
    <row r="19" spans="1:6" s="9" customFormat="1">
      <c r="A19" s="968">
        <v>45622</v>
      </c>
      <c r="C19" s="139"/>
      <c r="D19" s="1078" t="s">
        <v>787</v>
      </c>
      <c r="F19" s="1050">
        <v>87500</v>
      </c>
    </row>
    <row r="20" spans="1:6" s="9" customFormat="1">
      <c r="A20" s="968">
        <v>45622</v>
      </c>
      <c r="C20" s="139"/>
      <c r="D20" s="1078" t="s">
        <v>788</v>
      </c>
      <c r="F20" s="1050">
        <v>41818.6</v>
      </c>
    </row>
    <row r="21" spans="1:6" s="9" customFormat="1">
      <c r="A21" s="968">
        <v>45622</v>
      </c>
      <c r="C21" s="139"/>
      <c r="D21" s="1078" t="s">
        <v>789</v>
      </c>
      <c r="F21" s="1050">
        <v>87500</v>
      </c>
    </row>
    <row r="22" spans="1:6" s="9" customFormat="1">
      <c r="A22" s="968">
        <v>45622</v>
      </c>
      <c r="C22" s="139"/>
      <c r="D22" s="1078" t="s">
        <v>790</v>
      </c>
      <c r="F22" s="1050">
        <v>30633.73</v>
      </c>
    </row>
    <row r="23" spans="1:6" s="9" customFormat="1">
      <c r="A23" s="968">
        <v>45622</v>
      </c>
      <c r="C23" s="139"/>
      <c r="D23" s="1078" t="s">
        <v>791</v>
      </c>
      <c r="F23" s="1050">
        <v>45281.25</v>
      </c>
    </row>
    <row r="24" spans="1:6" s="9" customFormat="1">
      <c r="A24" s="968">
        <v>45622</v>
      </c>
      <c r="C24" s="139"/>
      <c r="D24" s="1078" t="s">
        <v>792</v>
      </c>
      <c r="F24" s="1050">
        <v>41818.6</v>
      </c>
    </row>
    <row r="25" spans="1:6" s="9" customFormat="1">
      <c r="A25" s="968">
        <v>45747</v>
      </c>
      <c r="C25" s="139"/>
      <c r="D25" s="1078" t="s">
        <v>793</v>
      </c>
      <c r="F25" s="1050">
        <v>138684.1</v>
      </c>
    </row>
    <row r="26" spans="1:6" s="9" customFormat="1">
      <c r="A26" s="968">
        <v>45806</v>
      </c>
      <c r="C26" s="139"/>
      <c r="D26" s="1078" t="s">
        <v>795</v>
      </c>
      <c r="F26" s="1050">
        <v>30633.73</v>
      </c>
    </row>
    <row r="27" spans="1:6" s="9" customFormat="1">
      <c r="A27" s="84"/>
      <c r="F27" s="874"/>
    </row>
    <row r="28" spans="1:6" s="13" customFormat="1" ht="13.5" thickBot="1">
      <c r="A28" s="136"/>
      <c r="B28" s="135"/>
      <c r="C28" s="135"/>
      <c r="D28" s="1009" t="s">
        <v>644</v>
      </c>
      <c r="E28" s="1009"/>
      <c r="F28" s="1014">
        <f>SUM(F12:F26)</f>
        <v>549151.26</v>
      </c>
    </row>
    <row r="29" spans="1:6" s="9" customFormat="1">
      <c r="F29" s="154"/>
    </row>
    <row r="30" spans="1:6" s="9" customFormat="1">
      <c r="B30" s="11"/>
      <c r="C30" s="11"/>
      <c r="D30" s="16"/>
    </row>
  </sheetData>
  <mergeCells count="3">
    <mergeCell ref="A1:F1"/>
    <mergeCell ref="A2:F2"/>
    <mergeCell ref="A3:F3"/>
  </mergeCells>
  <pageMargins left="0.7" right="0.7" top="0.75" bottom="0.75" header="0.3" footer="0.3"/>
  <pageSetup scale="98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1CF9-583D-431F-9CB6-C924A76CAF3F}">
  <dimension ref="A1:F80"/>
  <sheetViews>
    <sheetView topLeftCell="A22" workbookViewId="0">
      <selection activeCell="F80" sqref="F80"/>
    </sheetView>
  </sheetViews>
  <sheetFormatPr defaultRowHeight="12.5"/>
  <cols>
    <col min="1" max="1" width="17.1796875" customWidth="1"/>
    <col min="4" max="4" width="52.81640625" customWidth="1"/>
    <col min="5" max="5" width="42.1796875" bestFit="1" customWidth="1"/>
    <col min="6" max="6" width="32.54296875" style="1065" customWidth="1"/>
  </cols>
  <sheetData>
    <row r="1" spans="1:6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ht="18">
      <c r="A2" s="1197" t="s">
        <v>693</v>
      </c>
      <c r="B2" s="1198"/>
      <c r="C2" s="1198"/>
      <c r="D2" s="1198"/>
      <c r="E2" s="1198"/>
      <c r="F2" s="1199"/>
    </row>
    <row r="3" spans="1:6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>
      <c r="A4" s="9"/>
      <c r="B4" s="9"/>
      <c r="C4" s="9"/>
      <c r="D4" s="9"/>
      <c r="E4" s="9"/>
      <c r="F4" s="1061"/>
    </row>
    <row r="5" spans="1:6">
      <c r="A5" s="9"/>
      <c r="B5" s="9"/>
      <c r="C5" s="9"/>
      <c r="D5" s="9"/>
      <c r="E5" s="9"/>
      <c r="F5" s="1061"/>
    </row>
    <row r="6" spans="1:6">
      <c r="A6" s="9"/>
      <c r="B6" s="9"/>
      <c r="C6" s="9"/>
      <c r="D6" s="9"/>
      <c r="E6" s="9"/>
      <c r="F6" s="1061"/>
    </row>
    <row r="7" spans="1:6" ht="13" thickBot="1">
      <c r="A7" s="9"/>
      <c r="B7" s="9"/>
      <c r="C7" s="9"/>
      <c r="D7" s="9"/>
      <c r="E7" s="9"/>
      <c r="F7" s="1061"/>
    </row>
    <row r="8" spans="1:6" ht="13">
      <c r="A8" s="338"/>
      <c r="B8" s="339"/>
      <c r="C8" s="339"/>
      <c r="D8" s="339"/>
      <c r="E8" s="339"/>
      <c r="F8" s="1062"/>
    </row>
    <row r="9" spans="1:6" ht="26.5" thickBot="1">
      <c r="A9" s="315" t="s">
        <v>327</v>
      </c>
      <c r="B9" s="316"/>
      <c r="C9" s="316" t="s">
        <v>347</v>
      </c>
      <c r="D9" s="316" t="s">
        <v>328</v>
      </c>
      <c r="E9" s="316"/>
      <c r="F9" s="1063" t="s">
        <v>329</v>
      </c>
    </row>
    <row r="10" spans="1:6">
      <c r="A10" s="52"/>
      <c r="B10" s="9"/>
      <c r="C10" s="9"/>
      <c r="D10" s="9"/>
      <c r="E10" s="9"/>
      <c r="F10" s="1064"/>
    </row>
    <row r="11" spans="1:6" ht="13">
      <c r="A11" s="1030"/>
      <c r="B11" s="1031"/>
      <c r="C11" s="1038">
        <v>17910</v>
      </c>
      <c r="D11" s="1031" t="s">
        <v>350</v>
      </c>
      <c r="E11" s="1031"/>
      <c r="F11" s="1033"/>
    </row>
    <row r="12" spans="1:6" ht="13">
      <c r="A12" s="994">
        <v>42958</v>
      </c>
      <c r="B12" s="997"/>
      <c r="C12" s="1001"/>
      <c r="D12" s="997" t="s">
        <v>351</v>
      </c>
      <c r="E12" s="997"/>
      <c r="F12" s="1057">
        <v>1590</v>
      </c>
    </row>
    <row r="13" spans="1:6" ht="13">
      <c r="A13" s="994">
        <v>42958</v>
      </c>
      <c r="B13" s="997"/>
      <c r="C13" s="1001"/>
      <c r="D13" s="997" t="s">
        <v>351</v>
      </c>
      <c r="E13" s="997"/>
      <c r="F13" s="1057">
        <v>362.5</v>
      </c>
    </row>
    <row r="14" spans="1:6" ht="13">
      <c r="A14" s="994">
        <v>43830</v>
      </c>
      <c r="B14" s="997"/>
      <c r="C14" s="1001"/>
      <c r="D14" s="997" t="s">
        <v>352</v>
      </c>
      <c r="E14" s="997"/>
      <c r="F14" s="1057">
        <v>-1952.5</v>
      </c>
    </row>
    <row r="15" spans="1:6" ht="13">
      <c r="A15" s="994">
        <v>44148</v>
      </c>
      <c r="B15" s="997"/>
      <c r="C15" s="1001"/>
      <c r="D15" s="997" t="s">
        <v>532</v>
      </c>
      <c r="E15" s="997"/>
      <c r="F15" s="1057">
        <v>747.5</v>
      </c>
    </row>
    <row r="16" spans="1:6" ht="13">
      <c r="A16" s="994">
        <v>44176</v>
      </c>
      <c r="B16" s="997"/>
      <c r="C16" s="1001"/>
      <c r="D16" s="997" t="s">
        <v>580</v>
      </c>
      <c r="E16" s="997"/>
      <c r="F16" s="1057">
        <v>25604.560000000001</v>
      </c>
    </row>
    <row r="17" spans="1:6" ht="13">
      <c r="A17" s="994">
        <v>44188</v>
      </c>
      <c r="B17" s="997"/>
      <c r="C17" s="1001"/>
      <c r="D17" s="997" t="s">
        <v>580</v>
      </c>
      <c r="E17" s="997"/>
      <c r="F17" s="1057">
        <v>43275.7</v>
      </c>
    </row>
    <row r="18" spans="1:6" ht="13">
      <c r="A18" s="994">
        <v>44188</v>
      </c>
      <c r="B18" s="997"/>
      <c r="C18" s="1001"/>
      <c r="D18" s="997" t="s">
        <v>533</v>
      </c>
      <c r="E18" s="997"/>
      <c r="F18" s="1057">
        <v>11416.6</v>
      </c>
    </row>
    <row r="19" spans="1:6" ht="13">
      <c r="A19" s="994">
        <v>44217</v>
      </c>
      <c r="B19" s="997"/>
      <c r="C19" s="1001"/>
      <c r="D19" s="997" t="s">
        <v>580</v>
      </c>
      <c r="E19" s="997"/>
      <c r="F19" s="1057">
        <v>2513.0300000000002</v>
      </c>
    </row>
    <row r="20" spans="1:6" ht="13">
      <c r="A20" s="994">
        <v>44281</v>
      </c>
      <c r="B20" s="997"/>
      <c r="C20" s="1001"/>
      <c r="D20" s="997" t="s">
        <v>534</v>
      </c>
      <c r="E20" s="997"/>
      <c r="F20" s="1057">
        <v>1770</v>
      </c>
    </row>
    <row r="21" spans="1:6" ht="13">
      <c r="A21" s="994">
        <v>44281</v>
      </c>
      <c r="B21" s="997"/>
      <c r="C21" s="1001"/>
      <c r="D21" s="997" t="s">
        <v>535</v>
      </c>
      <c r="E21" s="997"/>
      <c r="F21" s="1057">
        <v>7000</v>
      </c>
    </row>
    <row r="22" spans="1:6" ht="13">
      <c r="A22" s="994">
        <v>44281</v>
      </c>
      <c r="B22" s="997"/>
      <c r="C22" s="1001"/>
      <c r="D22" s="997" t="s">
        <v>580</v>
      </c>
      <c r="E22" s="997"/>
      <c r="F22" s="1057">
        <v>5412.5</v>
      </c>
    </row>
    <row r="23" spans="1:6" ht="13">
      <c r="A23" s="994">
        <v>44281</v>
      </c>
      <c r="B23" s="997"/>
      <c r="C23" s="1001"/>
      <c r="D23" s="997" t="s">
        <v>580</v>
      </c>
      <c r="E23" s="997"/>
      <c r="F23" s="1057">
        <v>6170</v>
      </c>
    </row>
    <row r="24" spans="1:6" ht="13">
      <c r="A24" s="994">
        <v>44343</v>
      </c>
      <c r="B24" s="997"/>
      <c r="C24" s="1001"/>
      <c r="D24" s="997" t="s">
        <v>573</v>
      </c>
      <c r="E24" s="997"/>
      <c r="F24" s="1057">
        <v>3445</v>
      </c>
    </row>
    <row r="25" spans="1:6" ht="13">
      <c r="A25" s="994">
        <v>44343</v>
      </c>
      <c r="B25" s="997"/>
      <c r="C25" s="1001"/>
      <c r="D25" s="997" t="s">
        <v>574</v>
      </c>
      <c r="E25" s="997"/>
      <c r="F25" s="1057">
        <v>14998.85</v>
      </c>
    </row>
    <row r="26" spans="1:6" ht="13">
      <c r="A26" s="994">
        <v>44343</v>
      </c>
      <c r="B26" s="997"/>
      <c r="C26" s="1001"/>
      <c r="D26" s="997" t="s">
        <v>580</v>
      </c>
      <c r="E26" s="997"/>
      <c r="F26" s="1057">
        <v>17722.5</v>
      </c>
    </row>
    <row r="27" spans="1:6" ht="13">
      <c r="A27" s="994">
        <v>44343</v>
      </c>
      <c r="B27" s="997"/>
      <c r="C27" s="1001"/>
      <c r="D27" s="997" t="s">
        <v>534</v>
      </c>
      <c r="E27" s="997"/>
      <c r="F27" s="1057">
        <v>907.5</v>
      </c>
    </row>
    <row r="28" spans="1:6" ht="13">
      <c r="A28" s="994">
        <v>44376</v>
      </c>
      <c r="B28" s="997"/>
      <c r="C28" s="1001"/>
      <c r="D28" s="997" t="s">
        <v>579</v>
      </c>
      <c r="E28" s="997"/>
      <c r="F28" s="1057">
        <v>14998.7</v>
      </c>
    </row>
    <row r="29" spans="1:6" ht="13">
      <c r="A29" s="994">
        <v>44376</v>
      </c>
      <c r="B29" s="997"/>
      <c r="C29" s="1001"/>
      <c r="D29" s="997" t="s">
        <v>580</v>
      </c>
      <c r="E29" s="997"/>
      <c r="F29" s="1057">
        <v>10157.06</v>
      </c>
    </row>
    <row r="30" spans="1:6" ht="13">
      <c r="A30" s="994">
        <v>44406</v>
      </c>
      <c r="B30" s="997"/>
      <c r="C30" s="1001"/>
      <c r="D30" s="997" t="s">
        <v>580</v>
      </c>
      <c r="E30" s="997"/>
      <c r="F30" s="1057">
        <v>39805</v>
      </c>
    </row>
    <row r="31" spans="1:6" ht="13">
      <c r="A31" s="994">
        <v>44434</v>
      </c>
      <c r="B31" s="997"/>
      <c r="C31" s="1001"/>
      <c r="D31" s="997" t="s">
        <v>573</v>
      </c>
      <c r="E31" s="997"/>
      <c r="F31" s="1057">
        <v>1540</v>
      </c>
    </row>
    <row r="32" spans="1:6" ht="13">
      <c r="A32" s="994">
        <v>44434</v>
      </c>
      <c r="B32" s="997"/>
      <c r="C32" s="1001"/>
      <c r="D32" s="997" t="s">
        <v>580</v>
      </c>
      <c r="E32" s="997"/>
      <c r="F32" s="1057">
        <v>10681.25</v>
      </c>
    </row>
    <row r="33" spans="1:6" ht="13">
      <c r="A33" s="994">
        <v>44497</v>
      </c>
      <c r="B33" s="997"/>
      <c r="C33" s="1001"/>
      <c r="D33" s="997" t="s">
        <v>601</v>
      </c>
      <c r="E33" s="997"/>
      <c r="F33" s="1057">
        <v>1552.5</v>
      </c>
    </row>
    <row r="34" spans="1:6" ht="13">
      <c r="A34" s="994">
        <v>44497</v>
      </c>
      <c r="B34" s="997"/>
      <c r="C34" s="1001"/>
      <c r="D34" s="997" t="s">
        <v>580</v>
      </c>
      <c r="E34" s="997"/>
      <c r="F34" s="1057">
        <v>184988.08</v>
      </c>
    </row>
    <row r="35" spans="1:6" ht="13">
      <c r="A35" s="994">
        <v>44589</v>
      </c>
      <c r="B35" s="997"/>
      <c r="C35" s="1001"/>
      <c r="D35" s="997" t="s">
        <v>580</v>
      </c>
      <c r="E35" s="997"/>
      <c r="F35" s="1057">
        <f>49506.31+4348</f>
        <v>53854.31</v>
      </c>
    </row>
    <row r="36" spans="1:6" ht="13">
      <c r="A36" s="994">
        <v>44617</v>
      </c>
      <c r="B36" s="997"/>
      <c r="C36" s="1001"/>
      <c r="D36" s="997" t="s">
        <v>620</v>
      </c>
      <c r="E36" s="997"/>
      <c r="F36" s="1057">
        <f>5465.4+7633.8+1650</f>
        <v>14749.2</v>
      </c>
    </row>
    <row r="37" spans="1:6" ht="13">
      <c r="A37" s="994">
        <v>44638</v>
      </c>
      <c r="B37" s="997"/>
      <c r="C37" s="1001"/>
      <c r="D37" s="997" t="s">
        <v>620</v>
      </c>
      <c r="E37" s="997"/>
      <c r="F37" s="1057">
        <f>447.3+2499.8</f>
        <v>2947.1000000000004</v>
      </c>
    </row>
    <row r="38" spans="1:6" ht="13">
      <c r="A38" s="994">
        <v>44709</v>
      </c>
      <c r="B38" s="997"/>
      <c r="C38" s="1001"/>
      <c r="D38" s="997" t="s">
        <v>580</v>
      </c>
      <c r="E38" s="997"/>
      <c r="F38" s="1057">
        <v>15140.96</v>
      </c>
    </row>
    <row r="39" spans="1:6" ht="13">
      <c r="A39" s="994">
        <v>44709</v>
      </c>
      <c r="B39" s="997"/>
      <c r="C39" s="1001"/>
      <c r="D39" s="997" t="s">
        <v>620</v>
      </c>
      <c r="E39" s="997"/>
      <c r="F39" s="1057">
        <v>30000</v>
      </c>
    </row>
    <row r="40" spans="1:6" ht="13">
      <c r="A40" s="994">
        <v>44709</v>
      </c>
      <c r="B40" s="997"/>
      <c r="C40" s="1001"/>
      <c r="D40" s="997" t="s">
        <v>620</v>
      </c>
      <c r="E40" s="997"/>
      <c r="F40" s="1057">
        <v>2750</v>
      </c>
    </row>
    <row r="41" spans="1:6" ht="13">
      <c r="A41" s="994">
        <v>44802</v>
      </c>
      <c r="B41" s="997"/>
      <c r="C41" s="1001"/>
      <c r="D41" s="997" t="s">
        <v>634</v>
      </c>
      <c r="E41" s="997"/>
      <c r="F41" s="1057">
        <v>9224.19</v>
      </c>
    </row>
    <row r="42" spans="1:6" ht="13">
      <c r="A42" s="994">
        <v>44957</v>
      </c>
      <c r="B42" s="997"/>
      <c r="C42" s="1001"/>
      <c r="D42" s="997" t="s">
        <v>649</v>
      </c>
      <c r="E42" s="997"/>
      <c r="F42" s="1057">
        <f>6672.5+3373.23+6672.5</f>
        <v>16718.23</v>
      </c>
    </row>
    <row r="43" spans="1:6" ht="13">
      <c r="A43" s="994">
        <v>44985</v>
      </c>
      <c r="B43" s="997"/>
      <c r="C43" s="1001"/>
      <c r="D43" s="997" t="s">
        <v>649</v>
      </c>
      <c r="E43" s="997"/>
      <c r="F43" s="1057">
        <v>10001.030000000001</v>
      </c>
    </row>
    <row r="44" spans="1:6" ht="13">
      <c r="A44" s="994">
        <v>45014</v>
      </c>
      <c r="B44" s="997"/>
      <c r="C44" s="1001"/>
      <c r="D44" s="997" t="s">
        <v>656</v>
      </c>
      <c r="E44" s="997"/>
      <c r="F44" s="1057">
        <f>4372.5+10995.05</f>
        <v>15367.55</v>
      </c>
    </row>
    <row r="45" spans="1:6" ht="13">
      <c r="A45" s="994">
        <v>45044</v>
      </c>
      <c r="B45" s="997"/>
      <c r="C45" s="1001"/>
      <c r="D45" s="997" t="s">
        <v>659</v>
      </c>
      <c r="E45" s="997"/>
      <c r="F45" s="1057">
        <v>8510.31</v>
      </c>
    </row>
    <row r="46" spans="1:6" ht="13">
      <c r="A46" s="994">
        <v>45044</v>
      </c>
      <c r="B46" s="997"/>
      <c r="C46" s="1001"/>
      <c r="D46" s="997" t="s">
        <v>659</v>
      </c>
      <c r="E46" s="997"/>
      <c r="F46" s="1057">
        <v>22485.31</v>
      </c>
    </row>
    <row r="47" spans="1:6" ht="13">
      <c r="A47" s="994">
        <v>45107</v>
      </c>
      <c r="B47" s="997"/>
      <c r="C47" s="1001"/>
      <c r="D47" s="997" t="s">
        <v>659</v>
      </c>
      <c r="E47" s="997"/>
      <c r="F47" s="1057">
        <v>45236.03</v>
      </c>
    </row>
    <row r="48" spans="1:6" ht="13">
      <c r="A48" s="994">
        <v>45107</v>
      </c>
      <c r="B48" s="997"/>
      <c r="C48" s="1001"/>
      <c r="D48" s="997" t="s">
        <v>659</v>
      </c>
      <c r="E48" s="997"/>
      <c r="F48" s="1057">
        <v>27570</v>
      </c>
    </row>
    <row r="49" spans="1:6" ht="13">
      <c r="A49" s="994">
        <v>45168</v>
      </c>
      <c r="B49" s="997"/>
      <c r="C49" s="1001"/>
      <c r="D49" s="997" t="s">
        <v>675</v>
      </c>
      <c r="E49" s="997" t="s">
        <v>679</v>
      </c>
      <c r="F49" s="1057">
        <v>-6672.5</v>
      </c>
    </row>
    <row r="50" spans="1:6" ht="13">
      <c r="A50" s="994">
        <v>45168</v>
      </c>
      <c r="B50" s="997"/>
      <c r="C50" s="1001"/>
      <c r="D50" s="997" t="s">
        <v>659</v>
      </c>
      <c r="E50" s="997" t="s">
        <v>680</v>
      </c>
      <c r="F50" s="1057">
        <v>34861.74</v>
      </c>
    </row>
    <row r="51" spans="1:6" ht="13">
      <c r="A51" s="994">
        <v>45229</v>
      </c>
      <c r="B51" s="997"/>
      <c r="C51" s="1001"/>
      <c r="D51" s="997" t="s">
        <v>676</v>
      </c>
      <c r="E51" s="997" t="s">
        <v>681</v>
      </c>
      <c r="F51" s="1057">
        <v>2800</v>
      </c>
    </row>
    <row r="52" spans="1:6" ht="13">
      <c r="A52" s="994">
        <v>45229</v>
      </c>
      <c r="B52" s="997"/>
      <c r="C52" s="1001"/>
      <c r="D52" s="997" t="s">
        <v>677</v>
      </c>
      <c r="E52" s="997" t="s">
        <v>680</v>
      </c>
      <c r="F52" s="1057">
        <v>5270</v>
      </c>
    </row>
    <row r="53" spans="1:6" ht="13">
      <c r="A53" s="994">
        <v>45229</v>
      </c>
      <c r="B53" s="997"/>
      <c r="C53" s="1001"/>
      <c r="D53" s="997" t="s">
        <v>678</v>
      </c>
      <c r="E53" s="997" t="s">
        <v>680</v>
      </c>
      <c r="F53" s="1057">
        <v>37575</v>
      </c>
    </row>
    <row r="54" spans="1:6" ht="13">
      <c r="A54" s="994">
        <v>45229</v>
      </c>
      <c r="B54" s="997"/>
      <c r="C54" s="1001"/>
      <c r="D54" s="997" t="s">
        <v>678</v>
      </c>
      <c r="E54" s="997" t="s">
        <v>680</v>
      </c>
      <c r="F54" s="1057">
        <v>36401.46</v>
      </c>
    </row>
    <row r="55" spans="1:6" ht="13">
      <c r="A55" s="994">
        <v>45229</v>
      </c>
      <c r="B55" s="997"/>
      <c r="C55" s="1001"/>
      <c r="D55" s="997" t="s">
        <v>682</v>
      </c>
      <c r="E55" s="997" t="s">
        <v>680</v>
      </c>
      <c r="F55" s="1057">
        <v>26942.51</v>
      </c>
    </row>
    <row r="56" spans="1:6" ht="13">
      <c r="A56" s="994">
        <v>45229</v>
      </c>
      <c r="B56" s="997"/>
      <c r="C56" s="1001"/>
      <c r="D56" s="997" t="s">
        <v>683</v>
      </c>
      <c r="E56" s="997" t="s">
        <v>680</v>
      </c>
      <c r="F56" s="1057">
        <v>910</v>
      </c>
    </row>
    <row r="57" spans="1:6" ht="13">
      <c r="A57" s="994">
        <v>45229</v>
      </c>
      <c r="B57" s="997"/>
      <c r="C57" s="1001"/>
      <c r="D57" s="997" t="s">
        <v>656</v>
      </c>
      <c r="E57" s="997" t="s">
        <v>684</v>
      </c>
      <c r="F57" s="1057">
        <v>14300</v>
      </c>
    </row>
    <row r="58" spans="1:6" ht="13">
      <c r="A58" s="994">
        <v>45229</v>
      </c>
      <c r="B58" s="997"/>
      <c r="C58" s="1001"/>
      <c r="D58" s="997" t="s">
        <v>656</v>
      </c>
      <c r="E58" s="997" t="s">
        <v>684</v>
      </c>
      <c r="F58" s="1057">
        <v>8456.25</v>
      </c>
    </row>
    <row r="59" spans="1:6" ht="13">
      <c r="A59" s="994">
        <v>45229</v>
      </c>
      <c r="B59" s="997"/>
      <c r="C59" s="1001"/>
      <c r="D59" s="997" t="s">
        <v>685</v>
      </c>
      <c r="E59" s="997" t="s">
        <v>681</v>
      </c>
      <c r="F59" s="1057">
        <v>-2500</v>
      </c>
    </row>
    <row r="60" spans="1:6" ht="13">
      <c r="A60" s="994">
        <v>45288</v>
      </c>
      <c r="B60" s="997"/>
      <c r="C60" s="1001"/>
      <c r="D60" s="997" t="s">
        <v>686</v>
      </c>
      <c r="E60" s="997" t="s">
        <v>687</v>
      </c>
      <c r="F60" s="1057">
        <v>1500</v>
      </c>
    </row>
    <row r="61" spans="1:6" ht="13">
      <c r="A61" s="994">
        <v>45288</v>
      </c>
      <c r="B61" s="997"/>
      <c r="C61" s="1001"/>
      <c r="D61" s="997" t="s">
        <v>659</v>
      </c>
      <c r="E61" s="997" t="s">
        <v>680</v>
      </c>
      <c r="F61" s="1057">
        <v>9905</v>
      </c>
    </row>
    <row r="62" spans="1:6" ht="13">
      <c r="A62" s="994">
        <v>45288</v>
      </c>
      <c r="B62" s="997"/>
      <c r="C62" s="1001"/>
      <c r="D62" s="997" t="s">
        <v>659</v>
      </c>
      <c r="E62" s="997" t="s">
        <v>680</v>
      </c>
      <c r="F62" s="1057">
        <v>29351.919999999998</v>
      </c>
    </row>
    <row r="63" spans="1:6" ht="13">
      <c r="A63" s="994">
        <v>45288</v>
      </c>
      <c r="B63" s="997"/>
      <c r="C63" s="1001"/>
      <c r="D63" s="997" t="s">
        <v>688</v>
      </c>
      <c r="E63" s="997" t="s">
        <v>689</v>
      </c>
      <c r="F63" s="1057">
        <v>7501.33</v>
      </c>
    </row>
    <row r="64" spans="1:6" ht="13">
      <c r="A64" s="994">
        <v>45322</v>
      </c>
      <c r="B64" s="997"/>
      <c r="C64" s="1001"/>
      <c r="D64" s="997" t="s">
        <v>690</v>
      </c>
      <c r="E64" s="997" t="s">
        <v>680</v>
      </c>
      <c r="F64" s="1057">
        <v>1606.84</v>
      </c>
    </row>
    <row r="65" spans="1:6" ht="13">
      <c r="A65" s="994">
        <v>45322</v>
      </c>
      <c r="B65" s="997"/>
      <c r="C65" s="1001"/>
      <c r="D65" s="997" t="s">
        <v>659</v>
      </c>
      <c r="E65" s="997" t="s">
        <v>680</v>
      </c>
      <c r="F65" s="1057">
        <v>10841.79</v>
      </c>
    </row>
    <row r="66" spans="1:6" ht="13">
      <c r="A66" s="994">
        <v>45375</v>
      </c>
      <c r="B66" s="997"/>
      <c r="C66" s="1001"/>
      <c r="D66" s="997" t="s">
        <v>692</v>
      </c>
      <c r="E66" s="997" t="s">
        <v>691</v>
      </c>
      <c r="F66" s="1057">
        <v>1425</v>
      </c>
    </row>
    <row r="67" spans="1:6" ht="13">
      <c r="A67" s="994">
        <v>45375</v>
      </c>
      <c r="B67" s="997"/>
      <c r="C67" s="1001"/>
      <c r="D67" s="997" t="s">
        <v>659</v>
      </c>
      <c r="E67" s="997" t="s">
        <v>680</v>
      </c>
      <c r="F67" s="1057">
        <v>12517.38</v>
      </c>
    </row>
    <row r="68" spans="1:6" ht="13">
      <c r="A68" s="994">
        <v>45408</v>
      </c>
      <c r="B68" s="997"/>
      <c r="C68" s="1001"/>
      <c r="D68" s="997" t="s">
        <v>747</v>
      </c>
      <c r="E68" s="997" t="s">
        <v>745</v>
      </c>
      <c r="F68" s="1057">
        <v>16054.93</v>
      </c>
    </row>
    <row r="69" spans="1:6" ht="13">
      <c r="A69" s="994">
        <v>45408</v>
      </c>
      <c r="B69" s="997"/>
      <c r="C69" s="1001"/>
      <c r="D69" s="997" t="s">
        <v>748</v>
      </c>
      <c r="E69" s="997" t="s">
        <v>745</v>
      </c>
      <c r="F69" s="1057">
        <v>10100</v>
      </c>
    </row>
    <row r="70" spans="1:6" ht="13">
      <c r="A70" s="994">
        <v>45442</v>
      </c>
      <c r="B70" s="997"/>
      <c r="C70" s="1001"/>
      <c r="D70" s="997" t="s">
        <v>749</v>
      </c>
      <c r="E70" s="997" t="s">
        <v>745</v>
      </c>
      <c r="F70" s="1057">
        <v>10071.969999999999</v>
      </c>
    </row>
    <row r="71" spans="1:6" ht="13">
      <c r="A71" s="994">
        <v>45504</v>
      </c>
      <c r="B71" s="997"/>
      <c r="C71" s="1001"/>
      <c r="D71" s="997" t="s">
        <v>750</v>
      </c>
      <c r="E71" s="997" t="s">
        <v>745</v>
      </c>
      <c r="F71" s="1057">
        <v>7660</v>
      </c>
    </row>
    <row r="72" spans="1:6" ht="13">
      <c r="A72" s="994">
        <v>45504</v>
      </c>
      <c r="B72" s="997"/>
      <c r="C72" s="1001"/>
      <c r="D72" s="997" t="s">
        <v>750</v>
      </c>
      <c r="E72" s="997" t="s">
        <v>745</v>
      </c>
      <c r="F72" s="1057">
        <v>7040</v>
      </c>
    </row>
    <row r="73" spans="1:6" ht="13">
      <c r="A73" s="994">
        <v>45594</v>
      </c>
      <c r="B73" s="997"/>
      <c r="C73" s="1001"/>
      <c r="D73" s="997" t="s">
        <v>751</v>
      </c>
      <c r="E73" s="997" t="s">
        <v>745</v>
      </c>
      <c r="F73" s="1057">
        <v>1600</v>
      </c>
    </row>
    <row r="74" spans="1:6" ht="13">
      <c r="A74" s="994">
        <v>45622</v>
      </c>
      <c r="B74" s="997"/>
      <c r="C74" s="1001"/>
      <c r="D74" s="997" t="s">
        <v>752</v>
      </c>
      <c r="E74" s="997" t="s">
        <v>746</v>
      </c>
      <c r="F74" s="1057">
        <v>1100</v>
      </c>
    </row>
    <row r="75" spans="1:6" ht="13">
      <c r="A75" s="994">
        <v>45622</v>
      </c>
      <c r="B75" s="997"/>
      <c r="C75" s="1001"/>
      <c r="D75" s="997" t="s">
        <v>753</v>
      </c>
      <c r="E75" s="997" t="s">
        <v>745</v>
      </c>
      <c r="F75" s="1057">
        <v>1175.29</v>
      </c>
    </row>
    <row r="76" spans="1:6" ht="13">
      <c r="A76" s="994">
        <v>45622</v>
      </c>
      <c r="B76" s="997"/>
      <c r="C76" s="1001"/>
      <c r="D76" s="997" t="s">
        <v>754</v>
      </c>
      <c r="E76" s="997" t="s">
        <v>745</v>
      </c>
      <c r="F76" s="1057">
        <v>1885</v>
      </c>
    </row>
    <row r="77" spans="1:6" ht="13">
      <c r="A77" s="994"/>
      <c r="B77" s="997"/>
      <c r="C77" s="1001"/>
      <c r="D77" s="997"/>
      <c r="E77" s="997"/>
      <c r="F77" s="1057"/>
    </row>
    <row r="78" spans="1:6" ht="13">
      <c r="A78" s="1054"/>
      <c r="B78" s="1055"/>
      <c r="C78" s="1056"/>
      <c r="D78" s="1055"/>
      <c r="E78" s="1055"/>
      <c r="F78" s="1059"/>
    </row>
    <row r="79" spans="1:6" ht="13.5" thickBot="1">
      <c r="A79" s="1069"/>
      <c r="B79" s="1009"/>
      <c r="C79" s="1009"/>
      <c r="D79" s="1070"/>
      <c r="E79" s="1009"/>
      <c r="F79" s="1071">
        <f>SUM(F12:F78)</f>
        <v>968941.4600000002</v>
      </c>
    </row>
    <row r="80" spans="1:6">
      <c r="F80" s="1060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6E90-0EDB-4192-A128-130E8BD6D596}">
  <dimension ref="A1:E56"/>
  <sheetViews>
    <sheetView topLeftCell="A25" workbookViewId="0">
      <selection activeCell="F80" sqref="F80"/>
    </sheetView>
  </sheetViews>
  <sheetFormatPr defaultRowHeight="12.5"/>
  <cols>
    <col min="1" max="1" width="13.26953125" customWidth="1"/>
    <col min="3" max="3" width="67" customWidth="1"/>
    <col min="4" max="4" width="53.453125" customWidth="1"/>
    <col min="5" max="5" width="28.7265625" customWidth="1"/>
  </cols>
  <sheetData>
    <row r="1" spans="1:5" ht="18">
      <c r="A1" s="1194" t="str">
        <f>+'Review Comments'!B11</f>
        <v>ABI PROPERTIES</v>
      </c>
      <c r="B1" s="1195"/>
      <c r="C1" s="1195"/>
      <c r="D1" s="1195"/>
      <c r="E1" s="1196"/>
    </row>
    <row r="2" spans="1:5" ht="18">
      <c r="A2" s="1197" t="s">
        <v>694</v>
      </c>
      <c r="B2" s="1198"/>
      <c r="C2" s="1198"/>
      <c r="D2" s="1198"/>
      <c r="E2" s="1199"/>
    </row>
    <row r="3" spans="1:5" ht="18.5" thickBot="1">
      <c r="A3" s="1200" t="str">
        <f>'Review Comments'!B13</f>
        <v>FOR THE MONTH ENDED 08/31/26</v>
      </c>
      <c r="B3" s="1201"/>
      <c r="C3" s="1201"/>
      <c r="D3" s="1201"/>
      <c r="E3" s="1202"/>
    </row>
    <row r="4" spans="1:5">
      <c r="A4" s="9"/>
      <c r="B4" s="9"/>
      <c r="C4" s="9"/>
      <c r="D4" s="9"/>
      <c r="E4" s="9"/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 ht="13" thickBot="1">
      <c r="A7" s="9"/>
      <c r="B7" s="9"/>
      <c r="C7" s="9"/>
      <c r="D7" s="9"/>
      <c r="E7" s="9"/>
    </row>
    <row r="8" spans="1:5" ht="13">
      <c r="A8" s="338"/>
      <c r="B8" s="339"/>
      <c r="C8" s="339"/>
      <c r="D8" s="339"/>
      <c r="E8" s="341"/>
    </row>
    <row r="9" spans="1:5" ht="26.5" thickBot="1">
      <c r="A9" s="315" t="s">
        <v>327</v>
      </c>
      <c r="B9" s="316" t="s">
        <v>347</v>
      </c>
      <c r="C9" s="316" t="s">
        <v>328</v>
      </c>
      <c r="D9" s="316"/>
      <c r="E9" s="357" t="s">
        <v>329</v>
      </c>
    </row>
    <row r="10" spans="1:5">
      <c r="A10" s="52"/>
      <c r="B10" s="9"/>
      <c r="C10" s="9"/>
      <c r="D10" s="9"/>
      <c r="E10" s="87"/>
    </row>
    <row r="11" spans="1:5" ht="13">
      <c r="A11" s="1002"/>
      <c r="B11" s="997"/>
      <c r="C11" s="1017"/>
      <c r="D11" s="997"/>
      <c r="E11" s="999"/>
    </row>
    <row r="12" spans="1:5" ht="13">
      <c r="A12" s="1002"/>
      <c r="B12" s="1038">
        <v>17920</v>
      </c>
      <c r="C12" s="1031" t="s">
        <v>537</v>
      </c>
      <c r="D12" s="997"/>
      <c r="E12" s="999"/>
    </row>
    <row r="13" spans="1:5" ht="13">
      <c r="A13" s="994">
        <v>44189.426793981504</v>
      </c>
      <c r="B13" s="997"/>
      <c r="C13" s="997" t="s">
        <v>540</v>
      </c>
      <c r="D13" s="997"/>
      <c r="E13" s="1058">
        <v>20544.09</v>
      </c>
    </row>
    <row r="14" spans="1:5" ht="13">
      <c r="A14" s="994">
        <v>44189.426793981504</v>
      </c>
      <c r="B14" s="997"/>
      <c r="C14" s="997" t="s">
        <v>539</v>
      </c>
      <c r="D14" s="997"/>
      <c r="E14" s="1058">
        <v>777.51</v>
      </c>
    </row>
    <row r="15" spans="1:5" ht="13">
      <c r="A15" s="994">
        <v>44225.415162037003</v>
      </c>
      <c r="B15" s="997"/>
      <c r="C15" s="997" t="s">
        <v>540</v>
      </c>
      <c r="D15" s="997"/>
      <c r="E15" s="1058">
        <v>8500</v>
      </c>
    </row>
    <row r="16" spans="1:5" ht="13">
      <c r="A16" s="994">
        <v>44378</v>
      </c>
      <c r="B16" s="997"/>
      <c r="C16" s="997" t="s">
        <v>588</v>
      </c>
      <c r="D16" s="997"/>
      <c r="E16" s="1058">
        <v>75</v>
      </c>
    </row>
    <row r="17" spans="1:5" ht="13">
      <c r="A17" s="994">
        <v>44434</v>
      </c>
      <c r="B17" s="997"/>
      <c r="C17" s="997" t="s">
        <v>591</v>
      </c>
      <c r="D17" s="997"/>
      <c r="E17" s="1058">
        <v>8739.7099999999991</v>
      </c>
    </row>
    <row r="18" spans="1:5" ht="13">
      <c r="A18" s="994">
        <v>44484</v>
      </c>
      <c r="B18" s="997"/>
      <c r="C18" s="997" t="s">
        <v>602</v>
      </c>
      <c r="D18" s="997"/>
      <c r="E18" s="1058">
        <v>1123.83</v>
      </c>
    </row>
    <row r="19" spans="1:5" ht="13">
      <c r="A19" s="994">
        <v>44524</v>
      </c>
      <c r="B19" s="997"/>
      <c r="C19" s="997" t="s">
        <v>602</v>
      </c>
      <c r="D19" s="997"/>
      <c r="E19" s="1058">
        <v>1203.1600000000001</v>
      </c>
    </row>
    <row r="20" spans="1:5" ht="13">
      <c r="A20" s="994">
        <v>44524</v>
      </c>
      <c r="B20" s="997"/>
      <c r="C20" s="997" t="s">
        <v>602</v>
      </c>
      <c r="D20" s="997"/>
      <c r="E20" s="1058">
        <v>1122.17</v>
      </c>
    </row>
    <row r="21" spans="1:5" ht="13">
      <c r="A21" s="994">
        <v>44741</v>
      </c>
      <c r="B21" s="997"/>
      <c r="C21" s="997" t="s">
        <v>629</v>
      </c>
      <c r="D21" s="997"/>
      <c r="E21" s="1058">
        <v>600</v>
      </c>
    </row>
    <row r="22" spans="1:5" ht="13">
      <c r="A22" s="994">
        <v>44741</v>
      </c>
      <c r="B22" s="997"/>
      <c r="C22" s="997" t="s">
        <v>602</v>
      </c>
      <c r="D22" s="997"/>
      <c r="E22" s="1058">
        <v>968.77</v>
      </c>
    </row>
    <row r="23" spans="1:5" ht="13">
      <c r="A23" s="994">
        <v>45014</v>
      </c>
      <c r="B23" s="997"/>
      <c r="C23" s="997" t="s">
        <v>539</v>
      </c>
      <c r="D23" s="997"/>
      <c r="E23" s="1058">
        <v>921.4</v>
      </c>
    </row>
    <row r="24" spans="1:5" ht="13">
      <c r="A24" s="994">
        <v>45015</v>
      </c>
      <c r="B24" s="997"/>
      <c r="C24" s="997" t="s">
        <v>654</v>
      </c>
      <c r="D24" s="997"/>
      <c r="E24" s="1058">
        <v>3300</v>
      </c>
    </row>
    <row r="25" spans="1:5" ht="13">
      <c r="A25" s="994">
        <v>45015</v>
      </c>
      <c r="B25" s="997"/>
      <c r="C25" s="997" t="s">
        <v>655</v>
      </c>
      <c r="D25" s="997"/>
      <c r="E25" s="1058">
        <v>6418.32</v>
      </c>
    </row>
    <row r="26" spans="1:5" ht="13">
      <c r="A26" s="994">
        <v>45107</v>
      </c>
      <c r="B26" s="997"/>
      <c r="C26" s="997" t="s">
        <v>602</v>
      </c>
      <c r="D26" s="997"/>
      <c r="E26" s="1058">
        <v>2641.79</v>
      </c>
    </row>
    <row r="27" spans="1:5" ht="13">
      <c r="A27" s="994">
        <v>45107</v>
      </c>
      <c r="B27" s="997"/>
      <c r="C27" s="997" t="s">
        <v>602</v>
      </c>
      <c r="D27" s="997"/>
      <c r="E27" s="1058">
        <v>11465.35</v>
      </c>
    </row>
    <row r="28" spans="1:5" ht="13">
      <c r="A28" s="994">
        <v>45107</v>
      </c>
      <c r="B28" s="997"/>
      <c r="C28" s="997" t="s">
        <v>588</v>
      </c>
      <c r="D28" s="997"/>
      <c r="E28" s="1058">
        <v>75</v>
      </c>
    </row>
    <row r="29" spans="1:5" ht="13">
      <c r="A29" s="994">
        <v>45138</v>
      </c>
      <c r="B29" s="997"/>
      <c r="C29" s="997" t="s">
        <v>674</v>
      </c>
      <c r="D29" s="997"/>
      <c r="E29" s="1058">
        <v>548</v>
      </c>
    </row>
    <row r="30" spans="1:5" ht="13">
      <c r="A30" s="994">
        <v>45168</v>
      </c>
      <c r="B30" s="997"/>
      <c r="C30" s="997" t="s">
        <v>695</v>
      </c>
      <c r="D30" s="997" t="s">
        <v>699</v>
      </c>
      <c r="E30" s="1058">
        <v>3215.18</v>
      </c>
    </row>
    <row r="31" spans="1:5" ht="13">
      <c r="A31" s="994">
        <v>45168</v>
      </c>
      <c r="B31" s="997"/>
      <c r="C31" s="997" t="s">
        <v>696</v>
      </c>
      <c r="D31" s="997" t="s">
        <v>699</v>
      </c>
      <c r="E31" s="1058">
        <v>535</v>
      </c>
    </row>
    <row r="32" spans="1:5" ht="13">
      <c r="A32" s="994">
        <v>45229</v>
      </c>
      <c r="B32" s="997"/>
      <c r="C32" s="997" t="s">
        <v>697</v>
      </c>
      <c r="D32" s="997" t="s">
        <v>698</v>
      </c>
      <c r="E32" s="1058">
        <v>725</v>
      </c>
    </row>
    <row r="33" spans="1:5" ht="13">
      <c r="A33" s="994">
        <v>45229</v>
      </c>
      <c r="B33" s="997"/>
      <c r="C33" s="997" t="s">
        <v>700</v>
      </c>
      <c r="D33" s="997" t="s">
        <v>698</v>
      </c>
      <c r="E33" s="1058">
        <v>76706.5</v>
      </c>
    </row>
    <row r="34" spans="1:5" ht="13">
      <c r="A34" s="994">
        <v>45229</v>
      </c>
      <c r="B34" s="997"/>
      <c r="C34" s="997" t="s">
        <v>701</v>
      </c>
      <c r="D34" s="997" t="s">
        <v>699</v>
      </c>
      <c r="E34" s="1058">
        <v>2500</v>
      </c>
    </row>
    <row r="35" spans="1:5" ht="13">
      <c r="A35" s="994">
        <v>45288</v>
      </c>
      <c r="B35" s="997"/>
      <c r="C35" s="997" t="s">
        <v>702</v>
      </c>
      <c r="D35" s="997" t="s">
        <v>703</v>
      </c>
      <c r="E35" s="1058">
        <v>2561.7199999999998</v>
      </c>
    </row>
    <row r="36" spans="1:5" ht="13">
      <c r="A36" s="994">
        <v>45288</v>
      </c>
      <c r="B36" s="997"/>
      <c r="C36" s="997" t="s">
        <v>704</v>
      </c>
      <c r="D36" s="997" t="s">
        <v>699</v>
      </c>
      <c r="E36" s="1058">
        <v>4348.95</v>
      </c>
    </row>
    <row r="37" spans="1:5" ht="13">
      <c r="A37" s="994">
        <v>45288</v>
      </c>
      <c r="B37" s="997"/>
      <c r="C37" s="997" t="s">
        <v>705</v>
      </c>
      <c r="D37" s="997" t="s">
        <v>699</v>
      </c>
      <c r="E37" s="1058">
        <v>2966.2</v>
      </c>
    </row>
    <row r="38" spans="1:5" ht="13">
      <c r="A38" s="994">
        <v>45322</v>
      </c>
      <c r="B38" s="997"/>
      <c r="C38" s="997" t="s">
        <v>706</v>
      </c>
      <c r="D38" s="997" t="s">
        <v>699</v>
      </c>
      <c r="E38" s="1058">
        <v>136.34</v>
      </c>
    </row>
    <row r="39" spans="1:5" ht="13">
      <c r="A39" s="994">
        <v>45322</v>
      </c>
      <c r="B39" s="997"/>
      <c r="C39" s="997" t="s">
        <v>707</v>
      </c>
      <c r="D39" s="997" t="s">
        <v>699</v>
      </c>
      <c r="E39" s="1058">
        <v>797.66</v>
      </c>
    </row>
    <row r="40" spans="1:5" ht="13">
      <c r="A40" s="994">
        <v>45350</v>
      </c>
      <c r="B40" s="997"/>
      <c r="C40" s="997" t="s">
        <v>708</v>
      </c>
      <c r="D40" s="997" t="s">
        <v>709</v>
      </c>
      <c r="E40" s="1058">
        <v>93341.58</v>
      </c>
    </row>
    <row r="41" spans="1:5" ht="13">
      <c r="A41" s="994">
        <v>45378</v>
      </c>
      <c r="B41" s="997"/>
      <c r="C41" s="997" t="s">
        <v>710</v>
      </c>
      <c r="D41" s="997" t="s">
        <v>711</v>
      </c>
      <c r="E41" s="1058">
        <v>14122</v>
      </c>
    </row>
    <row r="42" spans="1:5" ht="13">
      <c r="A42" s="994">
        <v>45378</v>
      </c>
      <c r="B42" s="997"/>
      <c r="C42" s="997" t="s">
        <v>712</v>
      </c>
      <c r="D42" s="997" t="s">
        <v>703</v>
      </c>
      <c r="E42" s="1058">
        <v>5975.71</v>
      </c>
    </row>
    <row r="43" spans="1:5" ht="13">
      <c r="A43" s="994">
        <v>45378</v>
      </c>
      <c r="B43" s="997"/>
      <c r="C43" s="997" t="s">
        <v>713</v>
      </c>
      <c r="D43" s="997" t="s">
        <v>703</v>
      </c>
      <c r="E43" s="1058">
        <v>9166.9699999999993</v>
      </c>
    </row>
    <row r="44" spans="1:5" ht="13">
      <c r="A44" s="1074">
        <v>45442</v>
      </c>
      <c r="B44" s="997"/>
      <c r="C44" s="997" t="s">
        <v>761</v>
      </c>
      <c r="D44" s="997" t="s">
        <v>755</v>
      </c>
      <c r="E44" s="1058">
        <v>5854.01</v>
      </c>
    </row>
    <row r="45" spans="1:5" ht="13">
      <c r="A45" s="1074">
        <v>45470</v>
      </c>
      <c r="B45" s="997"/>
      <c r="C45" s="997" t="s">
        <v>762</v>
      </c>
      <c r="D45" s="997" t="s">
        <v>756</v>
      </c>
      <c r="E45" s="1058">
        <v>55097</v>
      </c>
    </row>
    <row r="46" spans="1:5" ht="13">
      <c r="A46" s="1074">
        <v>45470</v>
      </c>
      <c r="B46" s="997"/>
      <c r="C46" s="997" t="s">
        <v>763</v>
      </c>
      <c r="D46" s="997" t="s">
        <v>757</v>
      </c>
      <c r="E46" s="1058">
        <v>5854.01</v>
      </c>
    </row>
    <row r="47" spans="1:5" ht="13">
      <c r="A47" s="1074">
        <v>45470</v>
      </c>
      <c r="B47" s="997"/>
      <c r="C47" s="997" t="s">
        <v>764</v>
      </c>
      <c r="D47" s="997" t="s">
        <v>757</v>
      </c>
      <c r="E47" s="1058">
        <v>-5854.01</v>
      </c>
    </row>
    <row r="48" spans="1:5" ht="13">
      <c r="A48" s="1074">
        <v>45562</v>
      </c>
      <c r="B48" s="997"/>
      <c r="C48" s="997" t="s">
        <v>765</v>
      </c>
      <c r="D48" s="997" t="s">
        <v>758</v>
      </c>
      <c r="E48" s="1058">
        <v>1097.22</v>
      </c>
    </row>
    <row r="49" spans="1:5" ht="13">
      <c r="A49" s="1074">
        <v>45562</v>
      </c>
      <c r="B49" s="997"/>
      <c r="C49" s="997" t="s">
        <v>766</v>
      </c>
      <c r="D49" s="997" t="s">
        <v>759</v>
      </c>
      <c r="E49" s="1058">
        <v>5647.46</v>
      </c>
    </row>
    <row r="50" spans="1:5" ht="13">
      <c r="A50" s="1074">
        <v>45622</v>
      </c>
      <c r="B50" s="997"/>
      <c r="C50" s="997" t="s">
        <v>768</v>
      </c>
      <c r="D50" s="997" t="s">
        <v>735</v>
      </c>
      <c r="E50" s="1058">
        <v>736.61</v>
      </c>
    </row>
    <row r="51" spans="1:5" ht="13">
      <c r="A51" s="1074">
        <v>45622</v>
      </c>
      <c r="B51" s="997"/>
      <c r="C51" s="997" t="s">
        <v>767</v>
      </c>
      <c r="D51" s="997" t="s">
        <v>760</v>
      </c>
      <c r="E51" s="1058">
        <v>568.47</v>
      </c>
    </row>
    <row r="52" spans="1:5" ht="13">
      <c r="A52" s="1074">
        <v>45622</v>
      </c>
      <c r="B52" s="997"/>
      <c r="C52" s="997" t="s">
        <v>767</v>
      </c>
      <c r="D52" s="997" t="s">
        <v>760</v>
      </c>
      <c r="E52" s="1058">
        <v>365</v>
      </c>
    </row>
    <row r="53" spans="1:5" ht="13">
      <c r="A53" s="1075">
        <v>45651</v>
      </c>
      <c r="B53" s="997"/>
      <c r="C53" s="997" t="s">
        <v>769</v>
      </c>
      <c r="D53" s="997" t="s">
        <v>735</v>
      </c>
      <c r="E53" s="1058">
        <v>712.81</v>
      </c>
    </row>
    <row r="54" spans="1:5" ht="13">
      <c r="A54" s="1075">
        <v>45651</v>
      </c>
      <c r="B54" s="997"/>
      <c r="C54" s="997" t="s">
        <v>770</v>
      </c>
      <c r="D54" s="997" t="s">
        <v>735</v>
      </c>
      <c r="E54" s="1058">
        <v>651.84</v>
      </c>
    </row>
    <row r="55" spans="1:5" ht="13">
      <c r="A55" s="994"/>
      <c r="B55" s="997"/>
      <c r="C55" s="997"/>
      <c r="D55" s="997"/>
      <c r="E55" s="1058"/>
    </row>
    <row r="56" spans="1:5" ht="13.5" thickBot="1">
      <c r="A56" s="1069"/>
      <c r="B56" s="1009"/>
      <c r="C56" s="1070"/>
      <c r="D56" s="1009"/>
      <c r="E56" s="1071">
        <f>SUM(E13:E55)</f>
        <v>356853.33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CC0E-C5E8-44CE-AB10-1F6C4A362B93}">
  <dimension ref="A1:E73"/>
  <sheetViews>
    <sheetView topLeftCell="A43" workbookViewId="0">
      <selection activeCell="F80" sqref="F80"/>
    </sheetView>
  </sheetViews>
  <sheetFormatPr defaultRowHeight="12.5"/>
  <cols>
    <col min="1" max="1" width="12" customWidth="1"/>
    <col min="2" max="2" width="15.81640625" customWidth="1"/>
    <col min="3" max="3" width="71.26953125" customWidth="1"/>
    <col min="4" max="4" width="42" customWidth="1"/>
    <col min="5" max="5" width="16.453125" style="1065" customWidth="1"/>
  </cols>
  <sheetData>
    <row r="1" spans="1:5" ht="18">
      <c r="A1" s="1194" t="str">
        <f>+'Review Comments'!B11</f>
        <v>ABI PROPERTIES</v>
      </c>
      <c r="B1" s="1195"/>
      <c r="C1" s="1195"/>
      <c r="D1" s="1195"/>
      <c r="E1" s="1196"/>
    </row>
    <row r="2" spans="1:5" ht="18">
      <c r="A2" s="1197" t="s">
        <v>716</v>
      </c>
      <c r="B2" s="1198"/>
      <c r="C2" s="1198"/>
      <c r="D2" s="1198"/>
      <c r="E2" s="1199"/>
    </row>
    <row r="3" spans="1:5" ht="18.5" thickBot="1">
      <c r="A3" s="1200" t="str">
        <f>'Review Comments'!B13</f>
        <v>FOR THE MONTH ENDED 08/31/26</v>
      </c>
      <c r="B3" s="1201"/>
      <c r="C3" s="1201"/>
      <c r="D3" s="1201"/>
      <c r="E3" s="1202"/>
    </row>
    <row r="4" spans="1:5">
      <c r="A4" s="9"/>
      <c r="B4" s="9"/>
      <c r="C4" s="9"/>
      <c r="D4" s="9"/>
      <c r="E4" s="1061"/>
    </row>
    <row r="5" spans="1:5">
      <c r="A5" s="9"/>
      <c r="B5" s="9"/>
      <c r="C5" s="9"/>
      <c r="D5" s="9"/>
      <c r="E5" s="1061"/>
    </row>
    <row r="6" spans="1:5">
      <c r="A6" s="9"/>
      <c r="B6" s="9"/>
      <c r="C6" s="9"/>
      <c r="D6" s="9"/>
      <c r="E6" s="1061"/>
    </row>
    <row r="7" spans="1:5" ht="13" thickBot="1">
      <c r="A7" s="9"/>
      <c r="B7" s="9"/>
      <c r="C7" s="9"/>
      <c r="D7" s="9"/>
      <c r="E7" s="1061"/>
    </row>
    <row r="8" spans="1:5" ht="13">
      <c r="A8" s="338"/>
      <c r="B8" s="339"/>
      <c r="C8" s="339"/>
      <c r="D8" s="339"/>
      <c r="E8" s="1062"/>
    </row>
    <row r="9" spans="1:5" ht="26.5" thickBot="1">
      <c r="A9" s="315" t="s">
        <v>327</v>
      </c>
      <c r="B9" s="316" t="s">
        <v>347</v>
      </c>
      <c r="C9" s="316" t="s">
        <v>328</v>
      </c>
      <c r="D9" s="316"/>
      <c r="E9" s="1063" t="s">
        <v>329</v>
      </c>
    </row>
    <row r="10" spans="1:5">
      <c r="A10" s="52"/>
      <c r="B10" s="9"/>
      <c r="C10" s="9"/>
      <c r="D10" s="9"/>
      <c r="E10" s="1064"/>
    </row>
    <row r="11" spans="1:5" ht="13">
      <c r="A11" s="1002"/>
      <c r="B11" s="997"/>
      <c r="C11" s="1017"/>
      <c r="D11" s="997"/>
      <c r="E11" s="1003"/>
    </row>
    <row r="12" spans="1:5" ht="13">
      <c r="A12" s="1002"/>
      <c r="B12" s="997"/>
      <c r="C12" s="1017"/>
      <c r="D12" s="997"/>
      <c r="E12" s="1003"/>
    </row>
    <row r="13" spans="1:5" ht="13">
      <c r="A13" s="1002"/>
      <c r="B13" s="1038">
        <v>17930</v>
      </c>
      <c r="C13" s="1031" t="s">
        <v>538</v>
      </c>
      <c r="D13" s="997"/>
      <c r="E13" s="1003"/>
    </row>
    <row r="14" spans="1:5" ht="13">
      <c r="A14" s="994">
        <v>44189</v>
      </c>
      <c r="B14" s="997"/>
      <c r="C14" s="997" t="s">
        <v>541</v>
      </c>
      <c r="D14" s="997"/>
      <c r="E14" s="1003">
        <v>2500</v>
      </c>
    </row>
    <row r="15" spans="1:5" ht="13">
      <c r="A15" s="994">
        <v>44253</v>
      </c>
      <c r="B15" s="997"/>
      <c r="C15" s="997" t="s">
        <v>542</v>
      </c>
      <c r="D15" s="997"/>
      <c r="E15" s="1003">
        <v>2500</v>
      </c>
    </row>
    <row r="16" spans="1:5" ht="13">
      <c r="A16" s="994">
        <v>44253</v>
      </c>
      <c r="B16" s="997"/>
      <c r="C16" s="997" t="s">
        <v>543</v>
      </c>
      <c r="D16" s="997"/>
      <c r="E16" s="1003">
        <v>152.56</v>
      </c>
    </row>
    <row r="17" spans="1:5" ht="13">
      <c r="A17" s="994">
        <v>44285</v>
      </c>
      <c r="B17" s="997"/>
      <c r="C17" s="997" t="s">
        <v>544</v>
      </c>
      <c r="D17" s="997"/>
      <c r="E17" s="1003">
        <v>56.47</v>
      </c>
    </row>
    <row r="18" spans="1:5" ht="13">
      <c r="A18" s="994">
        <v>44285</v>
      </c>
      <c r="B18" s="997"/>
      <c r="C18" s="997" t="s">
        <v>547</v>
      </c>
      <c r="D18" s="997"/>
      <c r="E18" s="1003">
        <v>2500</v>
      </c>
    </row>
    <row r="19" spans="1:5" ht="13">
      <c r="A19" s="994">
        <v>44285</v>
      </c>
      <c r="B19" s="997"/>
      <c r="C19" s="997" t="s">
        <v>545</v>
      </c>
      <c r="D19" s="997"/>
      <c r="E19" s="1003">
        <v>56.47</v>
      </c>
    </row>
    <row r="20" spans="1:5" ht="13">
      <c r="A20" s="994">
        <v>44285</v>
      </c>
      <c r="B20" s="997"/>
      <c r="C20" s="997" t="s">
        <v>548</v>
      </c>
      <c r="D20" s="997"/>
      <c r="E20" s="1003">
        <v>2500</v>
      </c>
    </row>
    <row r="21" spans="1:5" ht="13">
      <c r="A21" s="994">
        <v>44285</v>
      </c>
      <c r="B21" s="997"/>
      <c r="C21" s="997" t="s">
        <v>546</v>
      </c>
      <c r="D21" s="997"/>
      <c r="E21" s="1003">
        <v>119.28</v>
      </c>
    </row>
    <row r="22" spans="1:5" ht="13">
      <c r="A22" s="994">
        <v>44314</v>
      </c>
      <c r="B22" s="997"/>
      <c r="C22" s="997" t="s">
        <v>569</v>
      </c>
      <c r="D22" s="997"/>
      <c r="E22" s="1003">
        <v>2500</v>
      </c>
    </row>
    <row r="23" spans="1:5" ht="13">
      <c r="A23" s="994">
        <v>44343</v>
      </c>
      <c r="B23" s="997"/>
      <c r="C23" s="997" t="s">
        <v>575</v>
      </c>
      <c r="D23" s="997"/>
      <c r="E23" s="1003">
        <v>2500</v>
      </c>
    </row>
    <row r="24" spans="1:5" ht="13">
      <c r="A24" s="994">
        <v>44343</v>
      </c>
      <c r="B24" s="997"/>
      <c r="C24" s="997" t="s">
        <v>576</v>
      </c>
      <c r="D24" s="997"/>
      <c r="E24" s="1003">
        <v>1615</v>
      </c>
    </row>
    <row r="25" spans="1:5" ht="13">
      <c r="A25" s="994">
        <v>44343</v>
      </c>
      <c r="B25" s="997"/>
      <c r="C25" s="997" t="s">
        <v>577</v>
      </c>
      <c r="D25" s="997"/>
      <c r="E25" s="1003">
        <v>345</v>
      </c>
    </row>
    <row r="26" spans="1:5" ht="13">
      <c r="A26" s="994">
        <v>44376</v>
      </c>
      <c r="B26" s="997"/>
      <c r="C26" s="997" t="s">
        <v>581</v>
      </c>
      <c r="D26" s="997"/>
      <c r="E26" s="1003">
        <v>2500</v>
      </c>
    </row>
    <row r="27" spans="1:5" ht="13">
      <c r="A27" s="994">
        <v>44376</v>
      </c>
      <c r="B27" s="997"/>
      <c r="C27" s="997" t="s">
        <v>582</v>
      </c>
      <c r="D27" s="997"/>
      <c r="E27" s="1003">
        <v>2420</v>
      </c>
    </row>
    <row r="28" spans="1:5" ht="13">
      <c r="A28" s="994">
        <v>44406</v>
      </c>
      <c r="B28" s="997"/>
      <c r="C28" s="997" t="s">
        <v>589</v>
      </c>
      <c r="D28" s="997"/>
      <c r="E28" s="1003">
        <v>58.8</v>
      </c>
    </row>
    <row r="29" spans="1:5" ht="13">
      <c r="A29" s="994">
        <v>44406</v>
      </c>
      <c r="B29" s="997"/>
      <c r="C29" s="1045" t="s">
        <v>590</v>
      </c>
      <c r="D29" s="997"/>
      <c r="E29" s="1003">
        <v>2500</v>
      </c>
    </row>
    <row r="30" spans="1:5" ht="13">
      <c r="A30" s="994">
        <v>44434</v>
      </c>
      <c r="B30" s="997"/>
      <c r="C30" s="1045" t="s">
        <v>592</v>
      </c>
      <c r="D30" s="997"/>
      <c r="E30" s="1003">
        <v>2500</v>
      </c>
    </row>
    <row r="31" spans="1:5" ht="13">
      <c r="A31" s="994">
        <v>44467</v>
      </c>
      <c r="B31" s="997"/>
      <c r="C31" s="997" t="s">
        <v>596</v>
      </c>
      <c r="D31" s="997"/>
      <c r="E31" s="1003">
        <v>81.2</v>
      </c>
    </row>
    <row r="32" spans="1:5" ht="13">
      <c r="A32" s="994">
        <v>44467</v>
      </c>
      <c r="B32" s="997"/>
      <c r="C32" s="1045" t="s">
        <v>597</v>
      </c>
      <c r="D32" s="997"/>
      <c r="E32" s="1003">
        <v>4500</v>
      </c>
    </row>
    <row r="33" spans="1:5" ht="13">
      <c r="A33" s="994">
        <v>44467</v>
      </c>
      <c r="B33" s="997"/>
      <c r="C33" s="997" t="s">
        <v>598</v>
      </c>
      <c r="D33" s="997"/>
      <c r="E33" s="1003">
        <v>612.5</v>
      </c>
    </row>
    <row r="34" spans="1:5" ht="13">
      <c r="A34" s="994">
        <v>44497</v>
      </c>
      <c r="B34" s="997"/>
      <c r="C34" s="997" t="s">
        <v>605</v>
      </c>
      <c r="D34" s="997"/>
      <c r="E34" s="1003">
        <v>52.41</v>
      </c>
    </row>
    <row r="35" spans="1:5" ht="13">
      <c r="A35" s="994">
        <v>44497</v>
      </c>
      <c r="B35" s="997"/>
      <c r="C35" s="997" t="s">
        <v>604</v>
      </c>
      <c r="D35" s="997"/>
      <c r="E35" s="1003">
        <v>4500</v>
      </c>
    </row>
    <row r="36" spans="1:5" ht="13">
      <c r="A36" s="994">
        <v>44497</v>
      </c>
      <c r="B36" s="997"/>
      <c r="C36" s="997" t="s">
        <v>603</v>
      </c>
      <c r="D36" s="997"/>
      <c r="E36" s="1003">
        <v>260</v>
      </c>
    </row>
    <row r="37" spans="1:5" ht="13">
      <c r="A37" s="994">
        <v>44524</v>
      </c>
      <c r="B37" s="997"/>
      <c r="C37" s="997" t="s">
        <v>609</v>
      </c>
      <c r="D37" s="997"/>
      <c r="E37" s="1003">
        <v>399.8</v>
      </c>
    </row>
    <row r="38" spans="1:5" ht="13">
      <c r="A38" s="994">
        <v>44524</v>
      </c>
      <c r="B38" s="997"/>
      <c r="C38" s="997" t="s">
        <v>610</v>
      </c>
      <c r="D38" s="997"/>
      <c r="E38" s="1003">
        <v>4500</v>
      </c>
    </row>
    <row r="39" spans="1:5" ht="13">
      <c r="A39" s="994">
        <v>44589</v>
      </c>
      <c r="B39" s="997"/>
      <c r="C39" s="997" t="s">
        <v>615</v>
      </c>
      <c r="D39" s="997"/>
      <c r="E39" s="1003">
        <v>4500</v>
      </c>
    </row>
    <row r="40" spans="1:5" ht="13">
      <c r="A40" s="994">
        <v>44589</v>
      </c>
      <c r="B40" s="997"/>
      <c r="C40" s="997" t="s">
        <v>617</v>
      </c>
      <c r="D40" s="997"/>
      <c r="E40" s="1003">
        <v>67.2</v>
      </c>
    </row>
    <row r="41" spans="1:5" ht="13">
      <c r="A41" s="994">
        <v>44589</v>
      </c>
      <c r="B41" s="997"/>
      <c r="C41" s="997" t="s">
        <v>616</v>
      </c>
      <c r="D41" s="997"/>
      <c r="E41" s="1003">
        <v>4500</v>
      </c>
    </row>
    <row r="42" spans="1:5" ht="13">
      <c r="A42" s="994">
        <v>44617</v>
      </c>
      <c r="B42" s="997"/>
      <c r="C42" s="997" t="s">
        <v>622</v>
      </c>
      <c r="D42" s="997"/>
      <c r="E42" s="1003">
        <f>48.16</f>
        <v>48.16</v>
      </c>
    </row>
    <row r="43" spans="1:5" ht="13">
      <c r="A43" s="994">
        <v>44617</v>
      </c>
      <c r="B43" s="997"/>
      <c r="C43" s="997" t="s">
        <v>621</v>
      </c>
      <c r="D43" s="997"/>
      <c r="E43" s="1003">
        <v>4500</v>
      </c>
    </row>
    <row r="44" spans="1:5" ht="13">
      <c r="A44" s="994">
        <v>44679</v>
      </c>
      <c r="B44" s="997"/>
      <c r="C44" s="997" t="s">
        <v>626</v>
      </c>
      <c r="D44" s="997"/>
      <c r="E44" s="1003">
        <v>3632.5</v>
      </c>
    </row>
    <row r="45" spans="1:5" ht="13">
      <c r="A45" s="994">
        <v>45077</v>
      </c>
      <c r="B45" s="997"/>
      <c r="C45" s="997" t="s">
        <v>667</v>
      </c>
      <c r="D45" s="997"/>
      <c r="E45" s="1003">
        <v>6250</v>
      </c>
    </row>
    <row r="46" spans="1:5" ht="13">
      <c r="A46" s="994">
        <v>45107</v>
      </c>
      <c r="B46" s="997"/>
      <c r="C46" s="997" t="s">
        <v>666</v>
      </c>
      <c r="D46" s="997"/>
      <c r="E46" s="1003">
        <v>8750</v>
      </c>
    </row>
    <row r="47" spans="1:5" ht="13">
      <c r="A47" s="994">
        <v>45222</v>
      </c>
      <c r="B47" s="997"/>
      <c r="C47" s="997" t="s">
        <v>714</v>
      </c>
      <c r="D47" s="997"/>
      <c r="E47" s="1003">
        <v>3125</v>
      </c>
    </row>
    <row r="48" spans="1:5" ht="13">
      <c r="A48" s="994">
        <v>45288</v>
      </c>
      <c r="B48" s="997"/>
      <c r="C48" s="997" t="s">
        <v>715</v>
      </c>
      <c r="D48" s="997"/>
      <c r="E48" s="1003">
        <v>3200</v>
      </c>
    </row>
    <row r="49" spans="1:5" ht="13">
      <c r="A49" s="994">
        <v>45288</v>
      </c>
      <c r="B49" s="997"/>
      <c r="C49" s="997" t="s">
        <v>715</v>
      </c>
      <c r="D49" s="997"/>
      <c r="E49" s="1003">
        <v>3675</v>
      </c>
    </row>
    <row r="50" spans="1:5" ht="13">
      <c r="A50" s="994">
        <v>45322</v>
      </c>
      <c r="B50" s="997"/>
      <c r="C50" s="997" t="s">
        <v>715</v>
      </c>
      <c r="D50" s="997"/>
      <c r="E50" s="1003">
        <v>4800</v>
      </c>
    </row>
    <row r="51" spans="1:5" ht="13">
      <c r="A51" s="994">
        <v>45378</v>
      </c>
      <c r="B51" s="997"/>
      <c r="C51" s="997" t="s">
        <v>715</v>
      </c>
      <c r="D51" s="997"/>
      <c r="E51" s="1003">
        <v>3625</v>
      </c>
    </row>
    <row r="52" spans="1:5" ht="13">
      <c r="A52" s="994">
        <v>45378</v>
      </c>
      <c r="B52" s="997"/>
      <c r="C52" s="997" t="s">
        <v>715</v>
      </c>
      <c r="D52" s="997"/>
      <c r="E52" s="1003">
        <v>3000</v>
      </c>
    </row>
    <row r="53" spans="1:5" ht="13">
      <c r="A53" s="994">
        <v>45378</v>
      </c>
      <c r="B53" s="997"/>
      <c r="C53" s="997" t="s">
        <v>715</v>
      </c>
      <c r="D53" s="997"/>
      <c r="E53" s="1003">
        <v>4720</v>
      </c>
    </row>
    <row r="54" spans="1:5" ht="13">
      <c r="A54" s="994">
        <v>45378</v>
      </c>
      <c r="B54" s="997"/>
      <c r="C54" s="997" t="s">
        <v>715</v>
      </c>
      <c r="D54" s="997"/>
      <c r="E54" s="1003">
        <v>3960</v>
      </c>
    </row>
    <row r="55" spans="1:5" ht="13">
      <c r="A55" s="994">
        <v>45378</v>
      </c>
      <c r="B55" s="997"/>
      <c r="C55" s="997" t="s">
        <v>715</v>
      </c>
      <c r="D55" s="997"/>
      <c r="E55" s="1003">
        <v>5300</v>
      </c>
    </row>
    <row r="56" spans="1:5" ht="13">
      <c r="A56" s="994">
        <v>45378</v>
      </c>
      <c r="B56" s="997"/>
      <c r="C56" s="997" t="s">
        <v>715</v>
      </c>
      <c r="D56" s="997"/>
      <c r="E56" s="1003">
        <v>5370</v>
      </c>
    </row>
    <row r="57" spans="1:5" ht="13">
      <c r="A57" s="1074">
        <v>45408</v>
      </c>
      <c r="B57" s="997"/>
      <c r="C57" s="997" t="s">
        <v>715</v>
      </c>
      <c r="D57" s="997"/>
      <c r="E57" s="1003">
        <v>6000</v>
      </c>
    </row>
    <row r="58" spans="1:5" ht="13">
      <c r="A58" s="1074">
        <v>45408</v>
      </c>
      <c r="B58" s="997"/>
      <c r="C58" s="997" t="s">
        <v>715</v>
      </c>
      <c r="D58" s="997"/>
      <c r="E58" s="1003">
        <v>5680</v>
      </c>
    </row>
    <row r="59" spans="1:5" ht="13">
      <c r="A59" s="1074">
        <v>45408</v>
      </c>
      <c r="B59" s="997"/>
      <c r="C59" s="997" t="s">
        <v>715</v>
      </c>
      <c r="D59" s="997"/>
      <c r="E59" s="1003">
        <v>4460</v>
      </c>
    </row>
    <row r="60" spans="1:5" ht="13">
      <c r="A60" s="1074">
        <v>45408</v>
      </c>
      <c r="B60" s="997"/>
      <c r="C60" s="997" t="s">
        <v>715</v>
      </c>
      <c r="D60" s="997"/>
      <c r="E60" s="1003">
        <v>5745</v>
      </c>
    </row>
    <row r="61" spans="1:5" ht="13">
      <c r="A61" s="1074">
        <v>45498</v>
      </c>
      <c r="B61" s="997"/>
      <c r="C61" s="997" t="s">
        <v>715</v>
      </c>
      <c r="D61" s="997"/>
      <c r="E61" s="1003">
        <v>3200</v>
      </c>
    </row>
    <row r="62" spans="1:5" ht="13">
      <c r="A62" s="1074">
        <v>45498</v>
      </c>
      <c r="B62" s="997"/>
      <c r="C62" s="997" t="s">
        <v>715</v>
      </c>
      <c r="D62" s="997"/>
      <c r="E62" s="1003">
        <v>2300</v>
      </c>
    </row>
    <row r="63" spans="1:5" ht="13">
      <c r="A63" s="1074">
        <v>45498</v>
      </c>
      <c r="B63" s="997"/>
      <c r="C63" s="997" t="s">
        <v>715</v>
      </c>
      <c r="D63" s="997"/>
      <c r="E63" s="1003">
        <v>3600</v>
      </c>
    </row>
    <row r="64" spans="1:5" ht="13">
      <c r="A64" s="1074">
        <v>45504</v>
      </c>
      <c r="B64" s="997"/>
      <c r="C64" s="997" t="s">
        <v>771</v>
      </c>
      <c r="D64" s="997"/>
      <c r="E64" s="1003">
        <v>9050</v>
      </c>
    </row>
    <row r="65" spans="1:5" ht="13">
      <c r="A65" s="1074">
        <v>45504</v>
      </c>
      <c r="B65" s="997"/>
      <c r="C65" s="997" t="s">
        <v>715</v>
      </c>
      <c r="D65" s="997"/>
      <c r="E65" s="1003">
        <v>14840</v>
      </c>
    </row>
    <row r="66" spans="1:5" ht="13">
      <c r="A66" s="1074">
        <v>45504</v>
      </c>
      <c r="B66" s="997"/>
      <c r="C66" s="997" t="s">
        <v>772</v>
      </c>
      <c r="D66" s="997"/>
      <c r="E66" s="1003">
        <v>2500</v>
      </c>
    </row>
    <row r="67" spans="1:5" ht="13">
      <c r="A67" s="1074">
        <v>45562</v>
      </c>
      <c r="B67" s="997"/>
      <c r="C67" s="997" t="s">
        <v>715</v>
      </c>
      <c r="D67" s="997"/>
      <c r="E67" s="1003">
        <v>3600</v>
      </c>
    </row>
    <row r="68" spans="1:5" ht="13">
      <c r="A68" s="1074">
        <v>45562</v>
      </c>
      <c r="B68" s="997"/>
      <c r="C68" s="997" t="s">
        <v>715</v>
      </c>
      <c r="D68" s="997"/>
      <c r="E68" s="1076">
        <v>-3600</v>
      </c>
    </row>
    <row r="69" spans="1:5" ht="13">
      <c r="A69" s="1074">
        <v>45562</v>
      </c>
      <c r="B69" s="997"/>
      <c r="C69" s="997" t="s">
        <v>715</v>
      </c>
      <c r="D69" s="997"/>
      <c r="E69" s="1003">
        <v>1140</v>
      </c>
    </row>
    <row r="70" spans="1:5" ht="13">
      <c r="A70" s="1074">
        <v>45562</v>
      </c>
      <c r="B70" s="997"/>
      <c r="C70" s="997" t="s">
        <v>715</v>
      </c>
      <c r="D70" s="997"/>
      <c r="E70" s="1003">
        <v>1800</v>
      </c>
    </row>
    <row r="71" spans="1:5" ht="13">
      <c r="A71" s="1074">
        <v>45562</v>
      </c>
      <c r="B71" s="997"/>
      <c r="C71" s="997" t="s">
        <v>715</v>
      </c>
      <c r="D71" s="997"/>
      <c r="E71" s="1003">
        <v>4560</v>
      </c>
    </row>
    <row r="72" spans="1:5" ht="13">
      <c r="A72" s="1002"/>
      <c r="B72" s="997"/>
      <c r="C72" s="1017"/>
      <c r="D72" s="997"/>
      <c r="E72" s="1003"/>
    </row>
    <row r="73" spans="1:5" ht="13.5" thickBot="1">
      <c r="A73" s="1069"/>
      <c r="B73" s="1009"/>
      <c r="C73" s="1070"/>
      <c r="D73" s="1009"/>
      <c r="E73" s="1067">
        <f>SUM(E14:E71)</f>
        <v>180127.35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09AE-4BE1-47E3-B5A7-9E8C0023EF65}">
  <dimension ref="A1:D73"/>
  <sheetViews>
    <sheetView topLeftCell="A43" workbookViewId="0">
      <selection activeCell="F80" sqref="F80"/>
    </sheetView>
  </sheetViews>
  <sheetFormatPr defaultRowHeight="12.5"/>
  <cols>
    <col min="1" max="1" width="13.7265625" customWidth="1"/>
    <col min="3" max="3" width="101.7265625" customWidth="1"/>
    <col min="4" max="4" width="17.453125" style="1065" customWidth="1"/>
  </cols>
  <sheetData>
    <row r="1" spans="1:4" ht="18">
      <c r="A1" s="1194" t="str">
        <f>+'Review Comments'!B11</f>
        <v>ABI PROPERTIES</v>
      </c>
      <c r="B1" s="1195"/>
      <c r="C1" s="1195"/>
      <c r="D1" s="1196"/>
    </row>
    <row r="2" spans="1:4" ht="18">
      <c r="A2" s="1197" t="s">
        <v>717</v>
      </c>
      <c r="B2" s="1198"/>
      <c r="C2" s="1198"/>
      <c r="D2" s="1199"/>
    </row>
    <row r="3" spans="1:4" ht="18.5" thickBot="1">
      <c r="A3" s="1200" t="str">
        <f>'Review Comments'!B13</f>
        <v>FOR THE MONTH ENDED 08/31/26</v>
      </c>
      <c r="B3" s="1201"/>
      <c r="C3" s="1201"/>
      <c r="D3" s="1202"/>
    </row>
    <row r="4" spans="1:4">
      <c r="A4" s="9"/>
      <c r="B4" s="9"/>
      <c r="C4" s="9"/>
      <c r="D4" s="1061"/>
    </row>
    <row r="5" spans="1:4">
      <c r="A5" s="9"/>
      <c r="B5" s="9"/>
      <c r="C5" s="9"/>
      <c r="D5" s="1061"/>
    </row>
    <row r="6" spans="1:4">
      <c r="A6" s="9"/>
      <c r="B6" s="9"/>
      <c r="C6" s="9"/>
      <c r="D6" s="1061"/>
    </row>
    <row r="7" spans="1:4" ht="13" thickBot="1">
      <c r="A7" s="9"/>
      <c r="B7" s="9"/>
      <c r="C7" s="9"/>
      <c r="D7" s="1061"/>
    </row>
    <row r="8" spans="1:4" ht="13">
      <c r="A8" s="338"/>
      <c r="B8" s="339"/>
      <c r="C8" s="339"/>
      <c r="D8" s="1062"/>
    </row>
    <row r="9" spans="1:4" ht="26.5" thickBot="1">
      <c r="A9" s="315" t="s">
        <v>327</v>
      </c>
      <c r="B9" s="316" t="s">
        <v>347</v>
      </c>
      <c r="C9" s="316" t="s">
        <v>328</v>
      </c>
      <c r="D9" s="1063" t="s">
        <v>329</v>
      </c>
    </row>
    <row r="10" spans="1:4">
      <c r="A10" s="52"/>
      <c r="B10" s="9"/>
      <c r="C10" s="9"/>
      <c r="D10" s="1064"/>
    </row>
    <row r="11" spans="1:4" ht="13">
      <c r="A11" s="1002"/>
      <c r="B11" s="997"/>
      <c r="C11" s="1017"/>
      <c r="D11" s="1003"/>
    </row>
    <row r="12" spans="1:4" ht="13">
      <c r="A12" s="1002"/>
      <c r="B12" s="997"/>
      <c r="C12" s="1017"/>
      <c r="D12" s="1003"/>
    </row>
    <row r="13" spans="1:4" ht="13">
      <c r="A13" s="1002"/>
      <c r="B13" s="997"/>
      <c r="C13" s="1017"/>
      <c r="D13" s="1003"/>
    </row>
    <row r="14" spans="1:4" ht="13">
      <c r="A14" s="1002"/>
      <c r="B14" s="1038">
        <v>17940</v>
      </c>
      <c r="C14" s="1031" t="s">
        <v>549</v>
      </c>
      <c r="D14" s="1003"/>
    </row>
    <row r="15" spans="1:4" ht="13">
      <c r="A15" s="994">
        <v>44159</v>
      </c>
      <c r="B15" s="997"/>
      <c r="C15" s="997" t="s">
        <v>584</v>
      </c>
      <c r="D15" s="1003">
        <v>1800</v>
      </c>
    </row>
    <row r="16" spans="1:4" ht="13">
      <c r="A16" s="994">
        <v>44189</v>
      </c>
      <c r="B16" s="997"/>
      <c r="C16" s="997" t="s">
        <v>584</v>
      </c>
      <c r="D16" s="1003">
        <v>4487.3500000000004</v>
      </c>
    </row>
    <row r="17" spans="1:4" ht="13">
      <c r="A17" s="994">
        <v>44189</v>
      </c>
      <c r="B17" s="997"/>
      <c r="C17" s="997" t="s">
        <v>550</v>
      </c>
      <c r="D17" s="1003">
        <v>2095.5</v>
      </c>
    </row>
    <row r="18" spans="1:4" ht="13">
      <c r="A18" s="994">
        <v>44189</v>
      </c>
      <c r="B18" s="997"/>
      <c r="C18" s="997" t="s">
        <v>559</v>
      </c>
      <c r="D18" s="1003">
        <v>3064</v>
      </c>
    </row>
    <row r="19" spans="1:4" ht="13">
      <c r="A19" s="994">
        <v>44253</v>
      </c>
      <c r="B19" s="997"/>
      <c r="C19" s="997" t="s">
        <v>560</v>
      </c>
      <c r="D19" s="1003">
        <v>6572.5</v>
      </c>
    </row>
    <row r="20" spans="1:4" ht="13">
      <c r="A20" s="994">
        <v>44253</v>
      </c>
      <c r="B20" s="997"/>
      <c r="C20" s="997" t="s">
        <v>551</v>
      </c>
      <c r="D20" s="1003">
        <v>4150</v>
      </c>
    </row>
    <row r="21" spans="1:4" ht="13">
      <c r="A21" s="994">
        <v>44285</v>
      </c>
      <c r="B21" s="997"/>
      <c r="C21" s="997" t="s">
        <v>552</v>
      </c>
      <c r="D21" s="1003">
        <v>3850</v>
      </c>
    </row>
    <row r="22" spans="1:4" ht="13">
      <c r="A22" s="994">
        <v>44285</v>
      </c>
      <c r="B22" s="997"/>
      <c r="C22" s="997" t="s">
        <v>584</v>
      </c>
      <c r="D22" s="1003">
        <v>3845</v>
      </c>
    </row>
    <row r="23" spans="1:4" ht="13">
      <c r="A23" s="994">
        <v>44285</v>
      </c>
      <c r="B23" s="997"/>
      <c r="C23" s="997" t="s">
        <v>557</v>
      </c>
      <c r="D23" s="1003">
        <v>903</v>
      </c>
    </row>
    <row r="24" spans="1:4" ht="13">
      <c r="A24" s="994">
        <v>44285</v>
      </c>
      <c r="B24" s="997"/>
      <c r="C24" s="997" t="s">
        <v>553</v>
      </c>
      <c r="D24" s="1003">
        <v>4998.42</v>
      </c>
    </row>
    <row r="25" spans="1:4" ht="13">
      <c r="A25" s="994">
        <v>44285</v>
      </c>
      <c r="B25" s="997"/>
      <c r="C25" s="997" t="s">
        <v>553</v>
      </c>
      <c r="D25" s="1003">
        <v>4169.5</v>
      </c>
    </row>
    <row r="26" spans="1:4" ht="13">
      <c r="A26" s="994">
        <v>44285</v>
      </c>
      <c r="B26" s="997"/>
      <c r="C26" s="997" t="s">
        <v>553</v>
      </c>
      <c r="D26" s="1003">
        <v>285</v>
      </c>
    </row>
    <row r="27" spans="1:4" ht="13">
      <c r="A27" s="994">
        <v>44285</v>
      </c>
      <c r="B27" s="997"/>
      <c r="C27" s="997" t="s">
        <v>553</v>
      </c>
      <c r="D27" s="1003">
        <v>557</v>
      </c>
    </row>
    <row r="28" spans="1:4" ht="13">
      <c r="A28" s="994">
        <v>44285</v>
      </c>
      <c r="B28" s="997"/>
      <c r="C28" s="997" t="s">
        <v>553</v>
      </c>
      <c r="D28" s="1003">
        <v>324</v>
      </c>
    </row>
    <row r="29" spans="1:4" ht="13">
      <c r="A29" s="994">
        <v>44285</v>
      </c>
      <c r="B29" s="997"/>
      <c r="C29" s="997" t="s">
        <v>558</v>
      </c>
      <c r="D29" s="1003">
        <v>2350</v>
      </c>
    </row>
    <row r="30" spans="1:4" ht="13">
      <c r="A30" s="994">
        <v>44285</v>
      </c>
      <c r="B30" s="997"/>
      <c r="C30" s="997" t="s">
        <v>554</v>
      </c>
      <c r="D30" s="1003">
        <v>1740.2</v>
      </c>
    </row>
    <row r="31" spans="1:4" ht="13">
      <c r="A31" s="994">
        <v>44314</v>
      </c>
      <c r="B31" s="997"/>
      <c r="C31" s="997" t="s">
        <v>584</v>
      </c>
      <c r="D31" s="1003">
        <v>4910</v>
      </c>
    </row>
    <row r="32" spans="1:4" ht="13">
      <c r="A32" s="994">
        <v>44314</v>
      </c>
      <c r="B32" s="997"/>
      <c r="C32" s="997" t="s">
        <v>570</v>
      </c>
      <c r="D32" s="1003">
        <v>2215.5</v>
      </c>
    </row>
    <row r="33" spans="1:4" ht="13">
      <c r="A33" s="994">
        <v>44314</v>
      </c>
      <c r="B33" s="997"/>
      <c r="C33" s="997" t="s">
        <v>571</v>
      </c>
      <c r="D33" s="1003">
        <v>59950</v>
      </c>
    </row>
    <row r="34" spans="1:4" ht="13">
      <c r="A34" s="994">
        <v>44376</v>
      </c>
      <c r="B34" s="997"/>
      <c r="C34" s="997" t="s">
        <v>584</v>
      </c>
      <c r="D34" s="1003">
        <v>4126.6400000000003</v>
      </c>
    </row>
    <row r="35" spans="1:4" ht="13">
      <c r="A35" s="994">
        <v>44376</v>
      </c>
      <c r="B35" s="997"/>
      <c r="C35" s="997" t="s">
        <v>584</v>
      </c>
      <c r="D35" s="1003">
        <v>3168.52</v>
      </c>
    </row>
    <row r="36" spans="1:4" ht="13">
      <c r="A36" s="994">
        <v>44376</v>
      </c>
      <c r="B36" s="997"/>
      <c r="C36" s="997" t="s">
        <v>584</v>
      </c>
      <c r="D36" s="1003">
        <v>8460</v>
      </c>
    </row>
    <row r="37" spans="1:4" ht="13">
      <c r="A37" s="994">
        <v>44376</v>
      </c>
      <c r="B37" s="997"/>
      <c r="C37" s="997" t="s">
        <v>583</v>
      </c>
      <c r="D37" s="1003">
        <v>17911.75</v>
      </c>
    </row>
    <row r="38" spans="1:4" ht="13">
      <c r="A38" s="994">
        <v>44434</v>
      </c>
      <c r="B38" s="997"/>
      <c r="C38" s="997" t="s">
        <v>593</v>
      </c>
      <c r="D38" s="1003">
        <v>2262</v>
      </c>
    </row>
    <row r="39" spans="1:4" ht="13">
      <c r="A39" s="994">
        <v>44484</v>
      </c>
      <c r="B39" s="997"/>
      <c r="C39" s="997" t="s">
        <v>606</v>
      </c>
      <c r="D39" s="1003">
        <v>24375</v>
      </c>
    </row>
    <row r="40" spans="1:4" ht="13">
      <c r="A40" s="994">
        <v>44524</v>
      </c>
      <c r="B40" s="997"/>
      <c r="C40" s="997" t="s">
        <v>551</v>
      </c>
      <c r="D40" s="1003">
        <v>11974.63</v>
      </c>
    </row>
    <row r="41" spans="1:4" ht="13">
      <c r="A41" s="994">
        <v>44557</v>
      </c>
      <c r="B41" s="997"/>
      <c r="C41" s="997" t="s">
        <v>613</v>
      </c>
      <c r="D41" s="1003">
        <f>1750+1300</f>
        <v>3050</v>
      </c>
    </row>
    <row r="42" spans="1:4" ht="13">
      <c r="A42" s="994">
        <v>44557</v>
      </c>
      <c r="B42" s="997"/>
      <c r="C42" s="997" t="s">
        <v>551</v>
      </c>
      <c r="D42" s="1003">
        <f>8846.79+11768.48+13266.09+8709.2+9031.34</f>
        <v>51621.899999999994</v>
      </c>
    </row>
    <row r="43" spans="1:4" ht="13">
      <c r="A43" s="994">
        <v>44589</v>
      </c>
      <c r="B43" s="997"/>
      <c r="C43" s="997" t="s">
        <v>618</v>
      </c>
      <c r="D43" s="1003">
        <v>3775</v>
      </c>
    </row>
    <row r="44" spans="1:4" ht="13">
      <c r="A44" s="994">
        <v>44617</v>
      </c>
      <c r="B44" s="997"/>
      <c r="C44" s="997" t="s">
        <v>584</v>
      </c>
      <c r="D44" s="1003">
        <v>7035</v>
      </c>
    </row>
    <row r="45" spans="1:4" ht="13">
      <c r="A45" s="994">
        <v>44741</v>
      </c>
      <c r="B45" s="997"/>
      <c r="C45" s="997" t="s">
        <v>630</v>
      </c>
      <c r="D45" s="1003">
        <f>200+375</f>
        <v>575</v>
      </c>
    </row>
    <row r="46" spans="1:4" ht="13">
      <c r="A46" s="994">
        <v>44741</v>
      </c>
      <c r="B46" s="997"/>
      <c r="C46" s="997" t="s">
        <v>632</v>
      </c>
      <c r="D46" s="1003">
        <v>9107.9500000000007</v>
      </c>
    </row>
    <row r="47" spans="1:4" ht="13">
      <c r="A47" s="994">
        <v>44741</v>
      </c>
      <c r="B47" s="997"/>
      <c r="C47" s="997" t="s">
        <v>632</v>
      </c>
      <c r="D47" s="1003">
        <v>480</v>
      </c>
    </row>
    <row r="48" spans="1:4" ht="13">
      <c r="A48" s="994">
        <v>44770</v>
      </c>
      <c r="B48" s="997"/>
      <c r="C48" s="997" t="s">
        <v>632</v>
      </c>
      <c r="D48" s="1003">
        <v>900</v>
      </c>
    </row>
    <row r="49" spans="1:4" ht="13">
      <c r="A49" s="994">
        <v>44892</v>
      </c>
      <c r="B49" s="997"/>
      <c r="C49" s="997" t="s">
        <v>640</v>
      </c>
      <c r="D49" s="1003">
        <v>1470</v>
      </c>
    </row>
    <row r="50" spans="1:4" ht="13">
      <c r="A50" s="994">
        <v>44920</v>
      </c>
      <c r="B50" s="997"/>
      <c r="C50" s="997" t="s">
        <v>640</v>
      </c>
      <c r="D50" s="1003">
        <v>2140</v>
      </c>
    </row>
    <row r="51" spans="1:4" ht="13">
      <c r="A51" s="994">
        <v>44920</v>
      </c>
      <c r="B51" s="997"/>
      <c r="C51" s="997" t="s">
        <v>642</v>
      </c>
      <c r="D51" s="1003">
        <v>1050</v>
      </c>
    </row>
    <row r="52" spans="1:4" ht="13">
      <c r="A52" s="994">
        <v>44951</v>
      </c>
      <c r="B52" s="997"/>
      <c r="C52" s="997" t="s">
        <v>642</v>
      </c>
      <c r="D52" s="1003">
        <f>1860+960</f>
        <v>2820</v>
      </c>
    </row>
    <row r="53" spans="1:4" ht="13">
      <c r="A53" s="994">
        <v>44985</v>
      </c>
      <c r="B53" s="997"/>
      <c r="C53" s="997" t="s">
        <v>642</v>
      </c>
      <c r="D53" s="1003">
        <v>2280</v>
      </c>
    </row>
    <row r="54" spans="1:4" ht="13">
      <c r="A54" s="994">
        <v>45044</v>
      </c>
      <c r="B54" s="997"/>
      <c r="C54" s="997" t="s">
        <v>642</v>
      </c>
      <c r="D54" s="1003">
        <v>1140</v>
      </c>
    </row>
    <row r="55" spans="1:4" ht="13">
      <c r="A55" s="994">
        <v>45044</v>
      </c>
      <c r="B55" s="997"/>
      <c r="C55" s="997" t="s">
        <v>661</v>
      </c>
      <c r="D55" s="1003">
        <v>4169.5</v>
      </c>
    </row>
    <row r="56" spans="1:4" ht="13">
      <c r="A56" s="994">
        <v>45044</v>
      </c>
      <c r="B56" s="997"/>
      <c r="C56" s="997" t="s">
        <v>660</v>
      </c>
      <c r="D56" s="1003">
        <v>988</v>
      </c>
    </row>
    <row r="57" spans="1:4" ht="13">
      <c r="A57" s="994">
        <v>45044</v>
      </c>
      <c r="B57" s="1001"/>
      <c r="C57" s="997" t="s">
        <v>662</v>
      </c>
      <c r="D57" s="1003">
        <v>1082</v>
      </c>
    </row>
    <row r="58" spans="1:4" ht="13">
      <c r="A58" s="994">
        <v>45168</v>
      </c>
      <c r="B58" s="1001"/>
      <c r="C58" s="997" t="s">
        <v>718</v>
      </c>
      <c r="D58" s="1003">
        <v>11934.24</v>
      </c>
    </row>
    <row r="59" spans="1:4" ht="13">
      <c r="A59" s="994">
        <v>45229</v>
      </c>
      <c r="B59" s="1001"/>
      <c r="C59" s="997" t="s">
        <v>718</v>
      </c>
      <c r="D59" s="1003">
        <v>31579.98</v>
      </c>
    </row>
    <row r="60" spans="1:4" ht="13">
      <c r="A60" s="994">
        <v>45229</v>
      </c>
      <c r="B60" s="1001"/>
      <c r="C60" s="997" t="s">
        <v>718</v>
      </c>
      <c r="D60" s="1003">
        <v>11263.12</v>
      </c>
    </row>
    <row r="61" spans="1:4" ht="13">
      <c r="A61" s="994">
        <v>45229</v>
      </c>
      <c r="B61" s="1001"/>
      <c r="C61" s="997" t="s">
        <v>718</v>
      </c>
      <c r="D61" s="1003">
        <v>11367.98</v>
      </c>
    </row>
    <row r="62" spans="1:4" ht="13">
      <c r="A62" s="994">
        <v>45288</v>
      </c>
      <c r="B62" s="1001"/>
      <c r="C62" s="997" t="s">
        <v>718</v>
      </c>
      <c r="D62" s="1003">
        <v>4670</v>
      </c>
    </row>
    <row r="63" spans="1:4" ht="13">
      <c r="A63" s="994">
        <v>45322</v>
      </c>
      <c r="B63" s="1001"/>
      <c r="C63" s="997" t="s">
        <v>718</v>
      </c>
      <c r="D63" s="1003">
        <v>11840</v>
      </c>
    </row>
    <row r="64" spans="1:4" ht="13">
      <c r="A64" s="994">
        <v>45378</v>
      </c>
      <c r="B64" s="1001"/>
      <c r="C64" s="997" t="s">
        <v>719</v>
      </c>
      <c r="D64" s="1003">
        <v>1420</v>
      </c>
    </row>
    <row r="65" spans="1:4" ht="13">
      <c r="A65" s="994">
        <v>45378</v>
      </c>
      <c r="B65" s="1001"/>
      <c r="C65" s="997" t="s">
        <v>718</v>
      </c>
      <c r="D65" s="1003">
        <v>14200.21</v>
      </c>
    </row>
    <row r="66" spans="1:4" ht="13">
      <c r="A66" s="994">
        <v>45378</v>
      </c>
      <c r="B66" s="1001"/>
      <c r="C66" s="997" t="s">
        <v>720</v>
      </c>
      <c r="D66" s="1003">
        <v>1000</v>
      </c>
    </row>
    <row r="67" spans="1:4" ht="13">
      <c r="A67" s="1074">
        <v>45408</v>
      </c>
      <c r="B67" s="1001"/>
      <c r="C67" s="997" t="s">
        <v>773</v>
      </c>
      <c r="D67" s="1003">
        <v>2025</v>
      </c>
    </row>
    <row r="68" spans="1:4" ht="13">
      <c r="A68" s="1074">
        <v>45408</v>
      </c>
      <c r="B68" s="1001"/>
      <c r="C68" s="997" t="s">
        <v>719</v>
      </c>
      <c r="D68" s="1003">
        <v>1420</v>
      </c>
    </row>
    <row r="69" spans="1:4" ht="13">
      <c r="A69" s="1074">
        <v>45442</v>
      </c>
      <c r="B69" s="1001"/>
      <c r="C69" s="997" t="s">
        <v>719</v>
      </c>
      <c r="D69" s="1003">
        <v>1420</v>
      </c>
    </row>
    <row r="70" spans="1:4" ht="13">
      <c r="A70" s="1074">
        <v>45504</v>
      </c>
      <c r="B70" s="1001"/>
      <c r="C70" s="997" t="s">
        <v>774</v>
      </c>
      <c r="D70" s="1003">
        <v>3800</v>
      </c>
    </row>
    <row r="71" spans="1:4" ht="13">
      <c r="A71" s="1074">
        <v>45504</v>
      </c>
      <c r="B71" s="1001"/>
      <c r="C71" s="997" t="s">
        <v>774</v>
      </c>
      <c r="D71" s="1003">
        <v>760</v>
      </c>
    </row>
    <row r="72" spans="1:4" ht="13">
      <c r="A72" s="994"/>
      <c r="B72" s="997"/>
      <c r="C72" s="997"/>
      <c r="D72" s="1053"/>
    </row>
    <row r="73" spans="1:4" ht="13.5" thickBot="1">
      <c r="A73" s="1068"/>
      <c r="B73" s="1009"/>
      <c r="C73" s="1009"/>
      <c r="D73" s="1067">
        <f>SUM(D15:D72)</f>
        <v>386930.38999999996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1E3E-69EF-4233-9153-54C29C7D0602}">
  <dimension ref="A1:D17"/>
  <sheetViews>
    <sheetView workbookViewId="0">
      <selection activeCell="F80" sqref="F80"/>
    </sheetView>
  </sheetViews>
  <sheetFormatPr defaultRowHeight="12.5"/>
  <cols>
    <col min="3" max="3" width="64.453125" customWidth="1"/>
    <col min="4" max="4" width="23.54296875" customWidth="1"/>
  </cols>
  <sheetData>
    <row r="1" spans="1:4" ht="18">
      <c r="A1" s="1194" t="str">
        <f>+'Review Comments'!B11</f>
        <v>ABI PROPERTIES</v>
      </c>
      <c r="B1" s="1195"/>
      <c r="C1" s="1195"/>
      <c r="D1" s="1196"/>
    </row>
    <row r="2" spans="1:4" ht="18">
      <c r="A2" s="1197" t="s">
        <v>721</v>
      </c>
      <c r="B2" s="1198"/>
      <c r="C2" s="1198"/>
      <c r="D2" s="1199"/>
    </row>
    <row r="3" spans="1:4" ht="18.5" thickBot="1">
      <c r="A3" s="1200" t="str">
        <f>'Review Comments'!B13</f>
        <v>FOR THE MONTH ENDED 08/31/26</v>
      </c>
      <c r="B3" s="1201"/>
      <c r="C3" s="1201"/>
      <c r="D3" s="1202"/>
    </row>
    <row r="4" spans="1:4">
      <c r="A4" s="9"/>
      <c r="B4" s="9"/>
      <c r="C4" s="9"/>
      <c r="D4" s="9"/>
    </row>
    <row r="5" spans="1:4">
      <c r="A5" s="9"/>
      <c r="B5" s="9"/>
      <c r="C5" s="9"/>
      <c r="D5" s="9"/>
    </row>
    <row r="6" spans="1:4">
      <c r="A6" s="9"/>
      <c r="B6" s="9"/>
      <c r="C6" s="9"/>
      <c r="D6" s="9"/>
    </row>
    <row r="7" spans="1:4" ht="13" thickBot="1">
      <c r="A7" s="9"/>
      <c r="B7" s="9"/>
      <c r="C7" s="9"/>
      <c r="D7" s="9"/>
    </row>
    <row r="8" spans="1:4" ht="13">
      <c r="A8" s="338"/>
      <c r="B8" s="339"/>
      <c r="C8" s="339"/>
      <c r="D8" s="341"/>
    </row>
    <row r="9" spans="1:4" ht="26.5" thickBot="1">
      <c r="A9" s="315" t="s">
        <v>327</v>
      </c>
      <c r="B9" s="316" t="s">
        <v>347</v>
      </c>
      <c r="C9" s="316" t="s">
        <v>328</v>
      </c>
      <c r="D9" s="357" t="s">
        <v>329</v>
      </c>
    </row>
    <row r="10" spans="1:4">
      <c r="A10" s="52"/>
      <c r="B10" s="9"/>
      <c r="C10" s="9"/>
      <c r="D10" s="87"/>
    </row>
    <row r="11" spans="1:4" ht="13">
      <c r="A11" s="1002"/>
      <c r="B11" s="997"/>
      <c r="C11" s="1017"/>
      <c r="D11" s="999"/>
    </row>
    <row r="12" spans="1:4" ht="13">
      <c r="A12" s="994"/>
      <c r="B12" s="997"/>
      <c r="C12" s="997"/>
      <c r="D12" s="999"/>
    </row>
    <row r="13" spans="1:4" ht="13">
      <c r="A13" s="994"/>
      <c r="B13" s="1038">
        <v>17950</v>
      </c>
      <c r="C13" s="1031" t="s">
        <v>555</v>
      </c>
      <c r="D13" s="999"/>
    </row>
    <row r="14" spans="1:4" ht="13">
      <c r="A14" s="994">
        <v>44225</v>
      </c>
      <c r="B14" s="997"/>
      <c r="C14" s="997" t="s">
        <v>561</v>
      </c>
      <c r="D14" s="1003">
        <v>4200</v>
      </c>
    </row>
    <row r="15" spans="1:4" ht="13">
      <c r="A15" s="994">
        <v>44253</v>
      </c>
      <c r="B15" s="997"/>
      <c r="C15" s="997" t="s">
        <v>561</v>
      </c>
      <c r="D15" s="1003">
        <v>2800</v>
      </c>
    </row>
    <row r="17" spans="4:4" ht="13.5" thickBot="1">
      <c r="D17" s="1067">
        <f>SUM(D14:D16)</f>
        <v>7000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39FF-DB82-48C3-9FD3-63D7D9CBC877}">
  <dimension ref="A1:D17"/>
  <sheetViews>
    <sheetView workbookViewId="0">
      <selection activeCell="F80" sqref="F80"/>
    </sheetView>
  </sheetViews>
  <sheetFormatPr defaultRowHeight="12.5"/>
  <cols>
    <col min="1" max="1" width="10.7265625" bestFit="1" customWidth="1"/>
    <col min="3" max="3" width="64.453125" customWidth="1"/>
    <col min="4" max="4" width="23.54296875" customWidth="1"/>
  </cols>
  <sheetData>
    <row r="1" spans="1:4" ht="18">
      <c r="A1" s="1194" t="str">
        <f>+'Review Comments'!B11</f>
        <v>ABI PROPERTIES</v>
      </c>
      <c r="B1" s="1195"/>
      <c r="C1" s="1195"/>
      <c r="D1" s="1196"/>
    </row>
    <row r="2" spans="1:4" ht="18">
      <c r="A2" s="1197" t="s">
        <v>722</v>
      </c>
      <c r="B2" s="1198"/>
      <c r="C2" s="1198"/>
      <c r="D2" s="1199"/>
    </row>
    <row r="3" spans="1:4" ht="18.5" thickBot="1">
      <c r="A3" s="1200" t="str">
        <f>'Review Comments'!B13</f>
        <v>FOR THE MONTH ENDED 08/31/26</v>
      </c>
      <c r="B3" s="1201"/>
      <c r="C3" s="1201"/>
      <c r="D3" s="1202"/>
    </row>
    <row r="4" spans="1:4">
      <c r="A4" s="9"/>
      <c r="B4" s="9"/>
      <c r="C4" s="9"/>
      <c r="D4" s="9"/>
    </row>
    <row r="5" spans="1:4">
      <c r="A5" s="9"/>
      <c r="B5" s="9"/>
      <c r="C5" s="9"/>
      <c r="D5" s="9"/>
    </row>
    <row r="6" spans="1:4">
      <c r="A6" s="9"/>
      <c r="B6" s="9"/>
      <c r="C6" s="9"/>
      <c r="D6" s="9"/>
    </row>
    <row r="7" spans="1:4" ht="13" thickBot="1">
      <c r="A7" s="9"/>
      <c r="B7" s="9"/>
      <c r="C7" s="9"/>
      <c r="D7" s="9"/>
    </row>
    <row r="8" spans="1:4" ht="13">
      <c r="A8" s="338"/>
      <c r="B8" s="339"/>
      <c r="C8" s="339"/>
      <c r="D8" s="341"/>
    </row>
    <row r="9" spans="1:4" ht="26.5" thickBot="1">
      <c r="A9" s="315" t="s">
        <v>327</v>
      </c>
      <c r="B9" s="316" t="s">
        <v>347</v>
      </c>
      <c r="C9" s="316" t="s">
        <v>328</v>
      </c>
      <c r="D9" s="357" t="s">
        <v>329</v>
      </c>
    </row>
    <row r="10" spans="1:4">
      <c r="A10" s="52"/>
      <c r="B10" s="9"/>
      <c r="C10" s="9"/>
      <c r="D10" s="87"/>
    </row>
    <row r="11" spans="1:4" ht="13">
      <c r="A11" s="1002"/>
      <c r="B11" s="997"/>
      <c r="C11" s="1017"/>
      <c r="D11" s="999"/>
    </row>
    <row r="12" spans="1:4" ht="13">
      <c r="A12" s="994"/>
      <c r="B12" s="997"/>
      <c r="C12" s="997"/>
      <c r="D12" s="999"/>
    </row>
    <row r="13" spans="1:4" ht="13">
      <c r="A13" s="994"/>
      <c r="B13" s="1038">
        <v>17960</v>
      </c>
      <c r="C13" s="1031" t="s">
        <v>723</v>
      </c>
      <c r="D13" s="999"/>
    </row>
    <row r="14" spans="1:4" ht="13">
      <c r="A14" s="994">
        <v>45288</v>
      </c>
      <c r="B14" s="997"/>
      <c r="C14" s="997" t="s">
        <v>724</v>
      </c>
      <c r="D14" s="1003">
        <v>122.69</v>
      </c>
    </row>
    <row r="15" spans="1:4" ht="13">
      <c r="A15" s="994">
        <v>45622</v>
      </c>
      <c r="B15" s="997"/>
      <c r="C15" s="997" t="s">
        <v>724</v>
      </c>
      <c r="D15" s="1003">
        <v>116.07</v>
      </c>
    </row>
    <row r="17" spans="4:4" ht="13.5" thickBot="1">
      <c r="D17" s="1067">
        <f>SUM(D14:D16)</f>
        <v>238.76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C78D-4DAE-4736-A3A0-935D744820AF}">
  <dimension ref="A1:D48"/>
  <sheetViews>
    <sheetView topLeftCell="A13" workbookViewId="0">
      <selection activeCell="F80" sqref="F80"/>
    </sheetView>
  </sheetViews>
  <sheetFormatPr defaultRowHeight="12.5"/>
  <cols>
    <col min="1" max="1" width="12.1796875" customWidth="1"/>
    <col min="3" max="3" width="76.54296875" customWidth="1"/>
    <col min="4" max="4" width="23.54296875" style="1065" customWidth="1"/>
  </cols>
  <sheetData>
    <row r="1" spans="1:4" ht="18">
      <c r="A1" s="1194" t="str">
        <f>+'Review Comments'!B11</f>
        <v>ABI PROPERTIES</v>
      </c>
      <c r="B1" s="1195"/>
      <c r="C1" s="1195"/>
      <c r="D1" s="1196"/>
    </row>
    <row r="2" spans="1:4" ht="18">
      <c r="A2" s="1197" t="s">
        <v>564</v>
      </c>
      <c r="B2" s="1198"/>
      <c r="C2" s="1198"/>
      <c r="D2" s="1199"/>
    </row>
    <row r="3" spans="1:4" ht="18.5" thickBot="1">
      <c r="A3" s="1200" t="str">
        <f>'Review Comments'!B13</f>
        <v>FOR THE MONTH ENDED 08/31/26</v>
      </c>
      <c r="B3" s="1201"/>
      <c r="C3" s="1201"/>
      <c r="D3" s="1202"/>
    </row>
    <row r="4" spans="1:4">
      <c r="A4" s="9"/>
      <c r="B4" s="9"/>
      <c r="C4" s="9"/>
      <c r="D4" s="1061"/>
    </row>
    <row r="5" spans="1:4">
      <c r="A5" s="9"/>
      <c r="B5" s="9"/>
      <c r="C5" s="9"/>
      <c r="D5" s="1061"/>
    </row>
    <row r="6" spans="1:4">
      <c r="A6" s="9"/>
      <c r="B6" s="9"/>
      <c r="C6" s="9"/>
      <c r="D6" s="1061"/>
    </row>
    <row r="7" spans="1:4" ht="13" thickBot="1">
      <c r="A7" s="9"/>
      <c r="B7" s="9"/>
      <c r="C7" s="9"/>
      <c r="D7" s="1061"/>
    </row>
    <row r="8" spans="1:4" ht="13">
      <c r="A8" s="338"/>
      <c r="B8" s="339"/>
      <c r="C8" s="339"/>
      <c r="D8" s="1062"/>
    </row>
    <row r="9" spans="1:4" ht="26.5" thickBot="1">
      <c r="A9" s="315" t="s">
        <v>327</v>
      </c>
      <c r="B9" s="316" t="s">
        <v>347</v>
      </c>
      <c r="C9" s="316" t="s">
        <v>328</v>
      </c>
      <c r="D9" s="1063" t="s">
        <v>329</v>
      </c>
    </row>
    <row r="10" spans="1:4">
      <c r="A10" s="52"/>
      <c r="B10" s="9"/>
      <c r="C10" s="9"/>
      <c r="D10" s="1064"/>
    </row>
    <row r="11" spans="1:4" ht="13">
      <c r="A11" s="1002"/>
      <c r="B11" s="997"/>
      <c r="C11" s="1017"/>
      <c r="D11" s="1003"/>
    </row>
    <row r="12" spans="1:4" ht="13">
      <c r="A12" s="994"/>
      <c r="B12" s="997"/>
      <c r="C12" s="997"/>
      <c r="D12" s="1003"/>
    </row>
    <row r="13" spans="1:4" ht="13">
      <c r="A13" s="994"/>
      <c r="B13" s="1038">
        <v>17970</v>
      </c>
      <c r="C13" s="1031" t="s">
        <v>562</v>
      </c>
      <c r="D13" s="1003"/>
    </row>
    <row r="14" spans="1:4" ht="13">
      <c r="A14" s="994">
        <v>44189</v>
      </c>
      <c r="B14" s="997"/>
      <c r="C14" s="997" t="s">
        <v>556</v>
      </c>
      <c r="D14" s="1003">
        <v>10830.28</v>
      </c>
    </row>
    <row r="15" spans="1:4" ht="13">
      <c r="A15" s="994">
        <v>44225</v>
      </c>
      <c r="B15" s="997"/>
      <c r="C15" s="997" t="s">
        <v>563</v>
      </c>
      <c r="D15" s="1003">
        <v>9758.19</v>
      </c>
    </row>
    <row r="16" spans="1:4" ht="13">
      <c r="A16" s="994">
        <v>44253</v>
      </c>
      <c r="B16" s="997"/>
      <c r="C16" s="997" t="s">
        <v>556</v>
      </c>
      <c r="D16" s="1003">
        <v>12217.83</v>
      </c>
    </row>
    <row r="17" spans="1:4" ht="13">
      <c r="A17" s="994">
        <v>44255</v>
      </c>
      <c r="B17" s="997"/>
      <c r="C17" s="997" t="s">
        <v>585</v>
      </c>
      <c r="D17" s="1003">
        <v>9211.42</v>
      </c>
    </row>
    <row r="18" spans="1:4" ht="13">
      <c r="A18" s="994">
        <v>44285</v>
      </c>
      <c r="B18" s="997"/>
      <c r="C18" s="997" t="s">
        <v>556</v>
      </c>
      <c r="D18" s="1003">
        <v>248.5</v>
      </c>
    </row>
    <row r="19" spans="1:4" ht="13">
      <c r="A19" s="994">
        <v>44285</v>
      </c>
      <c r="B19" s="997"/>
      <c r="C19" s="997" t="s">
        <v>556</v>
      </c>
      <c r="D19" s="1003">
        <v>9299.5</v>
      </c>
    </row>
    <row r="20" spans="1:4" ht="13">
      <c r="A20" s="994">
        <v>44343</v>
      </c>
      <c r="B20" s="997"/>
      <c r="C20" s="997" t="s">
        <v>556</v>
      </c>
      <c r="D20" s="1003">
        <v>8343.52</v>
      </c>
    </row>
    <row r="21" spans="1:4" ht="13">
      <c r="A21" s="994">
        <v>44343</v>
      </c>
      <c r="B21" s="997"/>
      <c r="C21" s="997" t="s">
        <v>563</v>
      </c>
      <c r="D21" s="1003">
        <v>3000</v>
      </c>
    </row>
    <row r="22" spans="1:4" ht="13">
      <c r="A22" s="994">
        <v>44347</v>
      </c>
      <c r="B22" s="997"/>
      <c r="C22" s="997" t="s">
        <v>556</v>
      </c>
      <c r="D22" s="1003">
        <v>10308.23</v>
      </c>
    </row>
    <row r="23" spans="1:4" ht="13">
      <c r="A23" s="994">
        <v>44376</v>
      </c>
      <c r="B23" s="997"/>
      <c r="C23" s="997" t="s">
        <v>556</v>
      </c>
      <c r="D23" s="1003">
        <v>6723.75</v>
      </c>
    </row>
    <row r="24" spans="1:4" ht="13">
      <c r="A24" s="994">
        <v>44399</v>
      </c>
      <c r="B24" s="997"/>
      <c r="C24" s="997" t="s">
        <v>556</v>
      </c>
      <c r="D24" s="1003">
        <v>2145</v>
      </c>
    </row>
    <row r="25" spans="1:4" ht="13">
      <c r="A25" s="994">
        <v>44434</v>
      </c>
      <c r="B25" s="997"/>
      <c r="C25" s="997" t="s">
        <v>556</v>
      </c>
      <c r="D25" s="1003">
        <v>1527.36</v>
      </c>
    </row>
    <row r="26" spans="1:4" ht="13">
      <c r="A26" s="994">
        <v>44439</v>
      </c>
      <c r="B26" s="997"/>
      <c r="C26" s="997" t="s">
        <v>556</v>
      </c>
      <c r="D26" s="1003">
        <v>5759.5</v>
      </c>
    </row>
    <row r="27" spans="1:4" ht="13">
      <c r="A27" s="994">
        <v>44467</v>
      </c>
      <c r="B27" s="997"/>
      <c r="C27" s="997" t="s">
        <v>556</v>
      </c>
      <c r="D27" s="1003">
        <v>1008.76</v>
      </c>
    </row>
    <row r="28" spans="1:4" ht="13">
      <c r="A28" s="994">
        <v>44484</v>
      </c>
      <c r="B28" s="997"/>
      <c r="C28" s="997" t="s">
        <v>556</v>
      </c>
      <c r="D28" s="1003">
        <v>137.5</v>
      </c>
    </row>
    <row r="29" spans="1:4" ht="13">
      <c r="A29" s="994">
        <v>44524</v>
      </c>
      <c r="B29" s="997"/>
      <c r="C29" s="997" t="s">
        <v>556</v>
      </c>
      <c r="D29" s="1003">
        <v>68.75</v>
      </c>
    </row>
    <row r="30" spans="1:4" ht="13">
      <c r="A30" s="994">
        <v>44617</v>
      </c>
      <c r="B30" s="997"/>
      <c r="C30" s="997" t="s">
        <v>556</v>
      </c>
      <c r="D30" s="1003">
        <v>1750</v>
      </c>
    </row>
    <row r="31" spans="1:4" ht="13">
      <c r="A31" s="994">
        <v>44802</v>
      </c>
      <c r="B31" s="997"/>
      <c r="C31" s="997" t="s">
        <v>556</v>
      </c>
      <c r="D31" s="1003">
        <v>3416</v>
      </c>
    </row>
    <row r="32" spans="1:4" ht="13">
      <c r="A32" s="994">
        <v>44892</v>
      </c>
      <c r="B32" s="997"/>
      <c r="C32" s="997" t="s">
        <v>556</v>
      </c>
      <c r="D32" s="1003">
        <v>68.75</v>
      </c>
    </row>
    <row r="33" spans="1:4" ht="13">
      <c r="A33" s="994">
        <v>44951</v>
      </c>
      <c r="B33" s="997"/>
      <c r="C33" s="997" t="s">
        <v>556</v>
      </c>
      <c r="D33" s="1003">
        <v>1674.5</v>
      </c>
    </row>
    <row r="34" spans="1:4" ht="13">
      <c r="A34" s="994">
        <v>45014</v>
      </c>
      <c r="B34" s="1001"/>
      <c r="C34" s="997" t="s">
        <v>657</v>
      </c>
      <c r="D34" s="1003">
        <v>27856.51</v>
      </c>
    </row>
    <row r="35" spans="1:4" ht="13">
      <c r="A35" s="994">
        <v>45044</v>
      </c>
      <c r="B35" s="1001"/>
      <c r="C35" s="997" t="s">
        <v>556</v>
      </c>
      <c r="D35" s="1003">
        <v>7915.63</v>
      </c>
    </row>
    <row r="36" spans="1:4" ht="13">
      <c r="A36" s="994">
        <v>45044</v>
      </c>
      <c r="B36" s="1001"/>
      <c r="C36" s="997" t="s">
        <v>556</v>
      </c>
      <c r="D36" s="1003">
        <v>15495.52</v>
      </c>
    </row>
    <row r="37" spans="1:4" ht="13">
      <c r="A37" s="994">
        <v>45044</v>
      </c>
      <c r="B37" s="1001"/>
      <c r="C37" s="997" t="s">
        <v>556</v>
      </c>
      <c r="D37" s="1003">
        <v>11190.94</v>
      </c>
    </row>
    <row r="38" spans="1:4" ht="13">
      <c r="A38" s="994">
        <v>45107</v>
      </c>
      <c r="B38" s="1001"/>
      <c r="C38" s="997" t="s">
        <v>668</v>
      </c>
      <c r="D38" s="1003">
        <v>15189.24</v>
      </c>
    </row>
    <row r="39" spans="1:4" ht="13">
      <c r="A39" s="994">
        <v>45168</v>
      </c>
      <c r="B39" s="1001"/>
      <c r="C39" s="997" t="s">
        <v>668</v>
      </c>
      <c r="D39" s="1003">
        <v>1827.5</v>
      </c>
    </row>
    <row r="40" spans="1:4" ht="13">
      <c r="A40" s="994">
        <v>45229</v>
      </c>
      <c r="B40" s="1001"/>
      <c r="C40" s="997" t="s">
        <v>668</v>
      </c>
      <c r="D40" s="1003">
        <v>4245.8599999999997</v>
      </c>
    </row>
    <row r="41" spans="1:4" ht="13">
      <c r="A41" s="994">
        <v>45229</v>
      </c>
      <c r="B41" s="1001"/>
      <c r="C41" s="997" t="s">
        <v>668</v>
      </c>
      <c r="D41" s="1003">
        <v>2197.9699999999998</v>
      </c>
    </row>
    <row r="42" spans="1:4" ht="13">
      <c r="A42" s="994">
        <v>45229</v>
      </c>
      <c r="B42" s="1001"/>
      <c r="C42" s="997" t="s">
        <v>668</v>
      </c>
      <c r="D42" s="1003">
        <v>1494.76</v>
      </c>
    </row>
    <row r="43" spans="1:4" ht="13">
      <c r="A43" s="994">
        <v>45288</v>
      </c>
      <c r="B43" s="1001"/>
      <c r="C43" s="997" t="s">
        <v>668</v>
      </c>
      <c r="D43" s="1003">
        <v>137.5</v>
      </c>
    </row>
    <row r="44" spans="1:4" ht="13">
      <c r="A44" s="994">
        <v>45378</v>
      </c>
      <c r="B44" s="1001"/>
      <c r="C44" s="997" t="s">
        <v>726</v>
      </c>
      <c r="D44" s="1003">
        <v>68.75</v>
      </c>
    </row>
    <row r="45" spans="1:4" ht="13">
      <c r="A45" s="1074">
        <v>45594</v>
      </c>
      <c r="B45" s="1001"/>
      <c r="C45" s="997" t="s">
        <v>775</v>
      </c>
      <c r="D45" s="1003">
        <v>1875</v>
      </c>
    </row>
    <row r="46" spans="1:4" ht="13">
      <c r="A46" s="1074">
        <v>45775</v>
      </c>
      <c r="B46" s="1001"/>
      <c r="C46" s="997" t="s">
        <v>794</v>
      </c>
      <c r="D46" s="1003">
        <v>256.75</v>
      </c>
    </row>
    <row r="47" spans="1:4" ht="13">
      <c r="A47" s="994"/>
      <c r="B47" s="997"/>
      <c r="C47" s="997"/>
      <c r="D47" s="1003"/>
    </row>
    <row r="48" spans="1:4" ht="13.5" thickBot="1">
      <c r="A48" s="1068"/>
      <c r="B48" s="1009"/>
      <c r="C48" s="1009"/>
      <c r="D48" s="1067">
        <f>SUM(D14:D47)</f>
        <v>187249.26999999996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CB7A-BBC2-4AB2-89E2-027CBE3AB921}">
  <dimension ref="A1:F28"/>
  <sheetViews>
    <sheetView workbookViewId="0">
      <selection activeCell="F80" sqref="F80"/>
    </sheetView>
  </sheetViews>
  <sheetFormatPr defaultRowHeight="12.5"/>
  <cols>
    <col min="1" max="1" width="12.7265625" customWidth="1"/>
    <col min="2" max="2" width="2.7265625" customWidth="1"/>
    <col min="3" max="3" width="13.54296875" customWidth="1"/>
    <col min="4" max="4" width="71.453125" bestFit="1" customWidth="1"/>
    <col min="5" max="5" width="2.7265625" customWidth="1"/>
    <col min="6" max="6" width="21.269531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727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347</v>
      </c>
      <c r="D9" s="316" t="s">
        <v>328</v>
      </c>
      <c r="E9" s="316"/>
      <c r="F9" s="357" t="s">
        <v>329</v>
      </c>
    </row>
    <row r="10" spans="1:6" s="9" customFormat="1">
      <c r="A10" s="52"/>
      <c r="F10" s="87"/>
    </row>
    <row r="11" spans="1:6" s="1034" customFormat="1" ht="13">
      <c r="A11" s="994"/>
      <c r="B11" s="997"/>
      <c r="C11" s="997"/>
      <c r="D11" s="997"/>
      <c r="E11" s="997"/>
      <c r="F11" s="1003"/>
    </row>
    <row r="12" spans="1:6" s="1034" customFormat="1" ht="13">
      <c r="A12" s="994"/>
      <c r="B12" s="997"/>
      <c r="C12" s="1038">
        <v>17971</v>
      </c>
      <c r="D12" s="1031" t="s">
        <v>728</v>
      </c>
      <c r="E12" s="997"/>
      <c r="F12" s="999"/>
    </row>
    <row r="13" spans="1:6" s="1034" customFormat="1" ht="13">
      <c r="A13" s="994">
        <v>44920</v>
      </c>
      <c r="B13" s="997"/>
      <c r="C13" s="997"/>
      <c r="D13" s="997" t="s">
        <v>729</v>
      </c>
      <c r="E13" s="997"/>
      <c r="F13" s="1003">
        <v>12500</v>
      </c>
    </row>
    <row r="14" spans="1:6" s="1034" customFormat="1" ht="13">
      <c r="A14" s="994">
        <v>45288</v>
      </c>
      <c r="B14" s="997"/>
      <c r="C14" s="997"/>
      <c r="D14" s="997" t="s">
        <v>730</v>
      </c>
      <c r="E14" s="997"/>
      <c r="F14" s="1003">
        <v>25000</v>
      </c>
    </row>
    <row r="15" spans="1:6" s="1034" customFormat="1" ht="13">
      <c r="A15" s="994">
        <v>45288</v>
      </c>
      <c r="B15" s="997"/>
      <c r="C15" s="997"/>
      <c r="D15" s="997" t="s">
        <v>731</v>
      </c>
      <c r="E15" s="997"/>
      <c r="F15" s="1003">
        <v>7000</v>
      </c>
    </row>
    <row r="16" spans="1:6" s="1034" customFormat="1" ht="13">
      <c r="A16" s="994">
        <v>45322</v>
      </c>
      <c r="B16" s="997"/>
      <c r="C16" s="997"/>
      <c r="D16" s="997" t="s">
        <v>732</v>
      </c>
      <c r="E16" s="997"/>
      <c r="F16" s="1003">
        <v>7000</v>
      </c>
    </row>
    <row r="17" spans="1:6" s="1034" customFormat="1" ht="13">
      <c r="A17" s="994">
        <v>45378</v>
      </c>
      <c r="B17" s="997"/>
      <c r="C17" s="997"/>
      <c r="D17" s="997" t="s">
        <v>733</v>
      </c>
      <c r="E17" s="997"/>
      <c r="F17" s="1003">
        <v>7000</v>
      </c>
    </row>
    <row r="18" spans="1:6" s="1034" customFormat="1" ht="13">
      <c r="A18" s="994">
        <v>45408</v>
      </c>
      <c r="B18" s="997"/>
      <c r="C18" s="997"/>
      <c r="D18" s="997" t="s">
        <v>736</v>
      </c>
      <c r="E18" s="997"/>
      <c r="F18" s="1003">
        <v>7000</v>
      </c>
    </row>
    <row r="19" spans="1:6" s="1034" customFormat="1" ht="13">
      <c r="A19" s="994">
        <v>45442</v>
      </c>
      <c r="B19" s="997"/>
      <c r="C19" s="997"/>
      <c r="D19" s="997" t="s">
        <v>737</v>
      </c>
      <c r="E19" s="997"/>
      <c r="F19" s="1003">
        <v>7000</v>
      </c>
    </row>
    <row r="20" spans="1:6" s="1034" customFormat="1" ht="13">
      <c r="A20" s="994">
        <v>45504</v>
      </c>
      <c r="B20" s="997"/>
      <c r="C20" s="997"/>
      <c r="D20" s="997" t="s">
        <v>744</v>
      </c>
      <c r="E20" s="997"/>
      <c r="F20" s="1003">
        <v>7000</v>
      </c>
    </row>
    <row r="21" spans="1:6" s="1034" customFormat="1" ht="13">
      <c r="A21" s="994">
        <v>45504</v>
      </c>
      <c r="B21" s="997"/>
      <c r="C21" s="997"/>
      <c r="D21" s="997" t="s">
        <v>738</v>
      </c>
      <c r="E21" s="997"/>
      <c r="F21" s="1003">
        <v>7000</v>
      </c>
    </row>
    <row r="22" spans="1:6" s="1034" customFormat="1" ht="13">
      <c r="A22" s="994">
        <v>45504</v>
      </c>
      <c r="B22" s="997"/>
      <c r="C22" s="997"/>
      <c r="D22" s="997" t="s">
        <v>739</v>
      </c>
      <c r="E22" s="997"/>
      <c r="F22" s="1003">
        <v>7000</v>
      </c>
    </row>
    <row r="23" spans="1:6" s="1034" customFormat="1" ht="13">
      <c r="A23" s="994">
        <v>45562</v>
      </c>
      <c r="B23" s="997"/>
      <c r="C23" s="997"/>
      <c r="D23" s="997" t="s">
        <v>740</v>
      </c>
      <c r="E23" s="997"/>
      <c r="F23" s="1003">
        <v>7000</v>
      </c>
    </row>
    <row r="24" spans="1:6" s="1034" customFormat="1" ht="13">
      <c r="A24" s="994">
        <v>45562</v>
      </c>
      <c r="B24" s="997"/>
      <c r="C24" s="997"/>
      <c r="D24" s="997" t="s">
        <v>741</v>
      </c>
      <c r="E24" s="997"/>
      <c r="F24" s="1003">
        <v>7000</v>
      </c>
    </row>
    <row r="25" spans="1:6" s="1034" customFormat="1" ht="13">
      <c r="A25" s="994">
        <v>45622</v>
      </c>
      <c r="B25" s="997"/>
      <c r="C25" s="997"/>
      <c r="D25" s="997" t="s">
        <v>742</v>
      </c>
      <c r="E25" s="997"/>
      <c r="F25" s="1003">
        <v>7000</v>
      </c>
    </row>
    <row r="26" spans="1:6" s="1034" customFormat="1" ht="13">
      <c r="A26" s="994">
        <v>45622</v>
      </c>
      <c r="B26" s="997"/>
      <c r="C26" s="997"/>
      <c r="D26" s="997" t="s">
        <v>743</v>
      </c>
      <c r="E26" s="997"/>
      <c r="F26" s="1003">
        <v>8000</v>
      </c>
    </row>
    <row r="27" spans="1:6" s="1034" customFormat="1" ht="13">
      <c r="A27" s="994"/>
      <c r="B27" s="997"/>
      <c r="C27" s="997"/>
      <c r="D27" s="997"/>
      <c r="E27" s="997"/>
      <c r="F27" s="1003"/>
    </row>
    <row r="28" spans="1:6" s="9" customFormat="1" ht="13.5" thickBot="1">
      <c r="A28" s="136"/>
      <c r="B28" s="135"/>
      <c r="C28" s="135"/>
      <c r="D28" s="135"/>
      <c r="E28" s="135"/>
      <c r="F28" s="1072">
        <f>SUM(F13:F27)</f>
        <v>122500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26A6-317B-4ED7-9068-0A318561D9BF}">
  <sheetPr>
    <pageSetUpPr fitToPage="1"/>
  </sheetPr>
  <dimension ref="A1:F35"/>
  <sheetViews>
    <sheetView workbookViewId="0">
      <selection activeCell="F80" sqref="F80"/>
    </sheetView>
  </sheetViews>
  <sheetFormatPr defaultRowHeight="12.5"/>
  <cols>
    <col min="1" max="1" width="12.7265625" customWidth="1"/>
    <col min="2" max="2" width="2.7265625" customWidth="1"/>
    <col min="3" max="3" width="13.54296875" customWidth="1"/>
    <col min="4" max="4" width="71.453125" bestFit="1" customWidth="1"/>
    <col min="5" max="5" width="2.7265625" customWidth="1"/>
    <col min="6" max="6" width="21.26953125" customWidth="1"/>
    <col min="11" max="11" width="11.81640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725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347</v>
      </c>
      <c r="D9" s="316" t="s">
        <v>328</v>
      </c>
      <c r="E9" s="316"/>
      <c r="F9" s="357" t="s">
        <v>329</v>
      </c>
    </row>
    <row r="10" spans="1:6" s="9" customFormat="1">
      <c r="A10" s="52"/>
      <c r="F10" s="87"/>
    </row>
    <row r="11" spans="1:6" s="1034" customFormat="1" ht="13">
      <c r="A11" s="994"/>
      <c r="B11" s="997"/>
      <c r="C11" s="997"/>
      <c r="D11" s="997"/>
      <c r="E11" s="997"/>
      <c r="F11" s="1003"/>
    </row>
    <row r="12" spans="1:6" s="1034" customFormat="1" ht="13">
      <c r="A12" s="994"/>
      <c r="B12" s="997"/>
      <c r="C12" s="1038">
        <v>17980</v>
      </c>
      <c r="D12" s="1031" t="s">
        <v>611</v>
      </c>
      <c r="E12" s="997"/>
      <c r="F12" s="999"/>
    </row>
    <row r="13" spans="1:6" s="1034" customFormat="1" ht="13">
      <c r="A13" s="994">
        <v>44832</v>
      </c>
      <c r="B13" s="997"/>
      <c r="C13" s="997"/>
      <c r="D13" s="997" t="s">
        <v>636</v>
      </c>
      <c r="E13" s="997"/>
      <c r="F13" s="1003">
        <v>16196.15</v>
      </c>
    </row>
    <row r="14" spans="1:6" s="1034" customFormat="1" ht="13">
      <c r="A14" s="994">
        <v>44832</v>
      </c>
      <c r="B14" s="997"/>
      <c r="C14" s="997"/>
      <c r="D14" s="997" t="s">
        <v>637</v>
      </c>
      <c r="E14" s="997"/>
      <c r="F14" s="1003">
        <v>850</v>
      </c>
    </row>
    <row r="15" spans="1:6" s="1034" customFormat="1" ht="13">
      <c r="A15" s="994">
        <v>44832</v>
      </c>
      <c r="B15" s="997"/>
      <c r="C15" s="997"/>
      <c r="D15" s="997" t="s">
        <v>637</v>
      </c>
      <c r="E15" s="997"/>
      <c r="F15" s="1003">
        <v>69541</v>
      </c>
    </row>
    <row r="16" spans="1:6" s="1034" customFormat="1" ht="13">
      <c r="A16" s="994">
        <v>44920</v>
      </c>
      <c r="B16" s="997"/>
      <c r="C16" s="997"/>
      <c r="D16" s="997" t="s">
        <v>637</v>
      </c>
      <c r="E16" s="997"/>
      <c r="F16" s="1003">
        <v>104312</v>
      </c>
    </row>
    <row r="17" spans="1:6" s="1034" customFormat="1" ht="13">
      <c r="A17" s="994">
        <v>44985</v>
      </c>
      <c r="B17" s="997"/>
      <c r="C17" s="997"/>
      <c r="D17" s="997" t="s">
        <v>651</v>
      </c>
      <c r="E17" s="997"/>
      <c r="F17" s="1003">
        <v>3175</v>
      </c>
    </row>
    <row r="18" spans="1:6" s="1034" customFormat="1" ht="13">
      <c r="A18" s="994">
        <v>44985</v>
      </c>
      <c r="B18" s="997"/>
      <c r="C18" s="997"/>
      <c r="D18" s="997" t="s">
        <v>652</v>
      </c>
      <c r="E18" s="997"/>
      <c r="F18" s="1003">
        <v>7065</v>
      </c>
    </row>
    <row r="19" spans="1:6" s="1034" customFormat="1" ht="13">
      <c r="A19" s="994">
        <v>45044</v>
      </c>
      <c r="B19" s="997"/>
      <c r="C19" s="997"/>
      <c r="D19" s="997" t="s">
        <v>663</v>
      </c>
      <c r="E19" s="997"/>
      <c r="F19" s="1003">
        <v>5375</v>
      </c>
    </row>
    <row r="20" spans="1:6" s="1034" customFormat="1" ht="13">
      <c r="A20" s="1074">
        <v>45311.864236111098</v>
      </c>
      <c r="B20" s="997"/>
      <c r="C20" s="997"/>
      <c r="D20" s="997" t="s">
        <v>781</v>
      </c>
      <c r="E20" s="997"/>
      <c r="F20" s="1003">
        <v>517172.27</v>
      </c>
    </row>
    <row r="21" spans="1:6" s="1034" customFormat="1" ht="13">
      <c r="A21" s="1074">
        <v>45322</v>
      </c>
      <c r="B21" s="997"/>
      <c r="C21" s="9"/>
      <c r="D21" s="1077" t="s">
        <v>776</v>
      </c>
      <c r="E21" s="997"/>
      <c r="F21" s="1003">
        <v>695745.77</v>
      </c>
    </row>
    <row r="22" spans="1:6" s="1034" customFormat="1" ht="13">
      <c r="A22" s="1074">
        <v>45378</v>
      </c>
      <c r="B22" s="997"/>
      <c r="C22" s="26"/>
      <c r="D22" s="1077" t="s">
        <v>777</v>
      </c>
      <c r="E22" s="997"/>
      <c r="F22" s="1003">
        <v>22574.94</v>
      </c>
    </row>
    <row r="23" spans="1:6" s="1034" customFormat="1" ht="13">
      <c r="A23" s="1074">
        <v>45378</v>
      </c>
      <c r="B23" s="997"/>
      <c r="C23"/>
      <c r="D23" s="1077" t="s">
        <v>776</v>
      </c>
      <c r="E23" s="997"/>
      <c r="F23" s="1003">
        <v>743778.66</v>
      </c>
    </row>
    <row r="24" spans="1:6" s="1034" customFormat="1" ht="13">
      <c r="A24" s="1074">
        <v>45408</v>
      </c>
      <c r="B24" s="997"/>
      <c r="C24"/>
      <c r="D24" s="1077" t="s">
        <v>776</v>
      </c>
      <c r="E24" s="997"/>
      <c r="F24" s="1003">
        <v>1103665.8799999999</v>
      </c>
    </row>
    <row r="25" spans="1:6" s="1034" customFormat="1" ht="13">
      <c r="A25" s="1074">
        <v>45412</v>
      </c>
      <c r="B25" s="997"/>
      <c r="C25"/>
      <c r="D25" s="1077" t="s">
        <v>776</v>
      </c>
      <c r="E25" s="997"/>
      <c r="F25" s="1076">
        <v>-695745.77</v>
      </c>
    </row>
    <row r="26" spans="1:6" s="1034" customFormat="1" ht="13">
      <c r="A26" s="1074">
        <v>45412</v>
      </c>
      <c r="B26" s="997"/>
      <c r="C26"/>
      <c r="D26" s="1077" t="s">
        <v>777</v>
      </c>
      <c r="E26" s="997"/>
      <c r="F26" s="1076">
        <v>-22574.94</v>
      </c>
    </row>
    <row r="27" spans="1:6" s="1034" customFormat="1" ht="13">
      <c r="A27" s="1074">
        <v>45412</v>
      </c>
      <c r="B27" s="997"/>
      <c r="C27"/>
      <c r="D27" s="1077" t="s">
        <v>776</v>
      </c>
      <c r="E27" s="997"/>
      <c r="F27" s="1076">
        <v>-743778.66</v>
      </c>
    </row>
    <row r="28" spans="1:6" s="1034" customFormat="1" ht="13">
      <c r="A28" s="1074">
        <v>45412</v>
      </c>
      <c r="B28" s="997"/>
      <c r="C28"/>
      <c r="D28" s="1077" t="s">
        <v>776</v>
      </c>
      <c r="E28" s="997"/>
      <c r="F28" s="1076">
        <v>-1103665.8799999999</v>
      </c>
    </row>
    <row r="29" spans="1:6" s="1034" customFormat="1" ht="13">
      <c r="A29" s="1074">
        <v>45442</v>
      </c>
      <c r="B29" s="997"/>
      <c r="C29"/>
      <c r="D29" s="1077" t="s">
        <v>778</v>
      </c>
      <c r="E29" s="997"/>
      <c r="F29" s="1003">
        <v>15000</v>
      </c>
    </row>
    <row r="30" spans="1:6" s="1034" customFormat="1" ht="13">
      <c r="A30" s="1074">
        <v>45442</v>
      </c>
      <c r="B30" s="997"/>
      <c r="C30"/>
      <c r="D30" s="1077" t="s">
        <v>779</v>
      </c>
      <c r="E30" s="997"/>
      <c r="F30" s="1003">
        <v>4000</v>
      </c>
    </row>
    <row r="31" spans="1:6" s="1034" customFormat="1" ht="13">
      <c r="A31" s="1074">
        <v>45443</v>
      </c>
      <c r="B31" s="997"/>
      <c r="C31"/>
      <c r="D31" s="1077" t="s">
        <v>780</v>
      </c>
      <c r="E31" s="997"/>
      <c r="F31" s="1003">
        <v>15000</v>
      </c>
    </row>
    <row r="32" spans="1:6" s="1034" customFormat="1" ht="13">
      <c r="A32" s="994"/>
      <c r="B32" s="997"/>
      <c r="C32" s="997"/>
      <c r="D32" s="997"/>
      <c r="E32" s="997"/>
      <c r="F32" s="1003"/>
    </row>
    <row r="33" spans="1:6" s="9" customFormat="1" ht="13.5" thickBot="1">
      <c r="A33" s="136"/>
      <c r="B33" s="135"/>
      <c r="C33" s="135"/>
      <c r="D33" s="135"/>
      <c r="E33" s="135"/>
      <c r="F33" s="1072">
        <f>F20+SUM(F21:F32)</f>
        <v>551172.27</v>
      </c>
    </row>
    <row r="34" spans="1:6" s="9" customFormat="1">
      <c r="F34" s="154"/>
    </row>
    <row r="35" spans="1:6" s="9" customFormat="1">
      <c r="B35" s="11"/>
      <c r="C35" s="11"/>
      <c r="D35" s="16"/>
    </row>
  </sheetData>
  <mergeCells count="3">
    <mergeCell ref="A1:F1"/>
    <mergeCell ref="A2:F2"/>
    <mergeCell ref="A3:F3"/>
  </mergeCells>
  <phoneticPr fontId="46" type="noConversion"/>
  <pageMargins left="0.75" right="0.75" top="1" bottom="1" header="0.5" footer="0.5"/>
  <pageSetup scale="68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A92F-77D2-4E30-8FA4-373BCCEB8045}">
  <dimension ref="A1:H15"/>
  <sheetViews>
    <sheetView workbookViewId="0">
      <selection activeCell="F80" sqref="F80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  <col min="8" max="8" width="23.81640625" style="27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566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>
        <v>44138</v>
      </c>
      <c r="B11" s="997"/>
      <c r="C11" s="998" t="s">
        <v>565</v>
      </c>
      <c r="D11" s="997"/>
      <c r="E11" s="1005"/>
      <c r="F11" s="999">
        <v>180000</v>
      </c>
    </row>
    <row r="12" spans="1:6" s="9" customFormat="1" ht="13">
      <c r="A12" s="1004">
        <v>44196</v>
      </c>
      <c r="B12" s="997"/>
      <c r="C12" s="998" t="s">
        <v>623</v>
      </c>
      <c r="D12" s="997"/>
      <c r="E12" s="1005"/>
      <c r="F12" s="999">
        <f>-71108</f>
        <v>-71108</v>
      </c>
    </row>
    <row r="13" spans="1:6" s="9" customFormat="1" ht="13">
      <c r="A13" s="1004"/>
      <c r="B13" s="997"/>
      <c r="C13" s="997"/>
      <c r="D13" s="997"/>
      <c r="E13" s="1005"/>
      <c r="F13" s="1006"/>
    </row>
    <row r="14" spans="1:6" s="9" customFormat="1" ht="13">
      <c r="A14" s="1000"/>
      <c r="B14" s="997"/>
      <c r="C14" s="997"/>
      <c r="D14" s="997"/>
      <c r="E14" s="1005"/>
      <c r="F14" s="1007"/>
    </row>
    <row r="15" spans="1:6" s="13" customFormat="1" ht="13.5" thickBot="1">
      <c r="A15" s="1008"/>
      <c r="B15" s="1009"/>
      <c r="C15" s="1009" t="s">
        <v>331</v>
      </c>
      <c r="D15" s="1009"/>
      <c r="E15" s="1010"/>
      <c r="F15" s="1011">
        <f>SUM(F11:F14)</f>
        <v>108892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7653-A4A0-4FD1-BCFD-9A8B94BBF380}">
  <sheetPr>
    <pageSetUpPr fitToPage="1"/>
  </sheetPr>
  <dimension ref="A1:F105"/>
  <sheetViews>
    <sheetView workbookViewId="0">
      <selection activeCell="F68" activeCellId="5" sqref="F12 F18 F51 F56 F62 F68"/>
    </sheetView>
  </sheetViews>
  <sheetFormatPr defaultRowHeight="12.5"/>
  <cols>
    <col min="1" max="1" width="12.7265625" customWidth="1"/>
    <col min="2" max="2" width="2.7265625" customWidth="1"/>
    <col min="3" max="3" width="13.54296875" customWidth="1"/>
    <col min="4" max="4" width="58.54296875" bestFit="1" customWidth="1"/>
    <col min="5" max="5" width="24" customWidth="1"/>
    <col min="6" max="6" width="34.26953125" customWidth="1"/>
    <col min="9" max="9" width="50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814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347</v>
      </c>
      <c r="D9" s="316" t="s">
        <v>328</v>
      </c>
      <c r="E9" s="316" t="s">
        <v>496</v>
      </c>
      <c r="F9" s="357" t="s">
        <v>329</v>
      </c>
    </row>
    <row r="10" spans="1:6" s="9" customFormat="1">
      <c r="A10" s="52"/>
      <c r="F10" s="87"/>
    </row>
    <row r="11" spans="1:6" s="9" customFormat="1" ht="13">
      <c r="A11" s="52"/>
      <c r="C11" s="1035">
        <v>18300</v>
      </c>
      <c r="D11" s="1032" t="s">
        <v>815</v>
      </c>
      <c r="F11" s="1003"/>
    </row>
    <row r="12" spans="1:6" s="9" customFormat="1" ht="13">
      <c r="A12" s="1004">
        <v>46081</v>
      </c>
      <c r="C12" s="1035"/>
      <c r="D12" s="998" t="s">
        <v>804</v>
      </c>
      <c r="E12" s="997"/>
      <c r="F12" s="1003"/>
    </row>
    <row r="13" spans="1:6" s="9" customFormat="1" ht="13">
      <c r="A13" s="1089"/>
      <c r="C13" s="1035"/>
      <c r="D13" s="998"/>
      <c r="E13" s="997"/>
      <c r="F13" s="1053"/>
    </row>
    <row r="14" spans="1:6" s="9" customFormat="1" ht="13.5" thickBot="1">
      <c r="A14" s="1089"/>
      <c r="C14" s="1035"/>
      <c r="D14" s="1032"/>
      <c r="E14" s="997"/>
      <c r="F14" s="1066">
        <f>SUM(F12:F12)</f>
        <v>0</v>
      </c>
    </row>
    <row r="15" spans="1:6" s="9" customFormat="1" ht="13.5" thickTop="1">
      <c r="A15" s="1089"/>
      <c r="C15" s="1035"/>
      <c r="D15" s="1032"/>
      <c r="E15" s="997"/>
      <c r="F15" s="1003"/>
    </row>
    <row r="16" spans="1:6" s="9" customFormat="1" ht="13">
      <c r="A16" s="1089"/>
      <c r="C16" s="1035"/>
      <c r="D16" s="1032"/>
      <c r="F16" s="1003"/>
    </row>
    <row r="17" spans="1:6" s="9" customFormat="1" ht="13">
      <c r="A17" s="994"/>
      <c r="B17" s="997"/>
      <c r="C17" s="1035">
        <v>18500</v>
      </c>
      <c r="D17" s="1032" t="s">
        <v>816</v>
      </c>
      <c r="E17" s="997"/>
      <c r="F17" s="1003"/>
    </row>
    <row r="18" spans="1:6" s="9" customFormat="1" ht="13">
      <c r="A18" s="1004">
        <v>46081</v>
      </c>
      <c r="B18" s="997"/>
      <c r="C18" s="1035"/>
      <c r="D18" s="998" t="s">
        <v>804</v>
      </c>
      <c r="E18" s="997"/>
      <c r="F18" s="1003"/>
    </row>
    <row r="19" spans="1:6" s="9" customFormat="1" ht="13">
      <c r="A19" s="994"/>
      <c r="B19" s="997"/>
      <c r="C19" s="1035"/>
      <c r="D19" s="998"/>
      <c r="E19" s="997"/>
      <c r="F19" s="1053"/>
    </row>
    <row r="20" spans="1:6" s="9" customFormat="1" ht="13.5" thickBot="1">
      <c r="A20" s="994"/>
      <c r="B20" s="997"/>
      <c r="C20" s="1035"/>
      <c r="D20" s="1032"/>
      <c r="E20" s="997"/>
      <c r="F20" s="1066">
        <f>SUM(F18:F18)</f>
        <v>0</v>
      </c>
    </row>
    <row r="21" spans="1:6" s="9" customFormat="1" ht="13.5" hidden="1" thickTop="1">
      <c r="A21" s="994"/>
      <c r="B21" s="997"/>
      <c r="C21" s="1035"/>
      <c r="D21" s="1032"/>
      <c r="E21" s="997"/>
      <c r="F21" s="1003"/>
    </row>
    <row r="22" spans="1:6" s="9" customFormat="1" ht="13.5" hidden="1" thickTop="1">
      <c r="A22" s="994"/>
      <c r="B22" s="997"/>
      <c r="C22" s="1035">
        <v>15010</v>
      </c>
      <c r="D22" s="1032" t="s">
        <v>670</v>
      </c>
      <c r="E22" s="997"/>
      <c r="F22" s="1003">
        <v>0</v>
      </c>
    </row>
    <row r="23" spans="1:6" s="9" customFormat="1" ht="13.5" hidden="1" thickTop="1">
      <c r="A23" s="994"/>
      <c r="B23" s="997"/>
      <c r="C23" s="1035"/>
      <c r="D23" s="998"/>
      <c r="E23" s="997"/>
      <c r="F23" s="1053"/>
    </row>
    <row r="24" spans="1:6" s="9" customFormat="1" ht="14" hidden="1" thickTop="1" thickBot="1">
      <c r="A24" s="994"/>
      <c r="B24" s="997"/>
      <c r="C24" s="1035"/>
      <c r="D24" s="1032"/>
      <c r="E24" s="997"/>
      <c r="F24" s="1066">
        <f>SUM(F22:F22)</f>
        <v>0</v>
      </c>
    </row>
    <row r="25" spans="1:6" s="9" customFormat="1" ht="13.5" hidden="1" thickTop="1">
      <c r="A25" s="994"/>
      <c r="B25" s="997"/>
      <c r="C25" s="1035"/>
      <c r="D25" s="1032"/>
      <c r="E25" s="997"/>
      <c r="F25" s="1003"/>
    </row>
    <row r="26" spans="1:6" s="1034" customFormat="1" ht="13.5" hidden="1" thickTop="1">
      <c r="A26" s="1030"/>
      <c r="B26" s="1031"/>
      <c r="C26" s="1035">
        <v>17000</v>
      </c>
      <c r="D26" s="1032" t="s">
        <v>349</v>
      </c>
      <c r="E26" s="1031"/>
      <c r="F26" s="1003"/>
    </row>
    <row r="27" spans="1:6" s="9" customFormat="1" ht="13.5" hidden="1" thickTop="1">
      <c r="A27" s="994"/>
      <c r="B27" s="997"/>
      <c r="C27" s="996"/>
      <c r="D27" s="998"/>
      <c r="E27" s="997"/>
      <c r="F27" s="1003">
        <v>0</v>
      </c>
    </row>
    <row r="28" spans="1:6" s="9" customFormat="1" ht="13.5" hidden="1" thickTop="1">
      <c r="A28" s="994"/>
      <c r="B28" s="997"/>
      <c r="C28" s="996"/>
      <c r="D28" s="998"/>
      <c r="E28" s="997"/>
      <c r="F28" s="1003"/>
    </row>
    <row r="29" spans="1:6" s="9" customFormat="1" ht="14" hidden="1" thickTop="1" thickBot="1">
      <c r="A29" s="994"/>
      <c r="B29" s="997"/>
      <c r="C29" s="996"/>
      <c r="D29" s="998"/>
      <c r="E29" s="997"/>
      <c r="F29" s="1066">
        <f>SUM(F27:F28)</f>
        <v>0</v>
      </c>
    </row>
    <row r="30" spans="1:6" s="9" customFormat="1" ht="13.5" hidden="1" thickTop="1">
      <c r="A30" s="994"/>
      <c r="B30" s="997"/>
      <c r="C30" s="996"/>
      <c r="D30" s="998"/>
      <c r="E30" s="997"/>
      <c r="F30" s="1003"/>
    </row>
    <row r="31" spans="1:6" s="9" customFormat="1" ht="14" hidden="1" thickTop="1" thickBot="1">
      <c r="A31" s="994"/>
      <c r="B31" s="997"/>
      <c r="C31" s="1035">
        <v>17050</v>
      </c>
      <c r="D31" s="1032" t="s">
        <v>671</v>
      </c>
      <c r="E31" s="997"/>
      <c r="F31" s="1079">
        <v>0</v>
      </c>
    </row>
    <row r="32" spans="1:6" s="9" customFormat="1" ht="13.5" hidden="1" thickTop="1">
      <c r="A32" s="994"/>
      <c r="B32" s="997"/>
      <c r="C32" s="996"/>
      <c r="D32" s="998"/>
      <c r="E32" s="997"/>
      <c r="F32" s="1003"/>
    </row>
    <row r="33" spans="1:6" s="9" customFormat="1" ht="13.5" hidden="1" thickTop="1">
      <c r="A33" s="994"/>
      <c r="B33" s="997"/>
      <c r="C33" s="1035">
        <v>17200</v>
      </c>
      <c r="D33" s="1032" t="s">
        <v>734</v>
      </c>
      <c r="E33" s="997"/>
      <c r="F33" s="1003"/>
    </row>
    <row r="34" spans="1:6" s="9" customFormat="1" ht="13.5" hidden="1" thickTop="1">
      <c r="A34" s="994"/>
      <c r="B34" s="997"/>
      <c r="C34" s="1035"/>
      <c r="D34" s="1046"/>
      <c r="E34" s="997"/>
      <c r="F34" s="1003">
        <v>0</v>
      </c>
    </row>
    <row r="35" spans="1:6" s="9" customFormat="1" ht="13.5" hidden="1" thickTop="1">
      <c r="A35" s="994"/>
      <c r="B35" s="997"/>
      <c r="C35" s="1035"/>
      <c r="D35" s="1046"/>
      <c r="E35" s="997"/>
      <c r="F35" s="1003">
        <v>0</v>
      </c>
    </row>
    <row r="36" spans="1:6" s="9" customFormat="1" ht="14" hidden="1" thickTop="1" thickBot="1">
      <c r="A36" s="994"/>
      <c r="B36" s="997"/>
      <c r="C36" s="996"/>
      <c r="D36" s="998"/>
      <c r="E36" s="997"/>
      <c r="F36" s="1066">
        <f>SUM(F34:F35)</f>
        <v>0</v>
      </c>
    </row>
    <row r="37" spans="1:6" s="9" customFormat="1" ht="13.5" hidden="1" thickTop="1">
      <c r="A37" s="994"/>
      <c r="B37" s="997"/>
      <c r="C37" s="996"/>
      <c r="D37" s="998"/>
      <c r="E37" s="997"/>
      <c r="F37" s="1003"/>
    </row>
    <row r="38" spans="1:6" s="9" customFormat="1" ht="13.5" hidden="1" customHeight="1">
      <c r="A38" s="994"/>
      <c r="B38" s="997"/>
      <c r="C38" s="996"/>
      <c r="D38" s="998"/>
      <c r="E38" s="997"/>
      <c r="F38" s="1003"/>
    </row>
    <row r="39" spans="1:6" s="9" customFormat="1" ht="13.5" hidden="1" thickTop="1">
      <c r="A39" s="994"/>
      <c r="B39" s="997"/>
      <c r="C39" s="1035">
        <v>17300</v>
      </c>
      <c r="D39" s="1032" t="s">
        <v>530</v>
      </c>
      <c r="E39" s="997"/>
      <c r="F39" s="1003">
        <v>0</v>
      </c>
    </row>
    <row r="40" spans="1:6" s="9" customFormat="1" ht="13.5" hidden="1" thickTop="1">
      <c r="A40" s="994"/>
      <c r="B40" s="997"/>
      <c r="C40" s="1035"/>
      <c r="D40" s="1046"/>
      <c r="E40" s="997"/>
      <c r="F40" s="1057">
        <v>0</v>
      </c>
    </row>
    <row r="41" spans="1:6" s="9" customFormat="1" ht="13.5" hidden="1" thickTop="1">
      <c r="A41" s="994"/>
      <c r="B41" s="997"/>
      <c r="C41" s="1035"/>
      <c r="D41" s="1046"/>
      <c r="E41" s="997"/>
      <c r="F41" s="1057">
        <v>0</v>
      </c>
    </row>
    <row r="42" spans="1:6" s="9" customFormat="1" ht="13.5" hidden="1" thickTop="1">
      <c r="A42" s="994"/>
      <c r="B42" s="997"/>
      <c r="C42" s="1035"/>
      <c r="D42" s="1046"/>
      <c r="E42" s="997"/>
      <c r="F42" s="1057">
        <v>0</v>
      </c>
    </row>
    <row r="43" spans="1:6" s="9" customFormat="1" ht="14" hidden="1" thickTop="1" thickBot="1">
      <c r="A43" s="994"/>
      <c r="B43" s="997"/>
      <c r="C43" s="996"/>
      <c r="D43" s="998"/>
      <c r="E43" s="997"/>
      <c r="F43" s="1066">
        <f>SUM(F39:F42)</f>
        <v>0</v>
      </c>
    </row>
    <row r="44" spans="1:6" s="9" customFormat="1" ht="13.5" hidden="1" thickTop="1">
      <c r="A44" s="994"/>
      <c r="B44" s="997"/>
      <c r="C44" s="996"/>
      <c r="D44" s="998"/>
      <c r="E44" s="997"/>
      <c r="F44" s="1003"/>
    </row>
    <row r="45" spans="1:6" s="9" customFormat="1" ht="13.5" hidden="1" thickTop="1">
      <c r="A45" s="994"/>
      <c r="B45" s="997"/>
      <c r="C45" s="1035">
        <v>17350</v>
      </c>
      <c r="D45" s="1032" t="s">
        <v>672</v>
      </c>
      <c r="E45" s="997"/>
      <c r="F45" s="1003">
        <v>0</v>
      </c>
    </row>
    <row r="46" spans="1:6" s="9" customFormat="1" ht="13.5" hidden="1" thickTop="1">
      <c r="A46" s="994"/>
      <c r="B46" s="997"/>
      <c r="C46" s="996"/>
      <c r="D46" s="1046"/>
      <c r="E46" s="997"/>
      <c r="F46" s="1003">
        <v>0</v>
      </c>
    </row>
    <row r="47" spans="1:6" s="9" customFormat="1" ht="13.5" hidden="1" thickTop="1">
      <c r="A47" s="994"/>
      <c r="B47" s="997"/>
      <c r="C47" s="996"/>
      <c r="D47" s="1046"/>
      <c r="E47" s="997"/>
      <c r="F47" s="1053">
        <v>0</v>
      </c>
    </row>
    <row r="48" spans="1:6" s="9" customFormat="1" ht="14" hidden="1" thickTop="1" thickBot="1">
      <c r="A48" s="994"/>
      <c r="B48" s="997"/>
      <c r="C48" s="996"/>
      <c r="D48" s="1046"/>
      <c r="E48" s="997"/>
      <c r="F48" s="1066">
        <f>SUM(F45:F46)</f>
        <v>0</v>
      </c>
    </row>
    <row r="49" spans="1:6" s="9" customFormat="1" ht="13.5" thickTop="1">
      <c r="A49" s="994"/>
      <c r="B49" s="997"/>
      <c r="C49" s="996"/>
      <c r="D49" s="998"/>
      <c r="E49" s="997"/>
      <c r="F49" s="1003"/>
    </row>
    <row r="50" spans="1:6" s="9" customFormat="1" ht="13">
      <c r="A50" s="994"/>
      <c r="B50" s="997"/>
      <c r="C50" s="1035">
        <v>18531</v>
      </c>
      <c r="D50" s="1032" t="s">
        <v>817</v>
      </c>
      <c r="E50" s="997"/>
      <c r="F50" s="1003"/>
    </row>
    <row r="51" spans="1:6" s="9" customFormat="1" ht="13">
      <c r="A51" s="1004">
        <v>46081</v>
      </c>
      <c r="B51" s="997"/>
      <c r="C51" s="1035"/>
      <c r="D51" s="998" t="s">
        <v>804</v>
      </c>
      <c r="E51" s="997"/>
      <c r="F51" s="1003"/>
    </row>
    <row r="52" spans="1:6" s="9" customFormat="1" ht="13">
      <c r="A52" s="1004"/>
      <c r="B52" s="997"/>
      <c r="C52" s="1035"/>
      <c r="D52" s="998"/>
      <c r="E52" s="997"/>
      <c r="F52" s="1053"/>
    </row>
    <row r="53" spans="1:6" s="9" customFormat="1" ht="13.5" thickBot="1">
      <c r="A53" s="1004"/>
      <c r="B53" s="997"/>
      <c r="C53" s="1035"/>
      <c r="D53" s="998"/>
      <c r="E53" s="997"/>
      <c r="F53" s="1066">
        <f>SUM(F48:F51)</f>
        <v>0</v>
      </c>
    </row>
    <row r="54" spans="1:6" s="9" customFormat="1" ht="13.5" thickTop="1">
      <c r="A54" s="994"/>
      <c r="B54" s="997"/>
      <c r="C54" s="996"/>
      <c r="D54" s="998"/>
      <c r="E54" s="997"/>
      <c r="F54" s="1003"/>
    </row>
    <row r="55" spans="1:6" s="1034" customFormat="1" ht="13">
      <c r="A55" s="1036"/>
      <c r="B55" s="1031"/>
      <c r="C55" s="1035">
        <v>18550</v>
      </c>
      <c r="D55" s="1032" t="s">
        <v>818</v>
      </c>
      <c r="E55" s="1031"/>
      <c r="F55" s="1003"/>
    </row>
    <row r="56" spans="1:6" s="9" customFormat="1" ht="13">
      <c r="A56" s="1004">
        <v>46081</v>
      </c>
      <c r="B56" s="997"/>
      <c r="C56" s="996"/>
      <c r="D56" s="998" t="s">
        <v>804</v>
      </c>
      <c r="E56" s="997"/>
      <c r="F56" s="1003"/>
    </row>
    <row r="57" spans="1:6" s="9" customFormat="1" ht="13">
      <c r="A57" s="1004"/>
      <c r="B57" s="997"/>
      <c r="C57" s="996"/>
      <c r="D57" s="998"/>
      <c r="E57" s="997"/>
      <c r="F57" s="1003" t="s">
        <v>343</v>
      </c>
    </row>
    <row r="58" spans="1:6" s="9" customFormat="1" ht="13.5" thickBot="1">
      <c r="A58" s="1004"/>
      <c r="B58" s="997"/>
      <c r="C58" s="996"/>
      <c r="D58" s="998"/>
      <c r="E58" s="997"/>
      <c r="F58" s="1066">
        <f>SUM(F56:F57)</f>
        <v>0</v>
      </c>
    </row>
    <row r="59" spans="1:6" s="9" customFormat="1" ht="13.5" thickTop="1">
      <c r="A59" s="1004"/>
      <c r="B59" s="997"/>
      <c r="C59" s="996"/>
      <c r="D59" s="998"/>
      <c r="E59" s="997"/>
      <c r="F59" s="1003"/>
    </row>
    <row r="60" spans="1:6" s="9" customFormat="1" ht="13">
      <c r="A60" s="1004"/>
      <c r="B60" s="997"/>
      <c r="C60" s="996"/>
      <c r="D60" s="998"/>
      <c r="E60" s="997"/>
      <c r="F60" s="1003"/>
    </row>
    <row r="61" spans="1:6" s="9" customFormat="1" ht="13">
      <c r="A61" s="1004"/>
      <c r="B61" s="997"/>
      <c r="C61" s="1035">
        <v>18700</v>
      </c>
      <c r="D61" s="1032" t="s">
        <v>819</v>
      </c>
      <c r="E61" s="997"/>
      <c r="F61" s="1003"/>
    </row>
    <row r="62" spans="1:6" s="9" customFormat="1" ht="13">
      <c r="A62" s="1004">
        <v>46081</v>
      </c>
      <c r="B62" s="997"/>
      <c r="C62" s="996"/>
      <c r="D62" s="998" t="s">
        <v>804</v>
      </c>
      <c r="E62" s="997"/>
      <c r="F62" s="1003"/>
    </row>
    <row r="63" spans="1:6" s="9" customFormat="1" ht="13">
      <c r="A63" s="1004"/>
      <c r="B63" s="997"/>
      <c r="C63" s="996"/>
      <c r="D63" s="998"/>
      <c r="E63" s="997"/>
      <c r="F63" s="1003"/>
    </row>
    <row r="64" spans="1:6" s="9" customFormat="1" ht="13.5" thickBot="1">
      <c r="A64" s="1004"/>
      <c r="B64" s="997"/>
      <c r="C64" s="996"/>
      <c r="D64" s="998"/>
      <c r="E64" s="997"/>
      <c r="F64" s="1066">
        <f>SUM(F62:F63)</f>
        <v>0</v>
      </c>
    </row>
    <row r="65" spans="1:6" s="9" customFormat="1" ht="13.5" thickTop="1">
      <c r="A65" s="1004"/>
      <c r="B65" s="997"/>
      <c r="C65" s="996"/>
      <c r="D65" s="998"/>
      <c r="E65" s="997"/>
      <c r="F65" s="1003"/>
    </row>
    <row r="66" spans="1:6" s="9" customFormat="1" ht="13">
      <c r="A66" s="1004"/>
      <c r="B66" s="997"/>
      <c r="C66" s="996"/>
      <c r="D66" s="998"/>
      <c r="E66" s="997"/>
      <c r="F66" s="1003"/>
    </row>
    <row r="67" spans="1:6" s="9" customFormat="1" ht="13">
      <c r="A67" s="1004"/>
      <c r="B67" s="997"/>
      <c r="C67" s="1035">
        <v>18910</v>
      </c>
      <c r="D67" s="1032" t="s">
        <v>820</v>
      </c>
      <c r="E67" s="997"/>
      <c r="F67" s="1003"/>
    </row>
    <row r="68" spans="1:6" s="9" customFormat="1" ht="13">
      <c r="A68" s="1004">
        <v>46081</v>
      </c>
      <c r="B68" s="997"/>
      <c r="C68" s="996"/>
      <c r="D68" s="998" t="s">
        <v>804</v>
      </c>
      <c r="E68" s="997"/>
      <c r="F68" s="1003"/>
    </row>
    <row r="69" spans="1:6" s="9" customFormat="1" ht="13">
      <c r="A69" s="1004"/>
      <c r="B69" s="997"/>
      <c r="C69" s="996"/>
      <c r="D69" s="998"/>
      <c r="E69" s="997"/>
      <c r="F69" s="1003"/>
    </row>
    <row r="70" spans="1:6" s="9" customFormat="1" ht="13.5" thickBot="1">
      <c r="A70" s="1004"/>
      <c r="B70" s="997"/>
      <c r="C70" s="996"/>
      <c r="D70" s="998"/>
      <c r="E70" s="997"/>
      <c r="F70" s="1066">
        <f>SUM(F68:F69)</f>
        <v>0</v>
      </c>
    </row>
    <row r="71" spans="1:6" s="9" customFormat="1" ht="13.5" thickTop="1">
      <c r="A71" s="1004"/>
      <c r="B71" s="997"/>
      <c r="C71" s="996"/>
      <c r="D71" s="998"/>
      <c r="E71" s="997"/>
      <c r="F71" s="1003"/>
    </row>
    <row r="72" spans="1:6" s="9" customFormat="1" ht="13">
      <c r="A72" s="1004"/>
      <c r="B72" s="997"/>
      <c r="C72" s="996"/>
      <c r="D72" s="998"/>
      <c r="E72" s="997"/>
      <c r="F72" s="1003"/>
    </row>
    <row r="73" spans="1:6" s="9" customFormat="1" ht="13" hidden="1">
      <c r="A73" s="1000"/>
      <c r="B73" s="997"/>
      <c r="C73" s="996"/>
      <c r="D73" s="997"/>
      <c r="E73" s="997"/>
      <c r="F73" s="1003"/>
    </row>
    <row r="74" spans="1:6" s="9" customFormat="1" ht="13" hidden="1">
      <c r="A74" s="1037"/>
      <c r="B74" s="1031"/>
      <c r="C74" s="1035">
        <v>17800</v>
      </c>
      <c r="D74" s="1031" t="s">
        <v>531</v>
      </c>
      <c r="E74" s="1031"/>
      <c r="F74" s="1003"/>
    </row>
    <row r="75" spans="1:6" s="9" customFormat="1" ht="13" hidden="1">
      <c r="A75" s="994"/>
      <c r="B75" s="997"/>
      <c r="C75" s="996"/>
      <c r="D75" s="997"/>
      <c r="E75" s="997"/>
      <c r="F75" s="1003">
        <v>0</v>
      </c>
    </row>
    <row r="76" spans="1:6" s="9" customFormat="1" ht="13" hidden="1">
      <c r="A76" s="994"/>
      <c r="B76" s="997"/>
      <c r="C76" s="996"/>
      <c r="D76" s="997"/>
      <c r="E76" s="997"/>
      <c r="F76" s="1003">
        <v>0</v>
      </c>
    </row>
    <row r="77" spans="1:6" s="9" customFormat="1" ht="13" hidden="1">
      <c r="A77" s="994"/>
      <c r="B77" s="997"/>
      <c r="C77" s="996"/>
      <c r="D77" s="997"/>
      <c r="E77" s="997"/>
      <c r="F77" s="1003">
        <v>0</v>
      </c>
    </row>
    <row r="78" spans="1:6" s="9" customFormat="1" ht="13" hidden="1">
      <c r="A78" s="994"/>
      <c r="B78" s="997"/>
      <c r="C78" s="996"/>
      <c r="D78" s="997"/>
      <c r="E78" s="997"/>
      <c r="F78" s="1003">
        <v>0</v>
      </c>
    </row>
    <row r="79" spans="1:6" s="9" customFormat="1" ht="13" hidden="1">
      <c r="A79" s="994"/>
      <c r="B79" s="997"/>
      <c r="C79" s="996"/>
      <c r="D79" s="997"/>
      <c r="E79" s="997"/>
      <c r="F79" s="1003"/>
    </row>
    <row r="80" spans="1:6" s="9" customFormat="1" ht="13.5" hidden="1" thickBot="1">
      <c r="A80" s="994"/>
      <c r="B80" s="997"/>
      <c r="C80" s="996"/>
      <c r="D80" s="997"/>
      <c r="E80" s="997"/>
      <c r="F80" s="1066">
        <f>SUM(F75:F79)</f>
        <v>0</v>
      </c>
    </row>
    <row r="81" spans="1:6" s="9" customFormat="1" ht="13" hidden="1">
      <c r="A81" s="994"/>
      <c r="B81" s="997"/>
      <c r="C81" s="996"/>
      <c r="D81" s="997"/>
      <c r="E81" s="997"/>
      <c r="F81" s="1003"/>
    </row>
    <row r="82" spans="1:6" s="9" customFormat="1" ht="13" hidden="1">
      <c r="A82" s="994"/>
      <c r="B82" s="997"/>
      <c r="C82" s="996"/>
      <c r="D82" s="997"/>
      <c r="E82" s="997"/>
      <c r="F82" s="1003"/>
    </row>
    <row r="83" spans="1:6" s="9" customFormat="1" ht="13" hidden="1">
      <c r="A83" s="994"/>
      <c r="B83" s="997"/>
      <c r="C83" s="1035">
        <v>17820</v>
      </c>
      <c r="D83" s="1031" t="s">
        <v>673</v>
      </c>
      <c r="E83" s="997"/>
      <c r="F83" s="1003">
        <v>0</v>
      </c>
    </row>
    <row r="84" spans="1:6" s="9" customFormat="1" ht="13" hidden="1">
      <c r="A84" s="994"/>
      <c r="B84" s="997"/>
      <c r="C84" s="996"/>
      <c r="D84" s="997"/>
      <c r="E84" s="997"/>
      <c r="F84" s="999"/>
    </row>
    <row r="85" spans="1:6" s="9" customFormat="1" hidden="1">
      <c r="A85" s="84"/>
      <c r="F85" s="874"/>
    </row>
    <row r="86" spans="1:6" s="9" customFormat="1" ht="13.5" thickBot="1">
      <c r="A86" s="136"/>
      <c r="B86" s="135"/>
      <c r="C86" s="135"/>
      <c r="D86" s="1101"/>
      <c r="E86" s="1101"/>
      <c r="F86" s="1102"/>
    </row>
    <row r="87" spans="1:6" s="9" customFormat="1" ht="13">
      <c r="D87" s="1097"/>
      <c r="E87" s="1097"/>
      <c r="F87" s="1103"/>
    </row>
    <row r="88" spans="1:6" s="9" customFormat="1" ht="13">
      <c r="B88" s="11"/>
      <c r="C88" s="11"/>
      <c r="D88" s="1096"/>
      <c r="E88" s="1097" t="s">
        <v>839</v>
      </c>
      <c r="F88" s="1098" cm="1">
        <f t="array" ref="F88">IFERROR(INDEX(TB!G:G,MATCH(E88,TB!A:A,0),0),0)</f>
        <v>0</v>
      </c>
    </row>
    <row r="89" spans="1:6" s="9" customFormat="1" ht="13">
      <c r="D89" s="1096"/>
      <c r="E89" s="1097" t="s">
        <v>854</v>
      </c>
      <c r="F89" s="1098">
        <f>F88-F14</f>
        <v>0</v>
      </c>
    </row>
    <row r="90" spans="1:6" s="13" customFormat="1" ht="13">
      <c r="A90" s="9"/>
      <c r="B90" s="9"/>
      <c r="C90" s="9"/>
      <c r="D90" s="1097"/>
      <c r="E90" s="1097"/>
      <c r="F90" s="1098"/>
    </row>
    <row r="91" spans="1:6" s="9" customFormat="1" ht="13">
      <c r="A91"/>
      <c r="B91" s="26"/>
      <c r="C91" s="26"/>
      <c r="D91" s="1097"/>
      <c r="E91" s="1099" t="s">
        <v>840</v>
      </c>
      <c r="F91" s="1100" cm="1">
        <f t="array" ref="F91">IFERROR(INDEX(TB!G:G,MATCH(E91,TB!A:A,0),0),0)</f>
        <v>0</v>
      </c>
    </row>
    <row r="92" spans="1:6" s="9" customFormat="1" ht="13">
      <c r="A92"/>
      <c r="B92"/>
      <c r="C92"/>
      <c r="D92" s="1097"/>
      <c r="E92" s="1099" t="s">
        <v>854</v>
      </c>
      <c r="F92" s="1100">
        <f>F91-F20</f>
        <v>0</v>
      </c>
    </row>
    <row r="93" spans="1:6" s="9" customFormat="1" ht="13">
      <c r="A93"/>
      <c r="B93"/>
      <c r="C93"/>
      <c r="D93" s="1097"/>
      <c r="E93" s="1099"/>
      <c r="F93" s="1100"/>
    </row>
    <row r="94" spans="1:6" s="9" customFormat="1" ht="13">
      <c r="A94"/>
      <c r="B94"/>
      <c r="C94"/>
      <c r="D94" s="1097"/>
      <c r="E94" s="1099" t="s">
        <v>841</v>
      </c>
      <c r="F94" s="1100" cm="1">
        <f t="array" ref="F94">IFERROR(INDEX(TB!G:G,MATCH(E94,TB!A:A,0),0),0)</f>
        <v>0</v>
      </c>
    </row>
    <row r="95" spans="1:6" ht="13">
      <c r="D95" s="1097"/>
      <c r="E95" s="1099" t="s">
        <v>854</v>
      </c>
      <c r="F95" s="1100">
        <f>F94-F53</f>
        <v>0</v>
      </c>
    </row>
    <row r="96" spans="1:6" ht="13">
      <c r="D96" s="1099"/>
      <c r="E96" s="1099"/>
      <c r="F96" s="1100"/>
    </row>
    <row r="97" spans="4:6" ht="13">
      <c r="D97" s="1099"/>
      <c r="E97" s="1099" t="s">
        <v>842</v>
      </c>
      <c r="F97" s="1100" cm="1">
        <f t="array" ref="F97">IFERROR(INDEX(TB!G:G,MATCH(E97,TB!A:A,0),0),0)</f>
        <v>0</v>
      </c>
    </row>
    <row r="98" spans="4:6" ht="13">
      <c r="D98" s="1099"/>
      <c r="E98" s="1099" t="s">
        <v>854</v>
      </c>
      <c r="F98" s="1100">
        <f>F97-F58</f>
        <v>0</v>
      </c>
    </row>
    <row r="99" spans="4:6" ht="13">
      <c r="D99" s="1099"/>
      <c r="E99" s="1099"/>
      <c r="F99" s="1100"/>
    </row>
    <row r="100" spans="4:6" ht="13">
      <c r="D100" s="1099"/>
      <c r="E100" s="1099" t="s">
        <v>843</v>
      </c>
      <c r="F100" s="1100" cm="1">
        <f t="array" ref="F100">IFERROR(INDEX(TB!G:G,MATCH(E100,TB!A:A,0),0),0)</f>
        <v>0</v>
      </c>
    </row>
    <row r="101" spans="4:6" ht="13">
      <c r="D101" s="1099"/>
      <c r="E101" s="1099" t="s">
        <v>854</v>
      </c>
      <c r="F101" s="1100">
        <f>F100-F64</f>
        <v>0</v>
      </c>
    </row>
    <row r="102" spans="4:6" ht="13">
      <c r="D102" s="1099"/>
      <c r="E102" s="1099"/>
      <c r="F102" s="1100"/>
    </row>
    <row r="103" spans="4:6" ht="13">
      <c r="D103" s="1099"/>
      <c r="E103" s="1099" t="s">
        <v>844</v>
      </c>
      <c r="F103" s="1100" cm="1">
        <f t="array" ref="F103">IFERROR(INDEX(TB!G:G,MATCH(E103,TB!A:A,0),0),0)</f>
        <v>0</v>
      </c>
    </row>
    <row r="104" spans="4:6" ht="13">
      <c r="D104" s="1099"/>
      <c r="E104" s="1099" t="s">
        <v>854</v>
      </c>
      <c r="F104" s="1100">
        <f>F103-F70</f>
        <v>0</v>
      </c>
    </row>
    <row r="105" spans="4:6" ht="13">
      <c r="D105" s="1099"/>
      <c r="E105" s="1099"/>
      <c r="F105" s="1100"/>
    </row>
  </sheetData>
  <mergeCells count="3">
    <mergeCell ref="A1:F1"/>
    <mergeCell ref="A2:F2"/>
    <mergeCell ref="A3:F3"/>
  </mergeCells>
  <pageMargins left="0.75" right="0.75" top="1" bottom="1" header="0.5" footer="0.5"/>
  <pageSetup scale="68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F8F9-6176-467A-9A78-A110402EF483}">
  <dimension ref="A1:E18"/>
  <sheetViews>
    <sheetView workbookViewId="0">
      <selection activeCell="E11" sqref="E11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22.7265625" customWidth="1"/>
  </cols>
  <sheetData>
    <row r="1" spans="1:5" s="9" customFormat="1" ht="18">
      <c r="A1" s="1194" t="str">
        <f>+'Review Comments'!B11</f>
        <v>ABI PROPERTIES</v>
      </c>
      <c r="B1" s="1195"/>
      <c r="C1" s="1195"/>
      <c r="D1" s="1195"/>
      <c r="E1" s="1196"/>
    </row>
    <row r="2" spans="1:5" s="9" customFormat="1" ht="18">
      <c r="A2" s="1197" t="s">
        <v>821</v>
      </c>
      <c r="B2" s="1198"/>
      <c r="C2" s="1198"/>
      <c r="D2" s="1198"/>
      <c r="E2" s="1199"/>
    </row>
    <row r="3" spans="1:5" s="9" customFormat="1" ht="18.5" thickBot="1">
      <c r="A3" s="1200" t="str">
        <f>'Review Comments'!B13</f>
        <v>FOR THE MONTH ENDED 08/31/26</v>
      </c>
      <c r="B3" s="1201"/>
      <c r="C3" s="1201"/>
      <c r="D3" s="1201"/>
      <c r="E3" s="1202"/>
    </row>
    <row r="4" spans="1:5" s="9" customFormat="1"/>
    <row r="5" spans="1:5" s="9" customFormat="1"/>
    <row r="6" spans="1:5" s="9" customFormat="1"/>
    <row r="7" spans="1:5" s="9" customFormat="1" ht="13" thickBot="1"/>
    <row r="8" spans="1:5" s="9" customFormat="1" ht="13">
      <c r="A8" s="338"/>
      <c r="B8" s="339"/>
      <c r="C8" s="339"/>
      <c r="D8" s="339"/>
      <c r="E8" s="341"/>
    </row>
    <row r="9" spans="1:5" s="9" customFormat="1" ht="26.5" thickBot="1">
      <c r="A9" s="315" t="s">
        <v>327</v>
      </c>
      <c r="B9" s="316" t="s">
        <v>340</v>
      </c>
      <c r="C9" s="316" t="s">
        <v>328</v>
      </c>
      <c r="D9" s="316"/>
      <c r="E9" s="357" t="s">
        <v>341</v>
      </c>
    </row>
    <row r="10" spans="1:5" s="9" customFormat="1">
      <c r="A10" s="991"/>
      <c r="B10" s="992"/>
      <c r="C10" s="992"/>
      <c r="D10" s="992"/>
      <c r="E10" s="993"/>
    </row>
    <row r="11" spans="1:5" s="9" customFormat="1" ht="13">
      <c r="A11" s="1004">
        <v>46081</v>
      </c>
      <c r="B11" s="997"/>
      <c r="C11" s="998" t="s">
        <v>804</v>
      </c>
      <c r="D11" s="997"/>
      <c r="E11" s="999"/>
    </row>
    <row r="12" spans="1:5" s="9" customFormat="1" ht="13">
      <c r="A12" s="1004"/>
      <c r="B12" s="997"/>
      <c r="C12" s="997"/>
      <c r="D12" s="997"/>
      <c r="E12" s="1006"/>
    </row>
    <row r="13" spans="1:5" s="9" customFormat="1" ht="13">
      <c r="A13" s="1000"/>
      <c r="B13" s="997"/>
      <c r="C13" s="997"/>
      <c r="D13" s="997"/>
      <c r="E13" s="1007"/>
    </row>
    <row r="14" spans="1:5" s="13" customFormat="1" ht="13.5" thickBot="1">
      <c r="A14" s="1008"/>
      <c r="B14" s="1009"/>
      <c r="C14" s="1009" t="s">
        <v>331</v>
      </c>
      <c r="D14" s="1009"/>
      <c r="E14" s="1011">
        <f>SUM(E11:E13)</f>
        <v>0</v>
      </c>
    </row>
    <row r="17" spans="1:5" ht="13">
      <c r="A17" s="1099"/>
      <c r="B17" s="1099"/>
      <c r="C17" s="1099" t="s">
        <v>845</v>
      </c>
      <c r="D17" s="1099"/>
      <c r="E17" s="1100" cm="1">
        <f t="array" ref="E17">IFERROR(INDEX(TB!G:G,MATCH(C17,TB!A:A,0),0),0)</f>
        <v>0</v>
      </c>
    </row>
    <row r="18" spans="1:5" ht="13">
      <c r="A18" s="1099"/>
      <c r="B18" s="1099"/>
      <c r="C18" s="1099" t="s">
        <v>855</v>
      </c>
      <c r="D18" s="1099"/>
      <c r="E18" s="1104">
        <f>E17-E14</f>
        <v>0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8ECB-9423-4F9E-8E5C-75F559E0F05E}">
  <dimension ref="A1:E18"/>
  <sheetViews>
    <sheetView workbookViewId="0">
      <selection activeCell="C11" sqref="C11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22.7265625" customWidth="1"/>
  </cols>
  <sheetData>
    <row r="1" spans="1:5" s="9" customFormat="1" ht="18">
      <c r="A1" s="1194" t="str">
        <f>+'Review Comments'!B11</f>
        <v>ABI PROPERTIES</v>
      </c>
      <c r="B1" s="1195"/>
      <c r="C1" s="1195"/>
      <c r="D1" s="1195"/>
      <c r="E1" s="1196"/>
    </row>
    <row r="2" spans="1:5" s="9" customFormat="1" ht="18">
      <c r="A2" s="1197" t="s">
        <v>822</v>
      </c>
      <c r="B2" s="1198"/>
      <c r="C2" s="1198"/>
      <c r="D2" s="1198"/>
      <c r="E2" s="1199"/>
    </row>
    <row r="3" spans="1:5" s="9" customFormat="1" ht="18.5" thickBot="1">
      <c r="A3" s="1200" t="str">
        <f>'Review Comments'!B13</f>
        <v>FOR THE MONTH ENDED 08/31/26</v>
      </c>
      <c r="B3" s="1201"/>
      <c r="C3" s="1201"/>
      <c r="D3" s="1201"/>
      <c r="E3" s="1202"/>
    </row>
    <row r="4" spans="1:5" s="9" customFormat="1"/>
    <row r="5" spans="1:5" s="9" customFormat="1"/>
    <row r="6" spans="1:5" s="9" customFormat="1"/>
    <row r="7" spans="1:5" s="9" customFormat="1" ht="13" thickBot="1"/>
    <row r="8" spans="1:5" s="9" customFormat="1" ht="13">
      <c r="A8" s="338"/>
      <c r="B8" s="339"/>
      <c r="C8" s="339"/>
      <c r="D8" s="339"/>
      <c r="E8" s="341"/>
    </row>
    <row r="9" spans="1:5" s="9" customFormat="1" ht="26.5" thickBot="1">
      <c r="A9" s="315" t="s">
        <v>327</v>
      </c>
      <c r="B9" s="316" t="s">
        <v>340</v>
      </c>
      <c r="C9" s="316" t="s">
        <v>328</v>
      </c>
      <c r="D9" s="316"/>
      <c r="E9" s="357" t="s">
        <v>341</v>
      </c>
    </row>
    <row r="10" spans="1:5" s="9" customFormat="1">
      <c r="A10" s="991"/>
      <c r="B10" s="992"/>
      <c r="C10" s="992"/>
      <c r="D10" s="992"/>
      <c r="E10" s="993"/>
    </row>
    <row r="11" spans="1:5" s="9" customFormat="1" ht="13">
      <c r="A11" s="1004">
        <v>46081</v>
      </c>
      <c r="B11" s="997"/>
      <c r="C11" s="998"/>
      <c r="D11" s="997"/>
      <c r="E11" s="999"/>
    </row>
    <row r="12" spans="1:5" s="9" customFormat="1" ht="13">
      <c r="A12" s="1004"/>
      <c r="B12" s="997"/>
      <c r="C12" s="997"/>
      <c r="D12" s="997"/>
      <c r="E12" s="1006"/>
    </row>
    <row r="13" spans="1:5" s="9" customFormat="1" ht="13">
      <c r="A13" s="1000"/>
      <c r="B13" s="997"/>
      <c r="C13" s="997"/>
      <c r="D13" s="997"/>
      <c r="E13" s="1007"/>
    </row>
    <row r="14" spans="1:5" s="13" customFormat="1" ht="13.5" thickBot="1">
      <c r="A14" s="1008"/>
      <c r="B14" s="1009"/>
      <c r="C14" s="1009" t="s">
        <v>331</v>
      </c>
      <c r="D14" s="1009"/>
      <c r="E14" s="1011">
        <f>SUM(E11:E13)</f>
        <v>0</v>
      </c>
    </row>
    <row r="16" spans="1:5" ht="13">
      <c r="A16" s="1099"/>
      <c r="B16" s="1099"/>
      <c r="C16" s="1099"/>
      <c r="D16" s="1099"/>
      <c r="E16" s="1099"/>
    </row>
    <row r="17" spans="1:5" ht="13">
      <c r="A17" s="1099"/>
      <c r="B17" s="1099"/>
      <c r="C17" s="1099" t="s">
        <v>846</v>
      </c>
      <c r="D17" s="1099"/>
      <c r="E17" s="1100" cm="1">
        <f t="array" ref="E17">IFERROR(INDEX(TB!G:G,MATCH(C17,TB!A:A,0),0),0)</f>
        <v>0</v>
      </c>
    </row>
    <row r="18" spans="1:5" ht="13">
      <c r="A18" s="1099"/>
      <c r="B18" s="1099"/>
      <c r="C18" s="1099" t="s">
        <v>855</v>
      </c>
      <c r="D18" s="1099"/>
      <c r="E18" s="1104">
        <f>E17-E14</f>
        <v>0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5842-C2A9-40C8-8352-BE4E953E088E}">
  <dimension ref="A1:F19"/>
  <sheetViews>
    <sheetView workbookViewId="0">
      <selection activeCell="F12" sqref="A12:XFD12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985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>
        <v>46181</v>
      </c>
      <c r="B11" s="997"/>
      <c r="C11" s="998" t="s">
        <v>979</v>
      </c>
      <c r="D11" s="997"/>
      <c r="E11" s="1005"/>
      <c r="F11" s="999">
        <v>13521</v>
      </c>
    </row>
    <row r="12" spans="1:6" s="9" customFormat="1" ht="13">
      <c r="A12" s="1004"/>
      <c r="B12" s="997"/>
      <c r="C12" s="998"/>
      <c r="D12" s="997"/>
      <c r="E12" s="1005"/>
      <c r="F12" s="999"/>
    </row>
    <row r="13" spans="1:6" s="9" customFormat="1" ht="13">
      <c r="A13" s="1004"/>
      <c r="B13" s="997"/>
      <c r="C13" s="998"/>
      <c r="D13" s="997"/>
      <c r="E13" s="1005"/>
      <c r="F13" s="999"/>
    </row>
    <row r="14" spans="1:6" s="9" customFormat="1">
      <c r="A14" s="84"/>
      <c r="E14" s="154"/>
      <c r="F14" s="107"/>
    </row>
    <row r="15" spans="1:6" s="13" customFormat="1" ht="13.5" thickBot="1">
      <c r="A15" s="136"/>
      <c r="B15" s="135"/>
      <c r="C15" s="135" t="s">
        <v>331</v>
      </c>
      <c r="D15" s="135"/>
      <c r="E15" s="965"/>
      <c r="F15" s="1011">
        <f>SUM(F11:F14)</f>
        <v>13521</v>
      </c>
    </row>
    <row r="18" spans="3:6" ht="13">
      <c r="C18" s="1105" t="s">
        <v>969</v>
      </c>
      <c r="D18" s="1099"/>
      <c r="E18" s="1099"/>
      <c r="F18" s="1100" cm="1">
        <f t="array" ref="F18">IFERROR(INDEX(TB!G:G,MATCH(C18,TB!A:A,0),0),0)</f>
        <v>13521</v>
      </c>
    </row>
    <row r="19" spans="3:6" ht="13">
      <c r="C19" s="1105" t="s">
        <v>854</v>
      </c>
      <c r="D19" s="1099"/>
      <c r="E19" s="1099"/>
      <c r="F19" s="1104">
        <f>F18-F15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B422-C5F7-43B7-B592-A00D943FA5A6}">
  <dimension ref="A1:F24"/>
  <sheetViews>
    <sheetView topLeftCell="A3" workbookViewId="0">
      <selection activeCell="C19" sqref="C19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567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9" customFormat="1" ht="13">
      <c r="A12" s="1004" t="s">
        <v>981</v>
      </c>
      <c r="B12" s="997"/>
      <c r="C12" s="998" t="s">
        <v>980</v>
      </c>
      <c r="D12" s="997"/>
      <c r="E12" s="1005"/>
      <c r="F12" s="999">
        <v>-70080.08</v>
      </c>
    </row>
    <row r="13" spans="1:6" s="9" customFormat="1" ht="13">
      <c r="A13" s="1004" t="s">
        <v>982</v>
      </c>
      <c r="B13" s="997"/>
      <c r="C13" s="998" t="s">
        <v>983</v>
      </c>
      <c r="D13" s="997"/>
      <c r="E13" s="1005"/>
      <c r="F13" s="999">
        <v>-70080.08</v>
      </c>
    </row>
    <row r="14" spans="1:6" s="9" customFormat="1" ht="13">
      <c r="A14" s="1004" t="s">
        <v>981</v>
      </c>
      <c r="B14" s="997"/>
      <c r="C14" s="998" t="s">
        <v>984</v>
      </c>
      <c r="D14" s="997"/>
      <c r="E14" s="1005"/>
      <c r="F14" s="999">
        <v>70080.08</v>
      </c>
    </row>
    <row r="15" spans="1:6" s="9" customFormat="1" ht="13">
      <c r="A15" s="1004"/>
      <c r="B15" s="997"/>
      <c r="C15" s="998"/>
      <c r="D15" s="997"/>
      <c r="E15" s="1005"/>
      <c r="F15" s="999"/>
    </row>
    <row r="16" spans="1:6" s="9" customFormat="1" ht="13">
      <c r="A16" s="1004"/>
      <c r="B16" s="997"/>
      <c r="C16" s="998"/>
      <c r="D16" s="997"/>
      <c r="E16" s="1005"/>
      <c r="F16" s="999"/>
    </row>
    <row r="17" spans="1:6" s="9" customFormat="1" ht="13">
      <c r="A17" s="1004"/>
      <c r="B17" s="997"/>
      <c r="C17" s="998"/>
      <c r="D17" s="997"/>
      <c r="E17" s="1005"/>
      <c r="F17" s="999"/>
    </row>
    <row r="18" spans="1:6" s="9" customFormat="1" ht="13">
      <c r="A18" s="1004"/>
      <c r="B18" s="997"/>
      <c r="C18" s="998"/>
      <c r="D18" s="997"/>
      <c r="E18" s="1005"/>
      <c r="F18" s="999"/>
    </row>
    <row r="19" spans="1:6" s="9" customFormat="1" ht="13">
      <c r="A19" s="1004"/>
      <c r="B19" s="997"/>
      <c r="C19" s="997"/>
      <c r="D19" s="997"/>
      <c r="E19" s="1005"/>
      <c r="F19" s="1006"/>
    </row>
    <row r="20" spans="1:6" s="9" customFormat="1" ht="13">
      <c r="A20" s="1000"/>
      <c r="B20" s="997"/>
      <c r="C20" s="997"/>
      <c r="D20" s="997"/>
      <c r="E20" s="1005"/>
      <c r="F20" s="1007"/>
    </row>
    <row r="21" spans="1:6" s="13" customFormat="1" ht="13.5" thickBot="1">
      <c r="A21" s="1008"/>
      <c r="B21" s="1009"/>
      <c r="C21" s="1009" t="s">
        <v>331</v>
      </c>
      <c r="D21" s="1009"/>
      <c r="E21" s="1010"/>
      <c r="F21" s="1011">
        <f>SUM(F11:F20)</f>
        <v>-70080.08</v>
      </c>
    </row>
    <row r="23" spans="1:6" ht="13">
      <c r="C23" s="1105" t="s">
        <v>847</v>
      </c>
      <c r="D23" s="1099"/>
      <c r="E23" s="1099"/>
      <c r="F23" s="1100" cm="1">
        <f t="array" ref="F23">IFERROR(INDEX(TB!G:G,MATCH(C23,TB!A:A,0),0),0)</f>
        <v>-70080.08</v>
      </c>
    </row>
    <row r="24" spans="1:6" ht="13">
      <c r="C24" s="1105" t="s">
        <v>854</v>
      </c>
      <c r="D24" s="1099"/>
      <c r="E24" s="1099"/>
      <c r="F24" s="1104">
        <f>F23-F21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68AB-373E-4B31-B0A7-CF16FF526E0E}">
  <dimension ref="A1:F18"/>
  <sheetViews>
    <sheetView workbookViewId="0">
      <selection activeCell="D11" sqref="A11:XFD11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943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9" customFormat="1" ht="13">
      <c r="A12" s="1004"/>
      <c r="B12" s="997"/>
      <c r="C12" s="998"/>
      <c r="D12" s="997"/>
      <c r="E12" s="1005"/>
      <c r="F12" s="999"/>
    </row>
    <row r="13" spans="1:6" s="9" customFormat="1" ht="13">
      <c r="A13" s="1000"/>
      <c r="B13" s="997"/>
      <c r="C13" s="997"/>
      <c r="D13" s="997"/>
      <c r="E13" s="1005"/>
      <c r="F13" s="1007"/>
    </row>
    <row r="14" spans="1:6" s="13" customFormat="1" ht="13.5" thickBot="1">
      <c r="A14" s="1008"/>
      <c r="B14" s="1009"/>
      <c r="C14" s="1009" t="s">
        <v>331</v>
      </c>
      <c r="D14" s="1009"/>
      <c r="E14" s="1010"/>
      <c r="F14" s="1011">
        <f>SUM(F11:F13)</f>
        <v>0</v>
      </c>
    </row>
    <row r="17" spans="3:6" ht="13">
      <c r="C17" s="1105" t="s">
        <v>921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F17-F14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876E-E9DF-4C68-AF1A-4AD98FA72F13}">
  <dimension ref="A1:J14"/>
  <sheetViews>
    <sheetView workbookViewId="0">
      <selection activeCell="A11" sqref="A11:E11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22.7265625" customWidth="1"/>
    <col min="10" max="10" width="14" style="27" bestFit="1" customWidth="1"/>
  </cols>
  <sheetData>
    <row r="1" spans="1:5" s="9" customFormat="1" ht="18">
      <c r="A1" s="1194" t="str">
        <f>+'Review Comments'!B11</f>
        <v>ABI PROPERTIES</v>
      </c>
      <c r="B1" s="1195"/>
      <c r="C1" s="1195"/>
      <c r="D1" s="1195"/>
      <c r="E1" s="1196"/>
    </row>
    <row r="2" spans="1:5" s="9" customFormat="1" ht="18">
      <c r="A2" s="1197" t="s">
        <v>502</v>
      </c>
      <c r="B2" s="1198"/>
      <c r="C2" s="1198"/>
      <c r="D2" s="1198"/>
      <c r="E2" s="1199"/>
    </row>
    <row r="3" spans="1:5" s="9" customFormat="1" ht="18.5" thickBot="1">
      <c r="A3" s="1200" t="str">
        <f>'Review Comments'!B13</f>
        <v>FOR THE MONTH ENDED 08/31/26</v>
      </c>
      <c r="B3" s="1201"/>
      <c r="C3" s="1201"/>
      <c r="D3" s="1201"/>
      <c r="E3" s="1202"/>
    </row>
    <row r="4" spans="1:5" s="9" customFormat="1"/>
    <row r="5" spans="1:5" s="9" customFormat="1"/>
    <row r="6" spans="1:5" s="9" customFormat="1"/>
    <row r="7" spans="1:5" s="9" customFormat="1" ht="13" thickBot="1"/>
    <row r="8" spans="1:5" s="9" customFormat="1" ht="13">
      <c r="A8" s="338"/>
      <c r="B8" s="339"/>
      <c r="C8" s="339"/>
      <c r="D8" s="339"/>
      <c r="E8" s="341"/>
    </row>
    <row r="9" spans="1:5" s="9" customFormat="1" ht="26.5" thickBot="1">
      <c r="A9" s="315" t="s">
        <v>327</v>
      </c>
      <c r="B9" s="316" t="s">
        <v>340</v>
      </c>
      <c r="C9" s="316" t="s">
        <v>328</v>
      </c>
      <c r="D9" s="316"/>
      <c r="E9" s="357" t="s">
        <v>341</v>
      </c>
    </row>
    <row r="10" spans="1:5" s="9" customFormat="1">
      <c r="A10" s="991"/>
      <c r="B10" s="992"/>
      <c r="C10" s="992"/>
      <c r="D10" s="992"/>
      <c r="E10" s="993"/>
    </row>
    <row r="11" spans="1:5" s="9" customFormat="1" ht="13">
      <c r="A11" s="1004"/>
      <c r="B11" s="997"/>
      <c r="C11" s="998"/>
      <c r="D11" s="997"/>
      <c r="E11" s="999"/>
    </row>
    <row r="12" spans="1:5" s="9" customFormat="1" ht="13">
      <c r="A12" s="1004"/>
      <c r="B12" s="997"/>
      <c r="C12" s="997"/>
      <c r="D12" s="997"/>
      <c r="E12" s="1006"/>
    </row>
    <row r="13" spans="1:5" s="9" customFormat="1" ht="13">
      <c r="A13" s="1000"/>
      <c r="B13" s="997"/>
      <c r="C13" s="997"/>
      <c r="D13" s="997"/>
      <c r="E13" s="1007"/>
    </row>
    <row r="14" spans="1:5" s="13" customFormat="1" ht="13.5" thickBot="1">
      <c r="A14" s="1008"/>
      <c r="B14" s="1009"/>
      <c r="C14" s="1009" t="s">
        <v>331</v>
      </c>
      <c r="D14" s="1009"/>
      <c r="E14" s="1011">
        <f>SUM(E11:E13)</f>
        <v>0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8DB1-E2AF-4061-89FE-A5BB5E1B62A4}">
  <dimension ref="A1:E18"/>
  <sheetViews>
    <sheetView workbookViewId="0">
      <selection activeCell="E12" sqref="A11:XFD12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22.7265625" customWidth="1"/>
  </cols>
  <sheetData>
    <row r="1" spans="1:5" s="9" customFormat="1" ht="18">
      <c r="A1" s="1194" t="str">
        <f>+'Review Comments'!B11</f>
        <v>ABI PROPERTIES</v>
      </c>
      <c r="B1" s="1195"/>
      <c r="C1" s="1195"/>
      <c r="D1" s="1195"/>
      <c r="E1" s="1196"/>
    </row>
    <row r="2" spans="1:5" s="9" customFormat="1" ht="18">
      <c r="A2" s="1197" t="s">
        <v>807</v>
      </c>
      <c r="B2" s="1198"/>
      <c r="C2" s="1198"/>
      <c r="D2" s="1198"/>
      <c r="E2" s="1199"/>
    </row>
    <row r="3" spans="1:5" s="9" customFormat="1" ht="18.5" thickBot="1">
      <c r="A3" s="1200" t="str">
        <f>'Review Comments'!B13</f>
        <v>FOR THE MONTH ENDED 08/31/26</v>
      </c>
      <c r="B3" s="1201"/>
      <c r="C3" s="1201"/>
      <c r="D3" s="1201"/>
      <c r="E3" s="1202"/>
    </row>
    <row r="4" spans="1:5" s="9" customFormat="1"/>
    <row r="5" spans="1:5" s="9" customFormat="1"/>
    <row r="6" spans="1:5" s="9" customFormat="1"/>
    <row r="7" spans="1:5" s="9" customFormat="1" ht="13" thickBot="1"/>
    <row r="8" spans="1:5" s="9" customFormat="1" ht="13">
      <c r="A8" s="338"/>
      <c r="B8" s="339"/>
      <c r="C8" s="339"/>
      <c r="D8" s="339"/>
      <c r="E8" s="341"/>
    </row>
    <row r="9" spans="1:5" s="9" customFormat="1" ht="26.5" thickBot="1">
      <c r="A9" s="315" t="s">
        <v>327</v>
      </c>
      <c r="B9" s="316" t="s">
        <v>340</v>
      </c>
      <c r="C9" s="316" t="s">
        <v>328</v>
      </c>
      <c r="D9" s="316"/>
      <c r="E9" s="357" t="s">
        <v>341</v>
      </c>
    </row>
    <row r="10" spans="1:5" s="9" customFormat="1">
      <c r="A10" s="991"/>
      <c r="B10" s="992"/>
      <c r="C10" s="992"/>
      <c r="D10" s="992"/>
      <c r="E10" s="993"/>
    </row>
    <row r="11" spans="1:5" s="9" customFormat="1" ht="13">
      <c r="A11" s="1004"/>
      <c r="B11" s="997"/>
      <c r="C11" s="997"/>
      <c r="D11" s="997"/>
      <c r="E11" s="1006"/>
    </row>
    <row r="12" spans="1:5" s="9" customFormat="1" ht="13">
      <c r="A12" s="1000"/>
      <c r="B12" s="997"/>
      <c r="C12" s="997"/>
      <c r="D12" s="997"/>
      <c r="E12" s="1007"/>
    </row>
    <row r="13" spans="1:5" s="13" customFormat="1" ht="13.5" thickBot="1">
      <c r="A13" s="1008"/>
      <c r="B13" s="1009"/>
      <c r="C13" s="1009" t="s">
        <v>331</v>
      </c>
      <c r="D13" s="1009"/>
      <c r="E13" s="1011">
        <f>SUM(E11:E12)</f>
        <v>0</v>
      </c>
    </row>
    <row r="16" spans="1:5" ht="13">
      <c r="A16" s="1099"/>
      <c r="B16" s="1099"/>
      <c r="C16" s="1099" t="s">
        <v>848</v>
      </c>
      <c r="D16" s="1099"/>
      <c r="E16" s="1100" cm="1">
        <f t="array" ref="E16">IFERROR(INDEX(TB!G:G,MATCH(C16,TB!A:A,0),0),0)</f>
        <v>0</v>
      </c>
    </row>
    <row r="17" spans="1:5" ht="13">
      <c r="A17" s="1099"/>
      <c r="B17" s="1099"/>
      <c r="C17" s="1099" t="s">
        <v>854</v>
      </c>
      <c r="D17" s="1099"/>
      <c r="E17" s="1104">
        <f>E16-E13</f>
        <v>0</v>
      </c>
    </row>
    <row r="18" spans="1:5" ht="13">
      <c r="A18" s="1099"/>
      <c r="B18" s="1099"/>
      <c r="C18" s="1099"/>
      <c r="D18" s="1099"/>
      <c r="E18" s="1099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5"/>
  <dimension ref="A1:F16"/>
  <sheetViews>
    <sheetView workbookViewId="0">
      <selection activeCell="F11" sqref="A11:XFD11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944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7"/>
      <c r="D11" s="997"/>
      <c r="E11" s="1005"/>
      <c r="F11" s="1006"/>
    </row>
    <row r="12" spans="1:6" s="9" customFormat="1" ht="13">
      <c r="A12" s="1000"/>
      <c r="B12" s="997"/>
      <c r="C12" s="997"/>
      <c r="D12" s="997"/>
      <c r="E12" s="1005"/>
      <c r="F12" s="1007"/>
    </row>
    <row r="13" spans="1:6" s="13" customFormat="1" ht="13.5" thickBot="1">
      <c r="A13" s="1008"/>
      <c r="B13" s="1009"/>
      <c r="C13" s="1009" t="s">
        <v>331</v>
      </c>
      <c r="D13" s="1009"/>
      <c r="E13" s="1010"/>
      <c r="F13" s="1011">
        <f>SUM(F11:F11)</f>
        <v>0</v>
      </c>
    </row>
    <row r="15" spans="1:6" ht="13">
      <c r="C15" s="1105" t="s">
        <v>922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F15-F13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0FD8-4B5A-4EBC-BFCE-29D3783BC771}">
  <dimension ref="A1:F20"/>
  <sheetViews>
    <sheetView workbookViewId="0">
      <selection activeCell="H13" sqref="H13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808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 t="s">
        <v>1027</v>
      </c>
      <c r="B11" s="997"/>
      <c r="C11" s="998" t="s">
        <v>1026</v>
      </c>
      <c r="D11" s="997"/>
      <c r="E11" s="1005"/>
      <c r="F11" s="999">
        <v>200000</v>
      </c>
    </row>
    <row r="12" spans="1:6" s="9" customFormat="1" ht="13">
      <c r="A12" s="1004"/>
      <c r="B12" s="997"/>
      <c r="C12" s="998"/>
      <c r="D12" s="997"/>
      <c r="E12" s="1005"/>
      <c r="F12" s="999"/>
    </row>
    <row r="13" spans="1:6" s="9" customFormat="1" ht="13">
      <c r="A13" s="1004"/>
      <c r="B13" s="997"/>
      <c r="C13" s="998"/>
      <c r="D13" s="997"/>
      <c r="E13" s="1005"/>
      <c r="F13" s="999"/>
    </row>
    <row r="14" spans="1:6" s="13" customFormat="1" ht="13">
      <c r="A14" s="1015"/>
      <c r="C14" s="998"/>
      <c r="E14" s="1018"/>
      <c r="F14" s="1016"/>
    </row>
    <row r="15" spans="1:6" s="9" customFormat="1">
      <c r="A15" s="84"/>
      <c r="E15" s="154"/>
      <c r="F15" s="107"/>
    </row>
    <row r="16" spans="1:6" s="13" customFormat="1" ht="13.5" thickBot="1">
      <c r="A16" s="136"/>
      <c r="B16" s="135"/>
      <c r="C16" s="135" t="s">
        <v>331</v>
      </c>
      <c r="D16" s="135"/>
      <c r="E16" s="965"/>
      <c r="F16" s="990">
        <f>SUM(F11:F15)</f>
        <v>200000</v>
      </c>
    </row>
    <row r="19" spans="3:6" ht="13">
      <c r="C19" s="1105" t="s">
        <v>849</v>
      </c>
      <c r="D19" s="1099"/>
      <c r="E19" s="1099"/>
      <c r="F19" s="1100" cm="1">
        <f t="array" ref="F19">IFERROR(INDEX(TB!G:G,MATCH(C19,TB!A:A,0),0),0)</f>
        <v>200000</v>
      </c>
    </row>
    <row r="20" spans="3:6" ht="13">
      <c r="C20" s="1105" t="s">
        <v>854</v>
      </c>
      <c r="D20" s="1099"/>
      <c r="E20" s="1099"/>
      <c r="F20" s="1104">
        <f>F19-F16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6AAF-3068-4099-9F73-76386BB071AA}">
  <dimension ref="A1:F18"/>
  <sheetViews>
    <sheetView workbookViewId="0">
      <selection activeCell="A11" sqref="A11:XFD15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952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13" customFormat="1" ht="13">
      <c r="A12" s="1015"/>
      <c r="C12" s="998"/>
      <c r="E12" s="1018"/>
      <c r="F12" s="1016"/>
    </row>
    <row r="13" spans="1:6" s="9" customFormat="1">
      <c r="A13" s="84"/>
      <c r="E13" s="154"/>
      <c r="F13" s="107"/>
    </row>
    <row r="14" spans="1:6" s="13" customFormat="1" ht="13.5" thickBot="1">
      <c r="A14" s="136"/>
      <c r="B14" s="135"/>
      <c r="C14" s="135" t="s">
        <v>331</v>
      </c>
      <c r="D14" s="135"/>
      <c r="E14" s="965"/>
      <c r="F14" s="990">
        <f>SUM(F11:F13)</f>
        <v>0</v>
      </c>
    </row>
    <row r="17" spans="3:6" ht="13">
      <c r="C17" s="1105" t="s">
        <v>893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F17-F14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B179-5646-400A-9F72-99F172CC8EBA}">
  <dimension ref="A1:F17"/>
  <sheetViews>
    <sheetView workbookViewId="0">
      <selection activeCell="E11" sqref="A11:XFD12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953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13" customFormat="1" ht="13">
      <c r="A11" s="1015"/>
      <c r="C11" s="998"/>
      <c r="E11" s="1018"/>
      <c r="F11" s="1016"/>
    </row>
    <row r="12" spans="1:6" s="9" customFormat="1">
      <c r="A12" s="84"/>
      <c r="E12" s="154"/>
      <c r="F12" s="107"/>
    </row>
    <row r="13" spans="1:6" s="13" customFormat="1" ht="13.5" thickBot="1">
      <c r="A13" s="136"/>
      <c r="B13" s="135"/>
      <c r="C13" s="135" t="s">
        <v>331</v>
      </c>
      <c r="D13" s="135"/>
      <c r="E13" s="965"/>
      <c r="F13" s="990">
        <f>SUM(F11:F12)</f>
        <v>0</v>
      </c>
    </row>
    <row r="16" spans="1:6" ht="13">
      <c r="C16" s="1105" t="s">
        <v>894</v>
      </c>
      <c r="D16" s="1099"/>
      <c r="E16" s="1099"/>
      <c r="F16" s="1100" cm="1">
        <f t="array" ref="F16">IFERROR(INDEX(TB!G:G,MATCH(C16,TB!A:A,0),0),0)</f>
        <v>0</v>
      </c>
    </row>
    <row r="17" spans="3:6" ht="13">
      <c r="C17" s="1105" t="s">
        <v>854</v>
      </c>
      <c r="D17" s="1099"/>
      <c r="E17" s="1099"/>
      <c r="F17" s="1104">
        <f>F16-F13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FF91-C493-43CE-8171-F527F750FC30}">
  <dimension ref="A1:F18"/>
  <sheetViews>
    <sheetView workbookViewId="0">
      <selection activeCell="A11" sqref="A11:XFD11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954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13" customFormat="1" ht="13">
      <c r="A12" s="1015"/>
      <c r="C12" s="998"/>
      <c r="E12" s="1018"/>
      <c r="F12" s="1016"/>
    </row>
    <row r="13" spans="1:6" s="9" customFormat="1">
      <c r="A13" s="84"/>
      <c r="E13" s="154"/>
      <c r="F13" s="107"/>
    </row>
    <row r="14" spans="1:6" s="13" customFormat="1" ht="13.5" thickBot="1">
      <c r="A14" s="136"/>
      <c r="B14" s="135"/>
      <c r="C14" s="135" t="s">
        <v>331</v>
      </c>
      <c r="D14" s="135"/>
      <c r="E14" s="965"/>
      <c r="F14" s="990">
        <f>SUM(F11:F13)</f>
        <v>0</v>
      </c>
    </row>
    <row r="17" spans="3:6" ht="13">
      <c r="C17" s="1105" t="s">
        <v>895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F17-F14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F0FB-6B16-4A7E-81F5-C906BD259A7A}">
  <dimension ref="A1:F16"/>
  <sheetViews>
    <sheetView workbookViewId="0">
      <selection activeCell="A11" sqref="A11:XFD15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955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990">
        <f>SUM(F11:F11)</f>
        <v>0</v>
      </c>
    </row>
    <row r="15" spans="1:6" ht="13">
      <c r="C15" s="1105" t="s">
        <v>896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69EC-1CCF-4654-9AB5-15C21907F3BB}">
  <dimension ref="A1:F17"/>
  <sheetViews>
    <sheetView workbookViewId="0">
      <selection activeCell="E11" sqref="A11:XFD15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956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13" customFormat="1" ht="13">
      <c r="A11" s="1015"/>
      <c r="C11" s="998"/>
      <c r="E11" s="1018"/>
      <c r="F11" s="1016"/>
    </row>
    <row r="12" spans="1:6" s="9" customFormat="1">
      <c r="A12" s="84"/>
      <c r="E12" s="154"/>
      <c r="F12" s="107"/>
    </row>
    <row r="13" spans="1:6" s="13" customFormat="1" ht="13.5" thickBot="1">
      <c r="A13" s="136"/>
      <c r="B13" s="135"/>
      <c r="C13" s="135" t="s">
        <v>331</v>
      </c>
      <c r="D13" s="135"/>
      <c r="E13" s="965"/>
      <c r="F13" s="990">
        <f>SUM(F11:F12)</f>
        <v>0</v>
      </c>
    </row>
    <row r="16" spans="1:6" ht="13">
      <c r="C16" s="1105" t="s">
        <v>923</v>
      </c>
      <c r="D16" s="1099"/>
      <c r="E16" s="1099"/>
      <c r="F16" s="1100" cm="1">
        <f t="array" ref="F16">IFERROR(INDEX(TB!G:G,MATCH(C16,TB!A:A,0),0),0)</f>
        <v>0</v>
      </c>
    </row>
    <row r="17" spans="3:6" ht="13">
      <c r="C17" s="1105" t="s">
        <v>854</v>
      </c>
      <c r="D17" s="1099"/>
      <c r="E17" s="1099"/>
      <c r="F17" s="1104">
        <f>F16-F13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4845-7B08-4CC5-96C6-9031B4281CBA}">
  <dimension ref="A1:F18"/>
  <sheetViews>
    <sheetView workbookViewId="0">
      <selection activeCell="E11" sqref="A11:XFD12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957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13" customFormat="1" ht="13">
      <c r="A12" s="1015"/>
      <c r="C12" s="998"/>
      <c r="E12" s="1018"/>
      <c r="F12" s="1016"/>
    </row>
    <row r="13" spans="1:6" s="9" customFormat="1">
      <c r="A13" s="84"/>
      <c r="E13" s="154"/>
      <c r="F13" s="107"/>
    </row>
    <row r="14" spans="1:6" s="13" customFormat="1" ht="13.5" thickBot="1">
      <c r="A14" s="136"/>
      <c r="B14" s="135"/>
      <c r="C14" s="135" t="s">
        <v>331</v>
      </c>
      <c r="D14" s="135"/>
      <c r="E14" s="965"/>
      <c r="F14" s="990">
        <f>SUM(F11:F13)</f>
        <v>0</v>
      </c>
    </row>
    <row r="17" spans="3:6" ht="13">
      <c r="C17" s="1105" t="s">
        <v>924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F17-F14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6DC2-818D-4E90-A9E6-987D81927179}">
  <dimension ref="A1:F18"/>
  <sheetViews>
    <sheetView workbookViewId="0">
      <selection activeCell="C12" sqref="A11:XFD12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958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13" customFormat="1" ht="13">
      <c r="A12" s="1015"/>
      <c r="C12" s="998"/>
      <c r="E12" s="1018"/>
      <c r="F12" s="1016"/>
    </row>
    <row r="13" spans="1:6" s="9" customFormat="1">
      <c r="A13" s="84"/>
      <c r="E13" s="154"/>
      <c r="F13" s="107"/>
    </row>
    <row r="14" spans="1:6" s="13" customFormat="1" ht="13.5" thickBot="1">
      <c r="A14" s="136"/>
      <c r="B14" s="135"/>
      <c r="C14" s="135" t="s">
        <v>331</v>
      </c>
      <c r="D14" s="135"/>
      <c r="E14" s="965"/>
      <c r="F14" s="990">
        <f>SUM(F11:F13)</f>
        <v>0</v>
      </c>
    </row>
    <row r="17" spans="3:6" ht="13">
      <c r="C17" s="1105" t="s">
        <v>925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F17-F14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074A-A07A-4AFF-A34A-6C16F95BE83F}">
  <dimension ref="A1:F18"/>
  <sheetViews>
    <sheetView workbookViewId="0">
      <selection activeCell="C11" sqref="A11:XFD11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959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13" customFormat="1" ht="13">
      <c r="A12" s="1015"/>
      <c r="C12" s="998"/>
      <c r="E12" s="1018"/>
      <c r="F12" s="1016"/>
    </row>
    <row r="13" spans="1:6" s="9" customFormat="1">
      <c r="A13" s="84"/>
      <c r="E13" s="154"/>
      <c r="F13" s="107"/>
    </row>
    <row r="14" spans="1:6" s="13" customFormat="1" ht="13.5" thickBot="1">
      <c r="A14" s="136"/>
      <c r="B14" s="135"/>
      <c r="C14" s="135" t="s">
        <v>331</v>
      </c>
      <c r="D14" s="135"/>
      <c r="E14" s="965"/>
      <c r="F14" s="990">
        <f>SUM(F11:F13)</f>
        <v>0</v>
      </c>
    </row>
    <row r="17" spans="3:6" ht="13">
      <c r="C17" s="1105" t="s">
        <v>926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F17-F14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6994-8CD9-4266-8BC5-397BE5A2A311}">
  <dimension ref="A1:F17"/>
  <sheetViews>
    <sheetView workbookViewId="0">
      <selection activeCell="E11" sqref="A11:XFD11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960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13" customFormat="1" ht="13">
      <c r="A11" s="1015"/>
      <c r="C11" s="998"/>
      <c r="E11" s="1018"/>
      <c r="F11" s="1016"/>
    </row>
    <row r="12" spans="1:6" s="9" customFormat="1">
      <c r="A12" s="84"/>
      <c r="E12" s="154"/>
      <c r="F12" s="107"/>
    </row>
    <row r="13" spans="1:6" s="13" customFormat="1" ht="13.5" thickBot="1">
      <c r="A13" s="136"/>
      <c r="B13" s="135"/>
      <c r="C13" s="135" t="s">
        <v>331</v>
      </c>
      <c r="D13" s="135"/>
      <c r="E13" s="965"/>
      <c r="F13" s="990">
        <f>SUM(F11:F12)</f>
        <v>0</v>
      </c>
    </row>
    <row r="16" spans="1:6" ht="13">
      <c r="C16" s="1105" t="s">
        <v>927</v>
      </c>
      <c r="D16" s="1099"/>
      <c r="E16" s="1099"/>
      <c r="F16" s="1100" cm="1">
        <f t="array" ref="F16">IFERROR(INDEX(TB!G:G,MATCH(C16,TB!A:A,0),0),0)</f>
        <v>0</v>
      </c>
    </row>
    <row r="17" spans="3:6" ht="13">
      <c r="C17" s="1105" t="s">
        <v>854</v>
      </c>
      <c r="D17" s="1099"/>
      <c r="E17" s="1099"/>
      <c r="F17" s="1104">
        <f>F16-F13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6A1A-9F5F-406F-83BC-E4514C150093}">
  <dimension ref="A1:F19"/>
  <sheetViews>
    <sheetView workbookViewId="0">
      <selection activeCell="E23" sqref="E23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809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>
        <v>46181</v>
      </c>
      <c r="B11" s="997"/>
      <c r="C11" s="998" t="s">
        <v>979</v>
      </c>
      <c r="D11" s="997"/>
      <c r="E11" s="1005"/>
      <c r="F11" s="999">
        <v>-1000000</v>
      </c>
    </row>
    <row r="12" spans="1:6" s="9" customFormat="1" ht="13">
      <c r="A12" s="1004">
        <v>46181</v>
      </c>
      <c r="B12" s="997"/>
      <c r="C12" s="998" t="s">
        <v>979</v>
      </c>
      <c r="D12" s="997"/>
      <c r="E12" s="1005"/>
      <c r="F12" s="999">
        <v>-33973087.939999998</v>
      </c>
    </row>
    <row r="13" spans="1:6" s="9" customFormat="1" ht="13">
      <c r="A13" s="1004"/>
      <c r="B13" s="997"/>
      <c r="C13" s="998"/>
      <c r="D13" s="997"/>
      <c r="E13" s="1005"/>
      <c r="F13" s="999"/>
    </row>
    <row r="14" spans="1:6" s="9" customFormat="1">
      <c r="A14" s="84"/>
      <c r="E14" s="154"/>
      <c r="F14" s="107"/>
    </row>
    <row r="15" spans="1:6" s="13" customFormat="1" ht="13.5" thickBot="1">
      <c r="A15" s="136"/>
      <c r="B15" s="135"/>
      <c r="C15" s="135" t="s">
        <v>331</v>
      </c>
      <c r="D15" s="135"/>
      <c r="E15" s="965"/>
      <c r="F15" s="1011">
        <f>SUM(F11:F14)</f>
        <v>-34973087.939999998</v>
      </c>
    </row>
    <row r="18" spans="3:6" ht="13">
      <c r="C18" s="1105" t="s">
        <v>904</v>
      </c>
      <c r="D18" s="1099"/>
      <c r="E18" s="1099"/>
      <c r="F18" s="1100" cm="1">
        <f t="array" ref="F18">IFERROR(INDEX(TB!G:G,MATCH(C18,TB!A:A,0),0),0)</f>
        <v>-34973087.939999998</v>
      </c>
    </row>
    <row r="19" spans="3:6" ht="13">
      <c r="C19" s="1105" t="s">
        <v>854</v>
      </c>
      <c r="D19" s="1099"/>
      <c r="E19" s="1099"/>
      <c r="F19" s="1104">
        <f>F18-F15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FB71-6BCF-4E9A-A83B-50D2F6033660}">
  <dimension ref="A1:F16"/>
  <sheetViews>
    <sheetView workbookViewId="0">
      <selection activeCell="E11" sqref="A11:XFD11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946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1011">
        <f>SUM(F11:F11)</f>
        <v>0</v>
      </c>
    </row>
    <row r="15" spans="1:6" ht="13">
      <c r="C15" s="1105" t="s">
        <v>897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6B59-0C44-4CB4-9CAF-DFDBA70EB135}">
  <dimension ref="A1:F16"/>
  <sheetViews>
    <sheetView workbookViewId="0">
      <selection activeCell="F11" sqref="A11:XFD11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947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1011">
        <f>SUM(F11:F11)</f>
        <v>0</v>
      </c>
    </row>
    <row r="15" spans="1:6" ht="13">
      <c r="C15" s="1105" t="s">
        <v>898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2E80-1741-457D-B473-3F2672373712}">
  <dimension ref="A1:F16"/>
  <sheetViews>
    <sheetView workbookViewId="0">
      <selection activeCell="F11" sqref="A11:XFD11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948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1011">
        <f>SUM(F11:F11)</f>
        <v>0</v>
      </c>
    </row>
    <row r="15" spans="1:6" ht="13">
      <c r="C15" s="1105" t="s">
        <v>928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D231-EFF2-4397-818B-3D3D5A80B508}">
  <dimension ref="A1:F16"/>
  <sheetViews>
    <sheetView workbookViewId="0">
      <selection activeCell="F11" sqref="A11:XFD11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949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1011">
        <f>SUM(F11:F11)</f>
        <v>0</v>
      </c>
    </row>
    <row r="15" spans="1:6" ht="13">
      <c r="C15" s="1105" t="s">
        <v>929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2B88-0527-4BC2-BDCA-4422A2902EC8}">
  <dimension ref="A1:F16"/>
  <sheetViews>
    <sheetView workbookViewId="0">
      <selection activeCell="F11" sqref="A11:XFD11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950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1011">
        <f>SUM(F11:F11)</f>
        <v>0</v>
      </c>
    </row>
    <row r="15" spans="1:6" ht="13">
      <c r="C15" s="1105" t="s">
        <v>930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5B81-6AE3-4F48-947A-94C55CD96FA5}">
  <dimension ref="A1:F16"/>
  <sheetViews>
    <sheetView topLeftCell="A2" workbookViewId="0">
      <selection activeCell="E11" sqref="A11:XFD11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4" t="str">
        <f>+'Review Comments'!B11</f>
        <v>ABI PROPERTIES</v>
      </c>
      <c r="B1" s="1195"/>
      <c r="C1" s="1195"/>
      <c r="D1" s="1195"/>
      <c r="E1" s="1195"/>
      <c r="F1" s="1196"/>
    </row>
    <row r="2" spans="1:6" s="9" customFormat="1" ht="18">
      <c r="A2" s="1197" t="s">
        <v>951</v>
      </c>
      <c r="B2" s="1198"/>
      <c r="C2" s="1198"/>
      <c r="D2" s="1198"/>
      <c r="E2" s="1198"/>
      <c r="F2" s="1199"/>
    </row>
    <row r="3" spans="1:6" s="9" customFormat="1" ht="18.5" thickBot="1">
      <c r="A3" s="1200" t="str">
        <f>'Review Comments'!B13</f>
        <v>FOR THE MONTH ENDED 08/31/26</v>
      </c>
      <c r="B3" s="1201"/>
      <c r="C3" s="1201"/>
      <c r="D3" s="1201"/>
      <c r="E3" s="1201"/>
      <c r="F3" s="1202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1011">
        <f>SUM(F11:F11)</f>
        <v>0</v>
      </c>
    </row>
    <row r="15" spans="1:6" ht="13">
      <c r="C15" s="1105" t="s">
        <v>931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9297-C51F-4ABE-832B-4CA372B02CAC}">
  <dimension ref="A2:G19"/>
  <sheetViews>
    <sheetView topLeftCell="C1" zoomScaleNormal="100" workbookViewId="0">
      <selection activeCell="F23" sqref="F23"/>
    </sheetView>
  </sheetViews>
  <sheetFormatPr defaultColWidth="8.81640625" defaultRowHeight="12.5"/>
  <cols>
    <col min="1" max="2" width="33.1796875" hidden="1" customWidth="1"/>
    <col min="3" max="3" width="26.453125" bestFit="1" customWidth="1"/>
    <col min="4" max="4" width="17.7265625" bestFit="1" customWidth="1"/>
    <col min="5" max="5" width="12.81640625" bestFit="1" customWidth="1"/>
    <col min="6" max="6" width="12.1796875" bestFit="1" customWidth="1"/>
    <col min="7" max="7" width="42" customWidth="1"/>
  </cols>
  <sheetData>
    <row r="2" spans="1:7">
      <c r="C2" s="1080"/>
      <c r="D2" s="1081" t="s">
        <v>796</v>
      </c>
      <c r="E2" s="1081" t="s">
        <v>797</v>
      </c>
      <c r="F2" s="1081" t="s">
        <v>798</v>
      </c>
      <c r="G2" s="1082" t="s">
        <v>799</v>
      </c>
    </row>
    <row r="3" spans="1:7">
      <c r="C3" s="220"/>
      <c r="D3" s="1083"/>
      <c r="E3" s="1083"/>
      <c r="F3" s="1083">
        <f t="shared" ref="F3:F6" si="0">-E3+D3</f>
        <v>0</v>
      </c>
      <c r="G3" s="220"/>
    </row>
    <row r="4" spans="1:7">
      <c r="A4" s="1084" t="s">
        <v>862</v>
      </c>
      <c r="B4" s="1107" t="s">
        <v>800</v>
      </c>
      <c r="C4" s="1084" t="s">
        <v>887</v>
      </c>
      <c r="D4" s="1085" cm="1">
        <f t="array" ref="D4">IFERROR(INDEX(IS!B:B,MATCH(A4,IS!A:A,0),0),0)</f>
        <v>208355.91</v>
      </c>
      <c r="E4" s="1085" cm="1">
        <f t="array" ref="E4">IFERROR(INDEX('CM Ledger'!G:G,MATCH(C4,'CM Ledger'!A:A,0),0),0)</f>
        <v>208355.91</v>
      </c>
      <c r="F4" s="1083">
        <f>-E4+D4</f>
        <v>0</v>
      </c>
      <c r="G4" s="220"/>
    </row>
    <row r="5" spans="1:7">
      <c r="A5" s="1084" t="s">
        <v>863</v>
      </c>
      <c r="B5" s="1107" t="s">
        <v>801</v>
      </c>
      <c r="C5" s="1084" t="s">
        <v>888</v>
      </c>
      <c r="D5" s="1085" cm="1">
        <f t="array" ref="D5">IFERROR(INDEX(IS!B:B,MATCH(A5,IS!A:A,0),0),0)</f>
        <v>21463.41</v>
      </c>
      <c r="E5" s="1085" cm="1">
        <f t="array" ref="E5">IFERROR(INDEX('CM Ledger'!G:G,MATCH(C5,'CM Ledger'!A:A,0),0),0)</f>
        <v>21463.41</v>
      </c>
      <c r="F5" s="1083">
        <f>-E5+D5</f>
        <v>0</v>
      </c>
      <c r="G5" s="220"/>
    </row>
    <row r="6" spans="1:7" hidden="1">
      <c r="A6" s="1084" t="s">
        <v>864</v>
      </c>
      <c r="B6" s="1084" t="s">
        <v>802</v>
      </c>
      <c r="C6" s="1084" t="s">
        <v>889</v>
      </c>
      <c r="D6" s="1085" cm="1">
        <f t="array" ref="D6">IFERROR(INDEX(IS!B:B,MATCH(A6,IS!A:A,0),0),0)</f>
        <v>0</v>
      </c>
      <c r="E6" s="1085" cm="1">
        <f t="array" ref="E6">IFERROR(INDEX('CM Ledger'!G:G,MATCH(C6,'CM Ledger'!A:A,0),0),0)</f>
        <v>0</v>
      </c>
      <c r="F6" s="1083">
        <f t="shared" si="0"/>
        <v>0</v>
      </c>
      <c r="G6" s="220"/>
    </row>
    <row r="7" spans="1:7" hidden="1">
      <c r="A7" s="1084" t="s">
        <v>912</v>
      </c>
      <c r="B7" s="1084"/>
      <c r="C7" s="1084" t="s">
        <v>824</v>
      </c>
      <c r="D7" s="1085" cm="1">
        <f t="array" ref="D7">IFERROR(INDEX(IS!B:B,MATCH(A7,IS!A:A,0),0),0)</f>
        <v>0</v>
      </c>
      <c r="E7" s="1085" cm="1">
        <f t="array" ref="E7">IFERROR(INDEX('CM Ledger'!G:G,MATCH(C7,'CM Ledger'!A:A,0),0),0)</f>
        <v>0</v>
      </c>
      <c r="F7" s="1083">
        <f>-E7+D7</f>
        <v>0</v>
      </c>
      <c r="G7" s="220"/>
    </row>
    <row r="8" spans="1:7" hidden="1">
      <c r="A8" s="1084" t="s">
        <v>865</v>
      </c>
      <c r="B8" s="1084"/>
      <c r="C8" s="1084" t="s">
        <v>850</v>
      </c>
      <c r="D8" s="1085" cm="1">
        <f t="array" ref="D8">IFERROR(INDEX(IS!B:B,MATCH(A8,IS!A:A,0),0),0)</f>
        <v>0</v>
      </c>
      <c r="E8" s="1085" cm="1">
        <f t="array" ref="E8">IFERROR(INDEX('CM Ledger'!G:G,MATCH(C8,'CM Ledger'!A:A,0),0),0)</f>
        <v>0</v>
      </c>
      <c r="F8" s="1083">
        <f>-E8+D8</f>
        <v>0</v>
      </c>
      <c r="G8" s="220"/>
    </row>
    <row r="9" spans="1:7" hidden="1">
      <c r="A9" s="1084"/>
      <c r="B9" s="1084"/>
      <c r="C9" s="1084" t="s">
        <v>823</v>
      </c>
      <c r="D9" s="1085" cm="1">
        <f t="array" ref="D9">IFERROR(INDEX(IS!B:B,MATCH(A9,IS!A:A,0),0),0)</f>
        <v>0</v>
      </c>
      <c r="E9" s="1085" cm="1">
        <f t="array" ref="E9">IFERROR(INDEX('CM Ledger'!G:G,MATCH(C9,'CM Ledger'!A:A,0),0),0)</f>
        <v>0</v>
      </c>
      <c r="F9" s="1083">
        <f>-E9+D9</f>
        <v>0</v>
      </c>
      <c r="G9" s="220"/>
    </row>
    <row r="10" spans="1:7">
      <c r="A10" s="1084" t="s">
        <v>909</v>
      </c>
      <c r="B10" s="1084" t="s">
        <v>900</v>
      </c>
      <c r="C10" s="1084" t="s">
        <v>907</v>
      </c>
      <c r="D10" s="1085" cm="1">
        <f t="array" ref="D10">IFERROR(INDEX(IS!B:B,MATCH(A10,IS!A:A,0),0),0)</f>
        <v>12264.54</v>
      </c>
      <c r="E10" s="1085" cm="1">
        <f t="array" ref="E10">IFERROR(INDEX('CM Ledger'!G:G,MATCH(C10,'CM Ledger'!A:A,0),0),0)</f>
        <v>12264.54</v>
      </c>
      <c r="F10" s="1083">
        <f t="shared" ref="F10:F14" si="1">-E10+D10</f>
        <v>0</v>
      </c>
      <c r="G10" s="220"/>
    </row>
    <row r="11" spans="1:7" hidden="1">
      <c r="A11" s="1084"/>
      <c r="B11" s="1084"/>
      <c r="C11" s="1107" t="s">
        <v>936</v>
      </c>
      <c r="D11" s="1085" cm="1">
        <f t="array" ref="D11">IFERROR(INDEX(IS!B:B,MATCH(A11,IS!A:A,0),0),0)</f>
        <v>0</v>
      </c>
      <c r="E11" s="1085" cm="1">
        <f t="array" ref="E11">IFERROR(INDEX('CM Ledger'!G:G,MATCH(C11,'CM Ledger'!A:A,0),0),0)</f>
        <v>0</v>
      </c>
      <c r="F11" s="1083">
        <f t="shared" si="1"/>
        <v>0</v>
      </c>
      <c r="G11" s="220"/>
    </row>
    <row r="12" spans="1:7" s="1107" customFormat="1" ht="10">
      <c r="A12" s="1107" t="s">
        <v>1028</v>
      </c>
      <c r="B12" s="1107" t="s">
        <v>976</v>
      </c>
      <c r="C12" s="1107" t="s">
        <v>987</v>
      </c>
      <c r="D12" s="1085" cm="1">
        <f t="array" ref="D12">IFERROR(INDEX(IS!B:B,MATCH(A12,IS!A:A,0),0),0)</f>
        <v>6113.02</v>
      </c>
      <c r="E12" s="1085" cm="1">
        <f t="array" ref="E12">IFERROR(INDEX('CM Ledger'!G:G,MATCH(C12,'CM Ledger'!A:A,0),0),0)</f>
        <v>6113.02</v>
      </c>
    </row>
    <row r="13" spans="1:7">
      <c r="A13" s="1084" t="s">
        <v>908</v>
      </c>
      <c r="B13" s="1084" t="s">
        <v>899</v>
      </c>
      <c r="C13" s="1084" t="s">
        <v>905</v>
      </c>
      <c r="D13" s="1085" cm="1">
        <f t="array" ref="D13">IFERROR(INDEX(IS!B:B,MATCH(A13,IS!A:A,0),0),0)</f>
        <v>1647.14</v>
      </c>
      <c r="E13" s="1085" cm="1">
        <f t="array" ref="E13">IFERROR(INDEX('CM Ledger'!G:G,MATCH(C13,'CM Ledger'!A:A,0),0),0)</f>
        <v>1647.14</v>
      </c>
      <c r="F13" s="1083">
        <f t="shared" si="1"/>
        <v>0</v>
      </c>
      <c r="G13" s="220"/>
    </row>
    <row r="14" spans="1:7" hidden="1">
      <c r="A14" s="1084" t="s">
        <v>910</v>
      </c>
      <c r="B14" s="1084" t="s">
        <v>901</v>
      </c>
      <c r="C14" s="1084" t="s">
        <v>906</v>
      </c>
      <c r="D14" s="1085" cm="1">
        <f t="array" ref="D14">IFERROR(INDEX(IS!B:B,MATCH(B14,IS!A:A,0),0),0)</f>
        <v>0</v>
      </c>
      <c r="E14" s="1085" cm="1">
        <f t="array" ref="E14">IFERROR(INDEX('CM Ledger'!G:G,MATCH(C14,'CM Ledger'!A:A,0),0),0)</f>
        <v>0</v>
      </c>
      <c r="F14" s="1083">
        <f t="shared" si="1"/>
        <v>0</v>
      </c>
      <c r="G14" s="220"/>
    </row>
    <row r="15" spans="1:7" ht="13" hidden="1" thickBot="1">
      <c r="A15" s="1084" t="s">
        <v>866</v>
      </c>
      <c r="B15" s="1084" t="s">
        <v>825</v>
      </c>
      <c r="C15" s="1086" t="s">
        <v>803</v>
      </c>
      <c r="D15" s="1086" cm="1">
        <f t="array" ref="D15">IFERROR(INDEX(IS!B:B,MATCH(B15,IS!A:A,0),0),0)</f>
        <v>0</v>
      </c>
      <c r="E15" s="1086" cm="1">
        <f t="array" ref="E15">IFERROR(INDEX('CM Ledger'!G:G,MATCH(C15,'CM Ledger'!A:A,0),0),0)</f>
        <v>0</v>
      </c>
      <c r="F15" s="1087">
        <f>-E15+D15</f>
        <v>0</v>
      </c>
      <c r="G15" s="220"/>
    </row>
    <row r="17" spans="1:7">
      <c r="A17" s="1107" t="s">
        <v>867</v>
      </c>
      <c r="B17" s="1107"/>
      <c r="C17" s="1122" t="s">
        <v>867</v>
      </c>
      <c r="D17" s="1125">
        <f>SUM(D3:D15)</f>
        <v>249844.02000000002</v>
      </c>
      <c r="E17" s="1125">
        <f>SUM(E3:E15)</f>
        <v>249844.02000000002</v>
      </c>
      <c r="F17" s="1088">
        <f>SUM(F3:F15)</f>
        <v>0</v>
      </c>
    </row>
    <row r="18" spans="1:7">
      <c r="C18" s="1123" t="s">
        <v>911</v>
      </c>
      <c r="D18" s="1126">
        <f>IS!B17</f>
        <v>249844.02</v>
      </c>
      <c r="E18" s="1126">
        <f>'CM Ledger'!G8</f>
        <v>249844.02</v>
      </c>
      <c r="F18" s="6"/>
      <c r="G18" s="1124"/>
    </row>
    <row r="19" spans="1:7">
      <c r="D19" s="1125">
        <f>D18-D17</f>
        <v>0</v>
      </c>
      <c r="E19" s="1125">
        <f>E18-E17</f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1ABF-2080-4C7B-832C-CB821CFC3690}">
  <dimension ref="A1:I68"/>
  <sheetViews>
    <sheetView workbookViewId="0">
      <selection activeCell="A16" sqref="A16"/>
    </sheetView>
  </sheetViews>
  <sheetFormatPr defaultRowHeight="12.5"/>
  <cols>
    <col min="1" max="1" width="33.7265625" customWidth="1"/>
    <col min="2" max="4" width="11.7265625" customWidth="1"/>
    <col min="5" max="5" width="6.7265625" customWidth="1"/>
    <col min="6" max="7" width="11.7265625" customWidth="1"/>
    <col min="8" max="8" width="10.7265625" customWidth="1"/>
    <col min="9" max="9" width="7.7265625" customWidth="1"/>
  </cols>
  <sheetData>
    <row r="1" spans="1:9">
      <c r="A1" s="1107" t="s">
        <v>826</v>
      </c>
      <c r="B1" s="1108" t="s">
        <v>856</v>
      </c>
      <c r="H1" s="1107" t="s">
        <v>188</v>
      </c>
      <c r="I1" s="1107" t="s">
        <v>828</v>
      </c>
    </row>
    <row r="2" spans="1:9">
      <c r="A2" s="1107" t="s">
        <v>966</v>
      </c>
      <c r="B2" s="1108" t="s">
        <v>857</v>
      </c>
      <c r="H2" s="1107" t="s">
        <v>190</v>
      </c>
      <c r="I2" s="1109">
        <v>46273.584872685198</v>
      </c>
    </row>
    <row r="3" spans="1:9">
      <c r="A3" s="1107" t="s">
        <v>343</v>
      </c>
      <c r="B3" s="1108" t="s">
        <v>829</v>
      </c>
      <c r="H3" s="1107" t="s">
        <v>191</v>
      </c>
      <c r="I3" s="1110">
        <v>46273.584872685198</v>
      </c>
    </row>
    <row r="4" spans="1:9">
      <c r="A4" s="1107" t="s">
        <v>343</v>
      </c>
      <c r="B4" s="1108" t="s">
        <v>967</v>
      </c>
    </row>
    <row r="5" spans="1:9">
      <c r="A5" s="1107" t="s">
        <v>830</v>
      </c>
    </row>
    <row r="6" spans="1:9">
      <c r="B6" s="1107" t="s">
        <v>831</v>
      </c>
    </row>
    <row r="8" spans="1:9">
      <c r="B8" s="1108" t="s">
        <v>858</v>
      </c>
      <c r="G8" s="1108" t="s">
        <v>859</v>
      </c>
    </row>
    <row r="9" spans="1:9">
      <c r="B9" s="1107" t="s">
        <v>64</v>
      </c>
      <c r="C9" s="1107" t="s">
        <v>490</v>
      </c>
      <c r="F9" s="1107" t="s">
        <v>64</v>
      </c>
      <c r="G9" s="1107" t="s">
        <v>490</v>
      </c>
    </row>
    <row r="10" spans="1:9">
      <c r="A10" s="1107" t="s">
        <v>860</v>
      </c>
      <c r="B10" s="1116">
        <v>46265</v>
      </c>
      <c r="C10" s="1116">
        <v>46265</v>
      </c>
      <c r="D10" s="1107" t="s">
        <v>66</v>
      </c>
      <c r="F10" s="1116">
        <v>46265</v>
      </c>
      <c r="G10" s="1116">
        <v>46265</v>
      </c>
      <c r="H10" s="1107" t="s">
        <v>66</v>
      </c>
    </row>
    <row r="11" spans="1:9">
      <c r="A11" s="1107" t="s">
        <v>861</v>
      </c>
    </row>
    <row r="12" spans="1:9">
      <c r="A12" s="1107" t="s">
        <v>862</v>
      </c>
      <c r="B12" s="1085">
        <v>208355.91</v>
      </c>
      <c r="C12" s="1085">
        <v>180149</v>
      </c>
      <c r="D12" s="1085">
        <v>28206.91</v>
      </c>
      <c r="E12" s="1117">
        <v>0.15659999999999999</v>
      </c>
      <c r="F12" s="1085">
        <v>454498.66</v>
      </c>
      <c r="G12" s="1085">
        <v>360298</v>
      </c>
      <c r="H12" s="1085">
        <v>94200.66</v>
      </c>
      <c r="I12" s="1117">
        <v>0.26150000000000001</v>
      </c>
    </row>
    <row r="13" spans="1:9">
      <c r="A13" s="1107" t="s">
        <v>863</v>
      </c>
      <c r="B13" s="1085">
        <v>21463.41</v>
      </c>
      <c r="C13" s="1085">
        <v>18560</v>
      </c>
      <c r="D13" s="1085">
        <v>2903.41</v>
      </c>
      <c r="E13" s="1117">
        <v>0.15640000000000001</v>
      </c>
      <c r="F13" s="1085">
        <v>59394.15</v>
      </c>
      <c r="G13" s="1085">
        <v>37120</v>
      </c>
      <c r="H13" s="1085">
        <v>22274.15</v>
      </c>
      <c r="I13" s="1117">
        <v>0.60009999999999997</v>
      </c>
    </row>
    <row r="14" spans="1:9">
      <c r="A14" s="1107" t="s">
        <v>908</v>
      </c>
      <c r="B14" s="1085">
        <v>1647.14</v>
      </c>
      <c r="C14" s="1085">
        <v>1390</v>
      </c>
      <c r="D14" s="1085">
        <v>257.14</v>
      </c>
      <c r="E14" s="1117">
        <v>0.185</v>
      </c>
      <c r="F14" s="1085">
        <v>2589.29</v>
      </c>
      <c r="G14" s="1085">
        <v>2780</v>
      </c>
      <c r="H14" s="1085">
        <v>-190.71</v>
      </c>
      <c r="I14" s="1117">
        <v>-6.8599999999999994E-2</v>
      </c>
    </row>
    <row r="15" spans="1:9">
      <c r="A15" s="1107" t="s">
        <v>909</v>
      </c>
      <c r="B15" s="1085">
        <v>12264.54</v>
      </c>
      <c r="C15" s="1085">
        <v>2992</v>
      </c>
      <c r="D15" s="1085">
        <v>9272.5400000000009</v>
      </c>
      <c r="E15" s="1117">
        <v>3.0991</v>
      </c>
      <c r="F15" s="1085">
        <v>19887.41</v>
      </c>
      <c r="G15" s="1085">
        <v>5984</v>
      </c>
      <c r="H15" s="1085">
        <v>13903.41</v>
      </c>
      <c r="I15" s="1117">
        <v>2.3233999999999999</v>
      </c>
    </row>
    <row r="16" spans="1:9">
      <c r="A16" s="1107" t="s">
        <v>1028</v>
      </c>
      <c r="B16" s="1118">
        <v>6113.02</v>
      </c>
      <c r="C16" s="1118">
        <v>5077</v>
      </c>
      <c r="D16" s="1118">
        <v>1036.02</v>
      </c>
      <c r="E16" s="1117">
        <v>0.2041</v>
      </c>
      <c r="F16" s="1118">
        <v>13430.25</v>
      </c>
      <c r="G16" s="1118">
        <v>10154</v>
      </c>
      <c r="H16" s="1118">
        <v>3276.25</v>
      </c>
      <c r="I16" s="1119">
        <v>0.32269999999999999</v>
      </c>
    </row>
    <row r="17" spans="1:9">
      <c r="A17" s="1107" t="s">
        <v>867</v>
      </c>
      <c r="B17" s="1085">
        <v>249844.02</v>
      </c>
      <c r="C17" s="1085">
        <v>208168</v>
      </c>
      <c r="D17" s="1085">
        <v>41676.019999999997</v>
      </c>
      <c r="E17" s="1117">
        <v>0.20019999999999999</v>
      </c>
      <c r="F17" s="1085">
        <v>549799.76</v>
      </c>
      <c r="G17" s="1085">
        <v>416336</v>
      </c>
      <c r="H17" s="1085">
        <v>133463.76</v>
      </c>
      <c r="I17" s="1117">
        <v>0.3206</v>
      </c>
    </row>
    <row r="18" spans="1:9">
      <c r="B18" s="1120"/>
      <c r="C18" s="1120"/>
      <c r="D18" s="1120"/>
      <c r="F18" s="1120"/>
      <c r="G18" s="1120"/>
      <c r="H18" s="1120"/>
      <c r="I18" s="1120"/>
    </row>
    <row r="19" spans="1:9">
      <c r="A19" s="1107" t="s">
        <v>868</v>
      </c>
      <c r="B19" s="1085">
        <v>249844.02</v>
      </c>
      <c r="C19" s="1085">
        <v>208168</v>
      </c>
      <c r="D19" s="1085">
        <v>41676.019999999997</v>
      </c>
      <c r="E19" s="1117">
        <v>0.20019999999999999</v>
      </c>
      <c r="F19" s="1085">
        <v>549799.76</v>
      </c>
      <c r="G19" s="1085">
        <v>416336</v>
      </c>
      <c r="H19" s="1085">
        <v>133463.76</v>
      </c>
      <c r="I19" s="1117">
        <v>0.3206</v>
      </c>
    </row>
    <row r="21" spans="1:9">
      <c r="A21" s="1107" t="s">
        <v>869</v>
      </c>
    </row>
    <row r="22" spans="1:9">
      <c r="A22" s="1107" t="s">
        <v>1029</v>
      </c>
      <c r="B22" s="1085">
        <v>0</v>
      </c>
      <c r="C22" s="1085">
        <v>0</v>
      </c>
      <c r="D22" s="1085">
        <v>0</v>
      </c>
      <c r="E22" s="1117">
        <v>0</v>
      </c>
      <c r="F22" s="1085">
        <v>18215</v>
      </c>
      <c r="G22" s="1085">
        <v>2580</v>
      </c>
      <c r="H22" s="1085">
        <v>-15635</v>
      </c>
      <c r="I22" s="1117">
        <v>-6.0601000000000003</v>
      </c>
    </row>
    <row r="23" spans="1:9">
      <c r="A23" s="1107" t="s">
        <v>1030</v>
      </c>
      <c r="B23" s="1085">
        <v>0</v>
      </c>
      <c r="C23" s="1085">
        <v>0</v>
      </c>
      <c r="D23" s="1085">
        <v>0</v>
      </c>
      <c r="E23" s="1117">
        <v>0</v>
      </c>
      <c r="F23" s="1085">
        <v>3128</v>
      </c>
      <c r="G23" s="1085">
        <v>5760</v>
      </c>
      <c r="H23" s="1085">
        <v>2632</v>
      </c>
      <c r="I23" s="1117">
        <v>0.45689999999999997</v>
      </c>
    </row>
    <row r="24" spans="1:9">
      <c r="A24" s="1107" t="s">
        <v>1031</v>
      </c>
      <c r="B24" s="1085">
        <v>0</v>
      </c>
      <c r="C24" s="1085">
        <v>0</v>
      </c>
      <c r="D24" s="1085">
        <v>0</v>
      </c>
      <c r="E24" s="1117">
        <v>0</v>
      </c>
      <c r="F24" s="1085">
        <v>970</v>
      </c>
      <c r="G24" s="1085">
        <v>1440</v>
      </c>
      <c r="H24" s="1085">
        <v>470</v>
      </c>
      <c r="I24" s="1117">
        <v>0.32640000000000002</v>
      </c>
    </row>
    <row r="25" spans="1:9">
      <c r="A25" s="1107" t="s">
        <v>1032</v>
      </c>
      <c r="B25" s="1085">
        <v>1840</v>
      </c>
      <c r="C25" s="1085">
        <v>0</v>
      </c>
      <c r="D25" s="1085">
        <v>-1840</v>
      </c>
      <c r="E25" s="1117">
        <v>0</v>
      </c>
      <c r="F25" s="1085">
        <v>1840</v>
      </c>
      <c r="G25" s="1085">
        <v>0</v>
      </c>
      <c r="H25" s="1085">
        <v>-1840</v>
      </c>
      <c r="I25" s="1117">
        <v>0</v>
      </c>
    </row>
    <row r="26" spans="1:9">
      <c r="A26" s="1107" t="s">
        <v>1033</v>
      </c>
      <c r="B26" s="1085">
        <v>1576</v>
      </c>
      <c r="C26" s="1085">
        <v>1576</v>
      </c>
      <c r="D26" s="1085">
        <v>0</v>
      </c>
      <c r="E26" s="1117">
        <v>0</v>
      </c>
      <c r="F26" s="1085">
        <v>4728</v>
      </c>
      <c r="G26" s="1085">
        <v>3152</v>
      </c>
      <c r="H26" s="1085">
        <v>-1576</v>
      </c>
      <c r="I26" s="1117">
        <v>-0.5</v>
      </c>
    </row>
    <row r="27" spans="1:9">
      <c r="A27" s="1107" t="s">
        <v>1034</v>
      </c>
      <c r="B27" s="1085">
        <v>0</v>
      </c>
      <c r="C27" s="1085">
        <v>0</v>
      </c>
      <c r="D27" s="1085">
        <v>0</v>
      </c>
      <c r="E27" s="1117">
        <v>0</v>
      </c>
      <c r="F27" s="1085">
        <v>0</v>
      </c>
      <c r="G27" s="1085">
        <v>250</v>
      </c>
      <c r="H27" s="1085">
        <v>250</v>
      </c>
      <c r="I27" s="1117">
        <v>1</v>
      </c>
    </row>
    <row r="28" spans="1:9">
      <c r="A28" s="1107" t="s">
        <v>1035</v>
      </c>
      <c r="B28" s="1085">
        <v>20</v>
      </c>
      <c r="C28" s="1085">
        <v>0</v>
      </c>
      <c r="D28" s="1085">
        <v>-20</v>
      </c>
      <c r="E28" s="1117">
        <v>0</v>
      </c>
      <c r="F28" s="1085">
        <v>20</v>
      </c>
      <c r="G28" s="1085">
        <v>0</v>
      </c>
      <c r="H28" s="1085">
        <v>-20</v>
      </c>
      <c r="I28" s="1117">
        <v>0</v>
      </c>
    </row>
    <row r="29" spans="1:9">
      <c r="A29" s="1107" t="s">
        <v>1036</v>
      </c>
      <c r="B29" s="1085">
        <v>1827</v>
      </c>
      <c r="C29" s="1085">
        <v>960</v>
      </c>
      <c r="D29" s="1085">
        <v>-867</v>
      </c>
      <c r="E29" s="1117">
        <v>-0.90310000000000001</v>
      </c>
      <c r="F29" s="1085">
        <v>2037</v>
      </c>
      <c r="G29" s="1085">
        <v>1920</v>
      </c>
      <c r="H29" s="1085">
        <v>-117</v>
      </c>
      <c r="I29" s="1117">
        <v>-6.0900000000000003E-2</v>
      </c>
    </row>
    <row r="30" spans="1:9">
      <c r="A30" s="1107" t="s">
        <v>1037</v>
      </c>
      <c r="B30" s="1085">
        <v>0</v>
      </c>
      <c r="C30" s="1085">
        <v>90</v>
      </c>
      <c r="D30" s="1085">
        <v>90</v>
      </c>
      <c r="E30" s="1117">
        <v>1</v>
      </c>
      <c r="F30" s="1085">
        <v>0</v>
      </c>
      <c r="G30" s="1085">
        <v>180</v>
      </c>
      <c r="H30" s="1085">
        <v>180</v>
      </c>
      <c r="I30" s="1117">
        <v>1</v>
      </c>
    </row>
    <row r="31" spans="1:9">
      <c r="A31" s="1107" t="s">
        <v>1038</v>
      </c>
      <c r="B31" s="1085">
        <v>7495.32</v>
      </c>
      <c r="C31" s="1085">
        <v>6069</v>
      </c>
      <c r="D31" s="1085">
        <v>-1426.32</v>
      </c>
      <c r="E31" s="1117">
        <v>-0.23499999999999999</v>
      </c>
      <c r="F31" s="1085">
        <v>12495.32</v>
      </c>
      <c r="G31" s="1085">
        <v>12138</v>
      </c>
      <c r="H31" s="1085">
        <v>-357.32</v>
      </c>
      <c r="I31" s="1117">
        <v>-2.9399999999999999E-2</v>
      </c>
    </row>
    <row r="32" spans="1:9">
      <c r="A32" s="1107" t="s">
        <v>1039</v>
      </c>
      <c r="B32" s="1085">
        <v>0</v>
      </c>
      <c r="C32" s="1085">
        <v>1265</v>
      </c>
      <c r="D32" s="1085">
        <v>1265</v>
      </c>
      <c r="E32" s="1117">
        <v>1</v>
      </c>
      <c r="F32" s="1085">
        <v>300</v>
      </c>
      <c r="G32" s="1085">
        <v>2530</v>
      </c>
      <c r="H32" s="1085">
        <v>2230</v>
      </c>
      <c r="I32" s="1117">
        <v>0.88139999999999996</v>
      </c>
    </row>
    <row r="33" spans="1:9">
      <c r="A33" s="1107" t="s">
        <v>1040</v>
      </c>
      <c r="B33" s="1085">
        <v>0</v>
      </c>
      <c r="C33" s="1085">
        <v>0</v>
      </c>
      <c r="D33" s="1085">
        <v>0</v>
      </c>
      <c r="E33" s="1117">
        <v>0</v>
      </c>
      <c r="F33" s="1085">
        <v>0</v>
      </c>
      <c r="G33" s="1085">
        <v>270</v>
      </c>
      <c r="H33" s="1085">
        <v>270</v>
      </c>
      <c r="I33" s="1117">
        <v>1</v>
      </c>
    </row>
    <row r="34" spans="1:9">
      <c r="A34" s="1107" t="s">
        <v>1041</v>
      </c>
      <c r="B34" s="1085">
        <v>3165</v>
      </c>
      <c r="C34" s="1085">
        <v>3197</v>
      </c>
      <c r="D34" s="1085">
        <v>32</v>
      </c>
      <c r="E34" s="1117">
        <v>0.01</v>
      </c>
      <c r="F34" s="1085">
        <v>3165</v>
      </c>
      <c r="G34" s="1085">
        <v>6394</v>
      </c>
      <c r="H34" s="1085">
        <v>3229</v>
      </c>
      <c r="I34" s="1117">
        <v>0.505</v>
      </c>
    </row>
    <row r="35" spans="1:9">
      <c r="A35" s="1107" t="s">
        <v>1042</v>
      </c>
      <c r="B35" s="1085">
        <v>0</v>
      </c>
      <c r="C35" s="1085">
        <v>0</v>
      </c>
      <c r="D35" s="1085">
        <v>0</v>
      </c>
      <c r="E35" s="1117">
        <v>0</v>
      </c>
      <c r="F35" s="1085">
        <v>-24127.67</v>
      </c>
      <c r="G35" s="1085">
        <v>0</v>
      </c>
      <c r="H35" s="1085">
        <v>24127.67</v>
      </c>
      <c r="I35" s="1117">
        <v>0</v>
      </c>
    </row>
    <row r="36" spans="1:9">
      <c r="A36" s="1107" t="s">
        <v>1043</v>
      </c>
      <c r="B36" s="1085">
        <v>0</v>
      </c>
      <c r="C36" s="1085">
        <v>600</v>
      </c>
      <c r="D36" s="1085">
        <v>600</v>
      </c>
      <c r="E36" s="1117">
        <v>1</v>
      </c>
      <c r="F36" s="1085">
        <v>310.87</v>
      </c>
      <c r="G36" s="1085">
        <v>1200</v>
      </c>
      <c r="H36" s="1085">
        <v>889.13</v>
      </c>
      <c r="I36" s="1117">
        <v>0.7409</v>
      </c>
    </row>
    <row r="37" spans="1:9">
      <c r="A37" s="1107" t="s">
        <v>1044</v>
      </c>
      <c r="B37" s="1085">
        <v>0</v>
      </c>
      <c r="C37" s="1085">
        <v>200</v>
      </c>
      <c r="D37" s="1085">
        <v>200</v>
      </c>
      <c r="E37" s="1117">
        <v>1</v>
      </c>
      <c r="F37" s="1085">
        <v>0</v>
      </c>
      <c r="G37" s="1085">
        <v>400</v>
      </c>
      <c r="H37" s="1085">
        <v>400</v>
      </c>
      <c r="I37" s="1117">
        <v>1</v>
      </c>
    </row>
    <row r="38" spans="1:9">
      <c r="A38" s="1107" t="s">
        <v>1045</v>
      </c>
      <c r="B38" s="1085">
        <v>0</v>
      </c>
      <c r="C38" s="1085">
        <v>1100</v>
      </c>
      <c r="D38" s="1085">
        <v>1100</v>
      </c>
      <c r="E38" s="1117">
        <v>1</v>
      </c>
      <c r="F38" s="1085">
        <v>1942.45</v>
      </c>
      <c r="G38" s="1085">
        <v>2200</v>
      </c>
      <c r="H38" s="1085">
        <v>257.55</v>
      </c>
      <c r="I38" s="1117">
        <v>0.1171</v>
      </c>
    </row>
    <row r="39" spans="1:9">
      <c r="A39" s="1107" t="s">
        <v>1046</v>
      </c>
      <c r="B39" s="1085">
        <v>0</v>
      </c>
      <c r="C39" s="1085">
        <v>2000</v>
      </c>
      <c r="D39" s="1085">
        <v>2000</v>
      </c>
      <c r="E39" s="1117">
        <v>1</v>
      </c>
      <c r="F39" s="1085">
        <v>1918.94</v>
      </c>
      <c r="G39" s="1085">
        <v>4000</v>
      </c>
      <c r="H39" s="1085">
        <v>2081.06</v>
      </c>
      <c r="I39" s="1117">
        <v>0.52029999999999998</v>
      </c>
    </row>
    <row r="40" spans="1:9">
      <c r="A40" s="1107" t="s">
        <v>1047</v>
      </c>
      <c r="B40" s="1118">
        <v>0</v>
      </c>
      <c r="C40" s="1118">
        <v>1500</v>
      </c>
      <c r="D40" s="1118">
        <v>1500</v>
      </c>
      <c r="E40" s="1117">
        <v>1</v>
      </c>
      <c r="F40" s="1118">
        <v>633.75</v>
      </c>
      <c r="G40" s="1118">
        <v>3000</v>
      </c>
      <c r="H40" s="1118">
        <v>2366.25</v>
      </c>
      <c r="I40" s="1119">
        <v>0.78879999999999995</v>
      </c>
    </row>
    <row r="41" spans="1:9">
      <c r="A41" s="1107" t="s">
        <v>870</v>
      </c>
      <c r="B41" s="1085">
        <v>15923.32</v>
      </c>
      <c r="C41" s="1085">
        <v>18557</v>
      </c>
      <c r="D41" s="1085">
        <v>2633.68</v>
      </c>
      <c r="E41" s="1117">
        <v>0.1419</v>
      </c>
      <c r="F41" s="1085">
        <v>27576.66</v>
      </c>
      <c r="G41" s="1085">
        <v>47414</v>
      </c>
      <c r="H41" s="1085">
        <v>19837.34</v>
      </c>
      <c r="I41" s="1117">
        <v>0.41839999999999999</v>
      </c>
    </row>
    <row r="42" spans="1:9">
      <c r="B42" s="1120"/>
      <c r="C42" s="1120"/>
      <c r="D42" s="1120"/>
      <c r="F42" s="1120"/>
      <c r="G42" s="1120"/>
      <c r="H42" s="1120"/>
      <c r="I42" s="1120"/>
    </row>
    <row r="43" spans="1:9">
      <c r="A43" s="1107" t="s">
        <v>932</v>
      </c>
      <c r="B43" s="1085">
        <v>233920.7</v>
      </c>
      <c r="C43" s="1085">
        <v>189611</v>
      </c>
      <c r="D43" s="1085">
        <v>44309.7</v>
      </c>
      <c r="E43" s="1117">
        <v>0.23369999999999999</v>
      </c>
      <c r="F43" s="1085">
        <v>522223.1</v>
      </c>
      <c r="G43" s="1085">
        <v>368922</v>
      </c>
      <c r="H43" s="1085">
        <v>153301.1</v>
      </c>
      <c r="I43" s="1117">
        <v>0.41549999999999998</v>
      </c>
    </row>
    <row r="45" spans="1:9">
      <c r="A45" s="1107" t="s">
        <v>871</v>
      </c>
    </row>
    <row r="46" spans="1:9">
      <c r="A46" s="1107" t="s">
        <v>1048</v>
      </c>
      <c r="B46" s="1085">
        <v>50000</v>
      </c>
      <c r="C46" s="1085">
        <v>0</v>
      </c>
      <c r="D46" s="1085">
        <v>-50000</v>
      </c>
      <c r="E46" s="1117">
        <v>0</v>
      </c>
      <c r="F46" s="1085">
        <v>50000</v>
      </c>
      <c r="G46" s="1085">
        <v>0</v>
      </c>
      <c r="H46" s="1085">
        <v>-50000</v>
      </c>
      <c r="I46" s="1117">
        <v>0</v>
      </c>
    </row>
    <row r="47" spans="1:9">
      <c r="A47" s="1107" t="s">
        <v>1049</v>
      </c>
      <c r="B47" s="1118">
        <v>0</v>
      </c>
      <c r="C47" s="1118">
        <v>5077</v>
      </c>
      <c r="D47" s="1118">
        <v>5077</v>
      </c>
      <c r="E47" s="1117">
        <v>1</v>
      </c>
      <c r="F47" s="1118">
        <v>0</v>
      </c>
      <c r="G47" s="1118">
        <v>10154</v>
      </c>
      <c r="H47" s="1118">
        <v>10154</v>
      </c>
      <c r="I47" s="1119">
        <v>1</v>
      </c>
    </row>
    <row r="48" spans="1:9">
      <c r="A48" s="1107" t="s">
        <v>872</v>
      </c>
      <c r="B48" s="1085">
        <v>50000</v>
      </c>
      <c r="C48" s="1085">
        <v>5077</v>
      </c>
      <c r="D48" s="1085">
        <v>-44923</v>
      </c>
      <c r="E48" s="1117">
        <v>-8.8483000000000001</v>
      </c>
      <c r="F48" s="1085">
        <v>50000</v>
      </c>
      <c r="G48" s="1085">
        <v>10154</v>
      </c>
      <c r="H48" s="1085">
        <v>-39846</v>
      </c>
      <c r="I48" s="1117">
        <v>-3.9241999999999999</v>
      </c>
    </row>
    <row r="49" spans="1:9">
      <c r="B49" s="1120"/>
      <c r="C49" s="1120"/>
      <c r="D49" s="1120"/>
      <c r="F49" s="1120"/>
      <c r="G49" s="1120"/>
      <c r="H49" s="1120"/>
      <c r="I49" s="1120"/>
    </row>
    <row r="50" spans="1:9">
      <c r="A50" s="1107" t="s">
        <v>873</v>
      </c>
      <c r="B50" s="1085">
        <v>183920.7</v>
      </c>
      <c r="C50" s="1085">
        <v>184534</v>
      </c>
      <c r="D50" s="1085">
        <v>-613.29999999999995</v>
      </c>
      <c r="E50" s="1117">
        <v>-3.3E-3</v>
      </c>
      <c r="F50" s="1085">
        <v>472223.1</v>
      </c>
      <c r="G50" s="1085">
        <v>358768</v>
      </c>
      <c r="H50" s="1085">
        <v>113455.1</v>
      </c>
      <c r="I50" s="1117">
        <v>0.31619999999999998</v>
      </c>
    </row>
    <row r="52" spans="1:9">
      <c r="A52" s="1107" t="s">
        <v>852</v>
      </c>
      <c r="B52" s="1120"/>
      <c r="C52" s="1120"/>
      <c r="D52" s="1120"/>
      <c r="F52" s="1120"/>
      <c r="G52" s="1120"/>
      <c r="H52" s="1120"/>
      <c r="I52" s="1120"/>
    </row>
    <row r="53" spans="1:9">
      <c r="A53" s="1107" t="s">
        <v>874</v>
      </c>
      <c r="B53" s="1085">
        <v>0</v>
      </c>
      <c r="C53" s="1085">
        <v>0</v>
      </c>
      <c r="D53" s="1085">
        <v>0</v>
      </c>
      <c r="F53" s="1085">
        <v>0</v>
      </c>
      <c r="G53" s="1085">
        <v>0</v>
      </c>
      <c r="H53" s="1085">
        <v>0</v>
      </c>
    </row>
    <row r="55" spans="1:9">
      <c r="A55" s="1107" t="s">
        <v>933</v>
      </c>
      <c r="B55" s="1120"/>
      <c r="C55" s="1120"/>
      <c r="D55" s="1120"/>
      <c r="F55" s="1120"/>
      <c r="G55" s="1120"/>
      <c r="H55" s="1120"/>
      <c r="I55" s="1120"/>
    </row>
    <row r="56" spans="1:9">
      <c r="A56" s="1107" t="s">
        <v>934</v>
      </c>
      <c r="B56" s="1085">
        <v>0</v>
      </c>
      <c r="C56" s="1085">
        <v>0</v>
      </c>
      <c r="D56" s="1085">
        <v>0</v>
      </c>
      <c r="F56" s="1085">
        <v>0</v>
      </c>
      <c r="G56" s="1085">
        <v>0</v>
      </c>
      <c r="H56" s="1085">
        <v>0</v>
      </c>
    </row>
    <row r="57" spans="1:9">
      <c r="B57" s="1120"/>
      <c r="C57" s="1120"/>
      <c r="D57" s="1120"/>
      <c r="F57" s="1120"/>
      <c r="G57" s="1120"/>
      <c r="H57" s="1120"/>
      <c r="I57" s="1120"/>
    </row>
    <row r="58" spans="1:9">
      <c r="A58" s="1107" t="s">
        <v>935</v>
      </c>
      <c r="B58" s="1085">
        <v>183920.7</v>
      </c>
      <c r="C58" s="1085">
        <v>184534</v>
      </c>
      <c r="D58" s="1085">
        <v>-613.29999999999995</v>
      </c>
      <c r="E58" s="1117">
        <v>-3.3E-3</v>
      </c>
      <c r="F58" s="1085">
        <v>472223.1</v>
      </c>
      <c r="G58" s="1085">
        <v>358768</v>
      </c>
      <c r="H58" s="1085">
        <v>113455.1</v>
      </c>
      <c r="I58" s="1117">
        <v>0.31619999999999998</v>
      </c>
    </row>
    <row r="59" spans="1:9">
      <c r="B59" s="1120"/>
      <c r="C59" s="1120"/>
      <c r="D59" s="1120"/>
      <c r="F59" s="1120"/>
      <c r="G59" s="1120"/>
      <c r="H59" s="1120"/>
      <c r="I59" s="1120"/>
    </row>
    <row r="60" spans="1:9">
      <c r="A60" s="1107" t="s">
        <v>875</v>
      </c>
      <c r="B60" s="1085">
        <v>183920.7</v>
      </c>
      <c r="C60" s="1085">
        <v>184534</v>
      </c>
      <c r="D60" s="1085">
        <v>-613.29999999999995</v>
      </c>
      <c r="E60" s="1117">
        <v>-3.3E-3</v>
      </c>
      <c r="F60" s="1085">
        <v>472223.1</v>
      </c>
      <c r="G60" s="1085">
        <v>358768</v>
      </c>
      <c r="H60" s="1085">
        <v>113455.1</v>
      </c>
      <c r="I60" s="1117">
        <v>0.31619999999999998</v>
      </c>
    </row>
    <row r="62" spans="1:9">
      <c r="A62" s="1107" t="s">
        <v>876</v>
      </c>
    </row>
    <row r="63" spans="1:9">
      <c r="A63" s="1107" t="s">
        <v>1050</v>
      </c>
      <c r="B63" s="1085">
        <v>0</v>
      </c>
      <c r="C63" s="1085">
        <v>0</v>
      </c>
      <c r="D63" s="1085">
        <v>0</v>
      </c>
      <c r="E63" s="1117">
        <v>0</v>
      </c>
      <c r="F63" s="1085">
        <v>3001</v>
      </c>
      <c r="G63" s="1085">
        <v>0</v>
      </c>
      <c r="H63" s="1085">
        <v>-3001</v>
      </c>
      <c r="I63" s="1117">
        <v>0</v>
      </c>
    </row>
    <row r="64" spans="1:9">
      <c r="A64" s="1107" t="s">
        <v>1051</v>
      </c>
      <c r="B64" s="1085">
        <v>200000</v>
      </c>
      <c r="C64" s="1085">
        <v>0</v>
      </c>
      <c r="D64" s="1085">
        <v>-200000</v>
      </c>
      <c r="E64" s="1117">
        <v>0</v>
      </c>
      <c r="F64" s="1085">
        <v>200000</v>
      </c>
      <c r="G64" s="1085">
        <v>0</v>
      </c>
      <c r="H64" s="1085">
        <v>-200000</v>
      </c>
      <c r="I64" s="1117">
        <v>0</v>
      </c>
    </row>
    <row r="65" spans="1:9">
      <c r="A65" s="1107" t="s">
        <v>1052</v>
      </c>
      <c r="B65" s="1118">
        <v>0</v>
      </c>
      <c r="C65" s="1118">
        <v>0</v>
      </c>
      <c r="D65" s="1118">
        <v>0</v>
      </c>
      <c r="E65" s="1117">
        <v>0</v>
      </c>
      <c r="F65" s="1118">
        <v>-34973087.939999998</v>
      </c>
      <c r="G65" s="1118">
        <v>0</v>
      </c>
      <c r="H65" s="1118">
        <v>34973087.939999998</v>
      </c>
      <c r="I65" s="1119">
        <v>0</v>
      </c>
    </row>
    <row r="66" spans="1:9">
      <c r="A66" s="1107" t="s">
        <v>877</v>
      </c>
      <c r="B66" s="1085">
        <v>200000</v>
      </c>
      <c r="C66" s="1085">
        <v>0</v>
      </c>
      <c r="D66" s="1085">
        <v>-200000</v>
      </c>
      <c r="F66" s="1085">
        <v>-34770086.939999998</v>
      </c>
      <c r="G66" s="1085">
        <v>0</v>
      </c>
      <c r="H66" s="1085">
        <v>34770086.939999998</v>
      </c>
    </row>
    <row r="67" spans="1:9">
      <c r="B67" s="1120"/>
      <c r="C67" s="1120"/>
      <c r="D67" s="1120"/>
      <c r="F67" s="1120"/>
      <c r="G67" s="1120"/>
      <c r="H67" s="1120"/>
      <c r="I67" s="1120"/>
    </row>
    <row r="68" spans="1:9" ht="13" thickBot="1">
      <c r="A68" s="1107" t="s">
        <v>878</v>
      </c>
      <c r="B68" s="1121">
        <v>-16079.3</v>
      </c>
      <c r="C68" s="1121">
        <v>184534</v>
      </c>
      <c r="D68" s="1121">
        <v>-200613.3</v>
      </c>
      <c r="E68" s="1117">
        <v>-1.0871</v>
      </c>
      <c r="F68" s="1121">
        <v>35242310.039999999</v>
      </c>
      <c r="G68" s="1121">
        <v>358768</v>
      </c>
      <c r="H68" s="1121">
        <v>34883542.039999999</v>
      </c>
      <c r="I68" s="1127">
        <v>97.231499999999997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ACBB-8DEA-4BB4-A3EF-89F0FEE04005}">
  <dimension ref="A1:K8"/>
  <sheetViews>
    <sheetView workbookViewId="0">
      <selection activeCell="B9" sqref="A9:XFD9"/>
    </sheetView>
  </sheetViews>
  <sheetFormatPr defaultRowHeight="12.5"/>
  <cols>
    <col min="5" max="5" width="9.6328125" bestFit="1" customWidth="1"/>
    <col min="10" max="10" width="9.81640625" bestFit="1" customWidth="1"/>
  </cols>
  <sheetData>
    <row r="1" spans="1:11">
      <c r="A1" s="1108" t="s">
        <v>879</v>
      </c>
      <c r="D1" s="1108" t="s">
        <v>880</v>
      </c>
      <c r="E1" s="1108" t="s">
        <v>881</v>
      </c>
      <c r="G1" s="1108" t="s">
        <v>882</v>
      </c>
      <c r="H1" s="1108" t="s">
        <v>883</v>
      </c>
      <c r="I1" s="1108" t="s">
        <v>884</v>
      </c>
      <c r="J1" s="1108" t="s">
        <v>885</v>
      </c>
      <c r="K1" s="1108" t="s">
        <v>886</v>
      </c>
    </row>
    <row r="2" spans="1:11">
      <c r="A2" s="1107" t="s">
        <v>986</v>
      </c>
      <c r="D2" s="1111">
        <v>0</v>
      </c>
      <c r="E2" s="1111">
        <v>-959.71</v>
      </c>
      <c r="F2" s="1111">
        <v>0</v>
      </c>
      <c r="G2" s="1111">
        <v>0</v>
      </c>
      <c r="H2" s="1111">
        <v>0</v>
      </c>
      <c r="I2" s="1111">
        <v>0</v>
      </c>
      <c r="J2" s="1111">
        <v>-959.71</v>
      </c>
    </row>
    <row r="3" spans="1:11">
      <c r="A3" s="1107" t="s">
        <v>887</v>
      </c>
      <c r="D3" s="1111">
        <v>180148.84</v>
      </c>
      <c r="E3" s="1111">
        <v>66417.91</v>
      </c>
      <c r="F3" s="1111">
        <v>180148.84</v>
      </c>
      <c r="G3" s="1111">
        <v>208355.91</v>
      </c>
      <c r="H3" s="1111">
        <v>0</v>
      </c>
      <c r="I3" s="1111">
        <v>0</v>
      </c>
      <c r="J3" s="1111">
        <v>38210.839999999997</v>
      </c>
    </row>
    <row r="4" spans="1:11">
      <c r="A4" s="1107" t="s">
        <v>888</v>
      </c>
      <c r="D4" s="1111">
        <v>20320.400000000001</v>
      </c>
      <c r="E4" s="1111">
        <v>6666.91</v>
      </c>
      <c r="F4" s="1111">
        <v>20320.400000000001</v>
      </c>
      <c r="G4" s="1111">
        <v>21463.41</v>
      </c>
      <c r="H4" s="1111">
        <v>0</v>
      </c>
      <c r="I4" s="1111">
        <v>0</v>
      </c>
      <c r="J4" s="1111">
        <v>5523.9</v>
      </c>
    </row>
    <row r="5" spans="1:11">
      <c r="A5" s="1107" t="s">
        <v>905</v>
      </c>
      <c r="D5" s="1111">
        <v>1536.45</v>
      </c>
      <c r="E5" s="1111">
        <v>594.29999999999995</v>
      </c>
      <c r="F5" s="1111">
        <v>1536.45</v>
      </c>
      <c r="G5" s="1111">
        <v>1647.14</v>
      </c>
      <c r="H5" s="1111">
        <v>0</v>
      </c>
      <c r="I5" s="1111">
        <v>0</v>
      </c>
      <c r="J5" s="1111">
        <v>483.61</v>
      </c>
    </row>
    <row r="6" spans="1:11">
      <c r="A6" s="1107" t="s">
        <v>907</v>
      </c>
      <c r="D6" s="1111">
        <v>11539.82</v>
      </c>
      <c r="E6" s="1111">
        <v>3916.95</v>
      </c>
      <c r="F6" s="1111">
        <v>11539.82</v>
      </c>
      <c r="G6" s="1111">
        <v>12264.54</v>
      </c>
      <c r="H6" s="1111">
        <v>0</v>
      </c>
      <c r="I6" s="1111">
        <v>0</v>
      </c>
      <c r="J6" s="1111">
        <v>3192.23</v>
      </c>
    </row>
    <row r="7" spans="1:11">
      <c r="A7" s="1107" t="s">
        <v>987</v>
      </c>
      <c r="D7" s="1111">
        <v>5338.65</v>
      </c>
      <c r="E7" s="1111">
        <v>1914.68</v>
      </c>
      <c r="F7" s="1111">
        <v>5338.65</v>
      </c>
      <c r="G7" s="1111">
        <v>6113.02</v>
      </c>
      <c r="H7" s="1111">
        <v>0</v>
      </c>
      <c r="I7" s="1111">
        <v>0</v>
      </c>
      <c r="J7" s="1111">
        <v>1140.31</v>
      </c>
    </row>
    <row r="8" spans="1:11">
      <c r="B8" s="1108" t="s">
        <v>890</v>
      </c>
      <c r="D8" s="1114">
        <v>218884.16</v>
      </c>
      <c r="E8" s="1114">
        <v>78551.039999999994</v>
      </c>
      <c r="F8" s="1114">
        <v>218884.16</v>
      </c>
      <c r="G8" s="1114">
        <v>249844.02</v>
      </c>
      <c r="H8" s="1114">
        <v>0</v>
      </c>
      <c r="I8" s="1114">
        <v>0</v>
      </c>
      <c r="J8" s="1115">
        <v>47591.18</v>
      </c>
      <c r="K8" s="1115">
        <v>70080.08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2"/>
  <dimension ref="A2:C17"/>
  <sheetViews>
    <sheetView workbookViewId="0">
      <selection activeCell="J15" sqref="J15"/>
    </sheetView>
  </sheetViews>
  <sheetFormatPr defaultRowHeight="12.5"/>
  <cols>
    <col min="1" max="1" width="36.1796875" customWidth="1"/>
    <col min="3" max="3" width="12" customWidth="1"/>
  </cols>
  <sheetData>
    <row r="2" spans="1:3">
      <c r="A2" t="s">
        <v>503</v>
      </c>
      <c r="B2">
        <v>40100</v>
      </c>
      <c r="C2" s="27"/>
    </row>
    <row r="3" spans="1:3">
      <c r="A3" s="22" t="s">
        <v>504</v>
      </c>
      <c r="B3">
        <v>40100</v>
      </c>
      <c r="C3" s="27"/>
    </row>
    <row r="4" spans="1:3">
      <c r="A4" t="s">
        <v>505</v>
      </c>
      <c r="B4">
        <v>40220</v>
      </c>
      <c r="C4" s="27"/>
    </row>
    <row r="5" spans="1:3">
      <c r="C5" s="27"/>
    </row>
    <row r="6" spans="1:3">
      <c r="A6" t="s">
        <v>147</v>
      </c>
      <c r="C6" s="27"/>
    </row>
    <row r="7" spans="1:3">
      <c r="C7" s="27"/>
    </row>
    <row r="8" spans="1:3">
      <c r="A8" t="s">
        <v>506</v>
      </c>
      <c r="C8" s="27"/>
    </row>
    <row r="10" spans="1:3">
      <c r="A10" t="s">
        <v>507</v>
      </c>
      <c r="C10" s="975">
        <f>+C6-C8</f>
        <v>0</v>
      </c>
    </row>
    <row r="17" spans="1:3">
      <c r="A17" t="s">
        <v>147</v>
      </c>
      <c r="C17" s="975">
        <f>SUM(C13:C16)</f>
        <v>0</v>
      </c>
    </row>
  </sheetData>
  <phoneticPr fontId="76" type="noConversion"/>
  <pageMargins left="0.75" right="0.75" top="1" bottom="1" header="0.5" footer="0.5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3">
    <pageSetUpPr fitToPage="1"/>
  </sheetPr>
  <dimension ref="A1:I33"/>
  <sheetViews>
    <sheetView zoomScaleNormal="100" workbookViewId="0">
      <selection activeCell="E45" sqref="E45"/>
    </sheetView>
  </sheetViews>
  <sheetFormatPr defaultRowHeight="12.5"/>
  <cols>
    <col min="1" max="1" width="22" customWidth="1"/>
    <col min="2" max="2" width="2" customWidth="1"/>
    <col min="3" max="3" width="20.7265625" customWidth="1"/>
    <col min="4" max="4" width="2" customWidth="1"/>
    <col min="5" max="5" width="21.81640625" customWidth="1"/>
    <col min="6" max="6" width="1.81640625" customWidth="1"/>
    <col min="7" max="7" width="21.81640625" customWidth="1"/>
    <col min="8" max="8" width="2.1796875" customWidth="1"/>
    <col min="9" max="9" width="21.1796875" customWidth="1"/>
    <col min="10" max="10" width="11.26953125" customWidth="1"/>
    <col min="12" max="12" width="9.26953125" bestFit="1" customWidth="1"/>
  </cols>
  <sheetData>
    <row r="1" spans="1:9" ht="18">
      <c r="A1" s="1223" t="s">
        <v>508</v>
      </c>
      <c r="B1" s="1224"/>
      <c r="C1" s="1224"/>
      <c r="D1" s="1224"/>
      <c r="E1" s="1224"/>
      <c r="F1" s="1224"/>
      <c r="G1" s="1224"/>
      <c r="H1" s="1224"/>
      <c r="I1" s="1225"/>
    </row>
    <row r="2" spans="1:9" ht="18">
      <c r="A2" s="1197" t="s">
        <v>509</v>
      </c>
      <c r="B2" s="1260"/>
      <c r="C2" s="1260"/>
      <c r="D2" s="1260"/>
      <c r="E2" s="1260"/>
      <c r="F2" s="1260"/>
      <c r="G2" s="1260"/>
      <c r="H2" s="1260"/>
      <c r="I2" s="1261"/>
    </row>
    <row r="3" spans="1:9" ht="18.5" thickBot="1">
      <c r="A3" s="1262" t="str">
        <f>+'Review Comments'!B13</f>
        <v>FOR THE MONTH ENDED 08/31/26</v>
      </c>
      <c r="B3" s="1263"/>
      <c r="C3" s="1263"/>
      <c r="D3" s="1263"/>
      <c r="E3" s="1263"/>
      <c r="F3" s="1263"/>
      <c r="G3" s="1263"/>
      <c r="H3" s="1263"/>
      <c r="I3" s="1264"/>
    </row>
    <row r="4" spans="1:9">
      <c r="A4" s="876"/>
      <c r="B4" s="876"/>
      <c r="C4" s="876"/>
      <c r="D4" s="876"/>
      <c r="E4" s="876"/>
      <c r="F4" s="876"/>
      <c r="G4" s="876"/>
      <c r="H4" s="876"/>
      <c r="I4" s="876"/>
    </row>
    <row r="5" spans="1:9" ht="13" thickBot="1">
      <c r="A5" s="876"/>
      <c r="B5" s="876"/>
      <c r="C5" s="876"/>
      <c r="D5" s="876"/>
      <c r="E5" s="876"/>
      <c r="F5" s="876"/>
      <c r="G5" s="876"/>
      <c r="H5" s="876"/>
      <c r="I5" s="876"/>
    </row>
    <row r="6" spans="1:9" ht="14.25" customHeight="1">
      <c r="A6" s="877"/>
      <c r="B6" s="1043"/>
      <c r="C6" s="1265" t="s">
        <v>208</v>
      </c>
      <c r="D6" s="1043"/>
      <c r="E6" s="1265" t="s">
        <v>206</v>
      </c>
      <c r="F6" s="1043"/>
      <c r="G6" s="1265" t="s">
        <v>83</v>
      </c>
      <c r="H6" s="358"/>
      <c r="I6" s="878" t="s">
        <v>120</v>
      </c>
    </row>
    <row r="7" spans="1:9" ht="15" customHeight="1" thickBot="1">
      <c r="A7" s="308"/>
      <c r="B7" s="1044"/>
      <c r="C7" s="1266"/>
      <c r="D7" s="1044"/>
      <c r="E7" s="1266"/>
      <c r="F7" s="1044"/>
      <c r="G7" s="1266"/>
      <c r="H7" s="879"/>
      <c r="I7" s="880" t="s">
        <v>510</v>
      </c>
    </row>
    <row r="8" spans="1:9">
      <c r="A8" s="881"/>
      <c r="B8" s="882"/>
      <c r="C8" s="882"/>
      <c r="D8" s="882"/>
      <c r="E8" s="882"/>
      <c r="F8" s="882"/>
      <c r="G8" s="882"/>
      <c r="I8" s="28"/>
    </row>
    <row r="9" spans="1:9">
      <c r="A9" s="883" t="s">
        <v>511</v>
      </c>
      <c r="B9" s="24"/>
      <c r="C9" s="24">
        <f>2475*2</f>
        <v>4950</v>
      </c>
      <c r="D9" s="24"/>
      <c r="E9" s="24"/>
      <c r="F9" s="24"/>
      <c r="G9" s="24"/>
      <c r="H9" s="24"/>
      <c r="I9" s="884">
        <f>SUM(C9:H9)</f>
        <v>4950</v>
      </c>
    </row>
    <row r="10" spans="1:9">
      <c r="A10" s="883"/>
      <c r="B10" s="24"/>
      <c r="C10" s="24"/>
      <c r="D10" s="24"/>
      <c r="E10" s="24"/>
      <c r="F10" s="24"/>
      <c r="G10" s="24"/>
      <c r="H10" s="24"/>
      <c r="I10" s="885"/>
    </row>
    <row r="11" spans="1:9">
      <c r="A11" s="883" t="s">
        <v>512</v>
      </c>
      <c r="B11" s="24"/>
      <c r="C11" s="24">
        <v>2475</v>
      </c>
      <c r="D11" s="24"/>
      <c r="E11" s="24"/>
      <c r="F11" s="24"/>
      <c r="G11" s="24"/>
      <c r="H11" s="24"/>
      <c r="I11" s="884">
        <f>SUM(B11:H11)</f>
        <v>2475</v>
      </c>
    </row>
    <row r="12" spans="1:9">
      <c r="A12" s="883"/>
      <c r="B12" s="24"/>
      <c r="C12" s="24"/>
      <c r="D12" s="24"/>
      <c r="E12" s="24"/>
      <c r="F12" s="24"/>
      <c r="G12" s="24"/>
      <c r="H12" s="24"/>
      <c r="I12" s="885"/>
    </row>
    <row r="13" spans="1:9">
      <c r="A13" s="883" t="s">
        <v>513</v>
      </c>
      <c r="B13" s="24"/>
      <c r="C13" s="24">
        <v>2475</v>
      </c>
      <c r="D13" s="24"/>
      <c r="E13" s="24"/>
      <c r="F13" s="24"/>
      <c r="G13" s="24"/>
      <c r="H13" s="24"/>
      <c r="I13" s="884">
        <f>SUM(B13:H13)</f>
        <v>2475</v>
      </c>
    </row>
    <row r="14" spans="1:9">
      <c r="A14" s="883"/>
      <c r="B14" s="24"/>
      <c r="C14" s="24"/>
      <c r="D14" s="24"/>
      <c r="E14" s="24"/>
      <c r="F14" s="24"/>
      <c r="G14" s="24"/>
      <c r="H14" s="24"/>
      <c r="I14" s="885"/>
    </row>
    <row r="15" spans="1:9">
      <c r="A15" s="883" t="s">
        <v>514</v>
      </c>
      <c r="B15" s="24"/>
      <c r="C15" s="24">
        <v>2475</v>
      </c>
      <c r="D15" s="24"/>
      <c r="E15" s="24"/>
      <c r="F15" s="24"/>
      <c r="G15" s="24"/>
      <c r="H15" s="24"/>
      <c r="I15" s="884">
        <f>SUM(B15:H15)</f>
        <v>2475</v>
      </c>
    </row>
    <row r="16" spans="1:9">
      <c r="A16" s="883"/>
      <c r="B16" s="24"/>
      <c r="C16" s="24"/>
      <c r="D16" s="24"/>
      <c r="E16" s="24"/>
      <c r="F16" s="24"/>
      <c r="G16" s="24"/>
      <c r="H16" s="24"/>
      <c r="I16" s="884"/>
    </row>
    <row r="17" spans="1:9">
      <c r="A17" s="883" t="s">
        <v>515</v>
      </c>
      <c r="B17" s="24"/>
      <c r="C17" s="24">
        <v>2475</v>
      </c>
      <c r="D17" s="24"/>
      <c r="E17" s="24">
        <v>3343.75</v>
      </c>
      <c r="F17" s="24"/>
      <c r="G17" s="24">
        <f>2430*5+2430-5346</f>
        <v>9234</v>
      </c>
      <c r="H17" s="24"/>
      <c r="I17" s="884">
        <f>SUM(B17:H17)</f>
        <v>15052.75</v>
      </c>
    </row>
    <row r="18" spans="1:9">
      <c r="A18" s="883"/>
      <c r="B18" s="24"/>
      <c r="C18" s="24"/>
      <c r="D18" s="24"/>
      <c r="E18" s="24"/>
      <c r="F18" s="24"/>
      <c r="G18" s="24"/>
      <c r="H18" s="24"/>
      <c r="I18" s="885"/>
    </row>
    <row r="19" spans="1:9">
      <c r="A19" s="883" t="s">
        <v>516</v>
      </c>
      <c r="B19" s="24"/>
      <c r="C19" s="24"/>
      <c r="D19" s="24"/>
      <c r="E19" s="24"/>
      <c r="F19" s="24"/>
      <c r="G19" s="24"/>
      <c r="H19" s="24"/>
      <c r="I19" s="884">
        <f>SUM(C19:G19)</f>
        <v>0</v>
      </c>
    </row>
    <row r="20" spans="1:9">
      <c r="A20" s="883"/>
      <c r="B20" s="24"/>
      <c r="C20" s="24"/>
      <c r="D20" s="24"/>
      <c r="E20" s="24"/>
      <c r="F20" s="24"/>
      <c r="G20" s="24"/>
      <c r="H20" s="24"/>
      <c r="I20" s="884"/>
    </row>
    <row r="21" spans="1:9">
      <c r="A21" s="883" t="s">
        <v>517</v>
      </c>
      <c r="B21" s="24"/>
      <c r="C21" s="24"/>
      <c r="D21" s="24"/>
      <c r="E21" s="24"/>
      <c r="F21" s="24"/>
      <c r="G21" s="24"/>
      <c r="H21" s="24"/>
      <c r="I21" s="884">
        <f>SUM(B21:E21)</f>
        <v>0</v>
      </c>
    </row>
    <row r="22" spans="1:9">
      <c r="A22" s="883"/>
      <c r="B22" s="24"/>
      <c r="C22" s="24"/>
      <c r="D22" s="24"/>
      <c r="E22" s="24"/>
      <c r="F22" s="24"/>
      <c r="G22" s="24"/>
      <c r="H22" s="24"/>
      <c r="I22" s="885"/>
    </row>
    <row r="23" spans="1:9">
      <c r="A23" s="883" t="s">
        <v>518</v>
      </c>
      <c r="B23" s="24"/>
      <c r="C23" s="24"/>
      <c r="D23" s="24"/>
      <c r="E23" s="24"/>
      <c r="F23" s="24"/>
      <c r="G23" s="24"/>
      <c r="H23" s="886"/>
      <c r="I23" s="884">
        <f>SUM(B23:E23)</f>
        <v>0</v>
      </c>
    </row>
    <row r="24" spans="1:9">
      <c r="A24" s="883"/>
      <c r="B24" s="24"/>
      <c r="C24" s="24"/>
      <c r="D24" s="24"/>
      <c r="E24" s="24"/>
      <c r="F24" s="24"/>
      <c r="G24" s="24"/>
      <c r="H24" s="24"/>
      <c r="I24" s="885"/>
    </row>
    <row r="25" spans="1:9">
      <c r="A25" s="883" t="s">
        <v>519</v>
      </c>
      <c r="B25" s="24"/>
      <c r="C25" s="24"/>
      <c r="D25" s="24"/>
      <c r="E25" s="24"/>
      <c r="F25" s="24"/>
      <c r="G25" s="24"/>
      <c r="H25" s="24"/>
      <c r="I25" s="884">
        <f>SUM(B25:E25)</f>
        <v>0</v>
      </c>
    </row>
    <row r="26" spans="1:9">
      <c r="A26" s="883"/>
      <c r="B26" s="24"/>
      <c r="C26" s="24"/>
      <c r="D26" s="24"/>
      <c r="E26" s="24"/>
      <c r="F26" s="24"/>
      <c r="G26" s="24"/>
      <c r="H26" s="24"/>
      <c r="I26" s="885"/>
    </row>
    <row r="27" spans="1:9">
      <c r="A27" s="883" t="s">
        <v>520</v>
      </c>
      <c r="B27" s="24"/>
      <c r="C27" s="24"/>
      <c r="D27" s="24"/>
      <c r="E27" s="24"/>
      <c r="F27" s="24"/>
      <c r="G27" s="24"/>
      <c r="H27" s="24"/>
      <c r="I27" s="884">
        <f>SUM(B27:E27)</f>
        <v>0</v>
      </c>
    </row>
    <row r="28" spans="1:9">
      <c r="A28" s="883"/>
      <c r="B28" s="24"/>
      <c r="C28" s="24"/>
      <c r="D28" s="24"/>
      <c r="E28" s="24"/>
      <c r="F28" s="24"/>
      <c r="G28" s="24"/>
      <c r="H28" s="24"/>
      <c r="I28" s="885"/>
    </row>
    <row r="29" spans="1:9">
      <c r="A29" s="887" t="s">
        <v>521</v>
      </c>
      <c r="B29" s="24"/>
      <c r="C29" s="24"/>
      <c r="D29" s="24"/>
      <c r="E29" s="24"/>
      <c r="F29" s="24"/>
      <c r="G29" s="24"/>
      <c r="H29" s="888"/>
      <c r="I29" s="884">
        <f>SUM(B29:E29)</f>
        <v>0</v>
      </c>
    </row>
    <row r="30" spans="1:9">
      <c r="A30" s="889"/>
      <c r="B30" s="890"/>
      <c r="C30" s="891"/>
      <c r="D30" s="890"/>
      <c r="E30" s="891"/>
      <c r="F30" s="890"/>
      <c r="G30" s="891"/>
      <c r="H30" s="24"/>
      <c r="I30" s="892"/>
    </row>
    <row r="31" spans="1:9">
      <c r="A31" s="889"/>
      <c r="B31" s="890"/>
      <c r="C31" s="890"/>
      <c r="D31" s="890"/>
      <c r="E31" s="890"/>
      <c r="F31" s="890"/>
      <c r="G31" s="890"/>
      <c r="H31" s="24"/>
      <c r="I31" s="884"/>
    </row>
    <row r="32" spans="1:9" ht="13">
      <c r="A32" s="307"/>
      <c r="B32" s="890"/>
      <c r="C32" s="890">
        <f>SUM(C9:D30)</f>
        <v>14850</v>
      </c>
      <c r="D32" s="890"/>
      <c r="E32" s="890">
        <f>SUM(E9:F30)</f>
        <v>3343.75</v>
      </c>
      <c r="F32" s="890">
        <f>SUM(F13:F30)</f>
        <v>0</v>
      </c>
      <c r="G32" s="890">
        <f>SUM(G9:G30)</f>
        <v>9234</v>
      </c>
      <c r="H32" s="893"/>
      <c r="I32" s="884">
        <f>SUM(I8:I31)</f>
        <v>27427.75</v>
      </c>
    </row>
    <row r="33" spans="1:9" ht="13" thickBot="1">
      <c r="A33" s="145"/>
      <c r="B33" s="146"/>
      <c r="C33" s="146"/>
      <c r="D33" s="146"/>
      <c r="E33" s="146"/>
      <c r="F33" s="146"/>
      <c r="G33" s="146"/>
      <c r="H33" s="146"/>
      <c r="I33" s="894"/>
    </row>
  </sheetData>
  <mergeCells count="6">
    <mergeCell ref="A1:I1"/>
    <mergeCell ref="A2:I2"/>
    <mergeCell ref="A3:I3"/>
    <mergeCell ref="E6:E7"/>
    <mergeCell ref="C6:C7"/>
    <mergeCell ref="G6:G7"/>
  </mergeCells>
  <phoneticPr fontId="40" type="noConversion"/>
  <pageMargins left="0.75" right="0.75" top="1" bottom="1" header="0.5" footer="0.5"/>
  <pageSetup scale="78" orientation="portrait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4"/>
  <dimension ref="A1:F7"/>
  <sheetViews>
    <sheetView workbookViewId="0">
      <selection activeCell="E19" sqref="E19"/>
    </sheetView>
  </sheetViews>
  <sheetFormatPr defaultRowHeight="12.5"/>
  <cols>
    <col min="2" max="2" width="16.26953125" bestFit="1" customWidth="1"/>
    <col min="3" max="4" width="11.26953125" bestFit="1" customWidth="1"/>
    <col min="5" max="5" width="9.81640625" bestFit="1" customWidth="1"/>
    <col min="6" max="6" width="62.7265625" customWidth="1"/>
    <col min="7" max="7" width="5.54296875" customWidth="1"/>
  </cols>
  <sheetData>
    <row r="1" spans="1:6" s="6" customFormat="1" ht="13">
      <c r="A1" s="978" t="s">
        <v>522</v>
      </c>
      <c r="B1" s="978" t="s">
        <v>523</v>
      </c>
      <c r="C1" s="978" t="s">
        <v>64</v>
      </c>
      <c r="D1" s="978" t="s">
        <v>490</v>
      </c>
      <c r="E1" s="978" t="s">
        <v>66</v>
      </c>
      <c r="F1" s="978" t="s">
        <v>371</v>
      </c>
    </row>
    <row r="3" spans="1:6">
      <c r="A3" s="1">
        <v>40100</v>
      </c>
      <c r="B3" t="s">
        <v>503</v>
      </c>
      <c r="C3" s="27"/>
      <c r="D3" s="27"/>
      <c r="E3" s="979"/>
    </row>
    <row r="4" spans="1:6">
      <c r="A4" s="1"/>
      <c r="C4" s="27"/>
      <c r="D4" s="27"/>
      <c r="E4" s="979"/>
    </row>
    <row r="5" spans="1:6">
      <c r="A5" s="1">
        <v>40220</v>
      </c>
      <c r="B5" t="s">
        <v>505</v>
      </c>
      <c r="C5" s="27"/>
      <c r="D5" s="27">
        <v>0</v>
      </c>
      <c r="E5" s="979">
        <f>D5+C5</f>
        <v>0</v>
      </c>
    </row>
    <row r="6" spans="1:6">
      <c r="A6" s="1"/>
      <c r="C6" s="27"/>
      <c r="D6" s="27"/>
      <c r="E6" s="979"/>
    </row>
    <row r="7" spans="1:6">
      <c r="A7" s="1">
        <v>40250</v>
      </c>
      <c r="B7" t="s">
        <v>524</v>
      </c>
      <c r="C7" s="27"/>
      <c r="D7" s="27">
        <v>0</v>
      </c>
      <c r="E7" s="97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erical_x0020_Order xmlns="7fdb9d63-df8c-457a-a1a6-43d39724f361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82F5A695F354EA1EA57F8147C47D4" ma:contentTypeVersion="13" ma:contentTypeDescription="Create a new document." ma:contentTypeScope="" ma:versionID="8a8c21480b048d77aa091c1ce4871136">
  <xsd:schema xmlns:xsd="http://www.w3.org/2001/XMLSchema" xmlns:xs="http://www.w3.org/2001/XMLSchema" xmlns:p="http://schemas.microsoft.com/office/2006/metadata/properties" xmlns:ns2="7fdb9d63-df8c-457a-a1a6-43d39724f361" xmlns:ns3="81cde07e-ad09-453f-b9a5-43fb77ba6777" targetNamespace="http://schemas.microsoft.com/office/2006/metadata/properties" ma:root="true" ma:fieldsID="9f6934feee124c7e3d022f6eef8fbb68" ns2:_="" ns3:_="">
    <xsd:import namespace="7fdb9d63-df8c-457a-a1a6-43d39724f361"/>
    <xsd:import namespace="81cde07e-ad09-453f-b9a5-43fb77ba6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Numerical_x0020_Orde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b9d63-df8c-457a-a1a6-43d39724f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Numerical_x0020_Order" ma:index="16" nillable="true" ma:displayName="Numerical Order" ma:format="Dropdown" ma:internalName="Numerical_x0020_Order" ma:percentage="FALSE">
      <xsd:simpleType>
        <xsd:restriction base="dms:Number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de07e-ad09-453f-b9a5-43fb77ba6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FA2D4B-0B86-4DE0-8336-0080F5E11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F17C7F-42C0-4A75-95B4-489D4C4FFF2E}">
  <ds:schemaRefs>
    <ds:schemaRef ds:uri="7fdb9d63-df8c-457a-a1a6-43d39724f361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81cde07e-ad09-453f-b9a5-43fb77ba6777"/>
  </ds:schemaRefs>
</ds:datastoreItem>
</file>

<file path=customXml/itemProps3.xml><?xml version="1.0" encoding="utf-8"?>
<ds:datastoreItem xmlns:ds="http://schemas.openxmlformats.org/officeDocument/2006/customXml" ds:itemID="{C652BBCA-BDC6-46DF-A688-A040C6DB81C9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6C6129A-B21E-48CF-9924-A66982C95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b9d63-df8c-457a-a1a6-43d39724f361"/>
    <ds:schemaRef ds:uri="81cde07e-ad09-453f-b9a5-43fb77ba6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78</vt:i4>
      </vt:variant>
      <vt:variant>
        <vt:lpstr>Named Ranges</vt:lpstr>
      </vt:variant>
      <vt:variant>
        <vt:i4>48</vt:i4>
      </vt:variant>
    </vt:vector>
  </HeadingPairs>
  <TitlesOfParts>
    <vt:vector size="126" baseType="lpstr">
      <vt:lpstr>Review Comments</vt:lpstr>
      <vt:lpstr>Min Rent Plan</vt:lpstr>
      <vt:lpstr>Min Rent Forecast</vt:lpstr>
      <vt:lpstr>Inline Rates</vt:lpstr>
      <vt:lpstr>Stats Page</vt:lpstr>
      <vt:lpstr>MRI Data</vt:lpstr>
      <vt:lpstr>Statistical Data</vt:lpstr>
      <vt:lpstr>MR-Stat Data Sheet Bud</vt:lpstr>
      <vt:lpstr>Min Rent Bud</vt:lpstr>
      <vt:lpstr>Stats Page Bud</vt:lpstr>
      <vt:lpstr>PCR</vt:lpstr>
      <vt:lpstr>12020</vt:lpstr>
      <vt:lpstr>12410</vt:lpstr>
      <vt:lpstr>12510</vt:lpstr>
      <vt:lpstr>TB</vt:lpstr>
      <vt:lpstr>13000</vt:lpstr>
      <vt:lpstr>10197</vt:lpstr>
      <vt:lpstr> 10410</vt:lpstr>
      <vt:lpstr>12041</vt:lpstr>
      <vt:lpstr>13100</vt:lpstr>
      <vt:lpstr>13140</vt:lpstr>
      <vt:lpstr>15500</vt:lpstr>
      <vt:lpstr>Escrow Accts</vt:lpstr>
      <vt:lpstr>Assets</vt:lpstr>
      <vt:lpstr>1800830</vt:lpstr>
      <vt:lpstr>Insurance</vt:lpstr>
      <vt:lpstr>15656-9000</vt:lpstr>
      <vt:lpstr>Awning  Amort</vt:lpstr>
      <vt:lpstr>Prkg Lot Amort</vt:lpstr>
      <vt:lpstr>Building</vt:lpstr>
      <vt:lpstr>Tax</vt:lpstr>
      <vt:lpstr>16500</vt:lpstr>
      <vt:lpstr>20910</vt:lpstr>
      <vt:lpstr>1502880 Suspense</vt:lpstr>
      <vt:lpstr>20100</vt:lpstr>
      <vt:lpstr>16500A</vt:lpstr>
      <vt:lpstr>17910</vt:lpstr>
      <vt:lpstr>17920</vt:lpstr>
      <vt:lpstr>17930</vt:lpstr>
      <vt:lpstr>17940</vt:lpstr>
      <vt:lpstr>17950</vt:lpstr>
      <vt:lpstr>17960</vt:lpstr>
      <vt:lpstr>17970</vt:lpstr>
      <vt:lpstr>17971</vt:lpstr>
      <vt:lpstr>17980</vt:lpstr>
      <vt:lpstr>17982</vt:lpstr>
      <vt:lpstr>Depreciation</vt:lpstr>
      <vt:lpstr>20400</vt:lpstr>
      <vt:lpstr>20630</vt:lpstr>
      <vt:lpstr>17300</vt:lpstr>
      <vt:lpstr>20800</vt:lpstr>
      <vt:lpstr>20901</vt:lpstr>
      <vt:lpstr>25410</vt:lpstr>
      <vt:lpstr>25300</vt:lpstr>
      <vt:lpstr>26510</vt:lpstr>
      <vt:lpstr>35000</vt:lpstr>
      <vt:lpstr>35730</vt:lpstr>
      <vt:lpstr>35740</vt:lpstr>
      <vt:lpstr>35750</vt:lpstr>
      <vt:lpstr>35760</vt:lpstr>
      <vt:lpstr>35770</vt:lpstr>
      <vt:lpstr>35780</vt:lpstr>
      <vt:lpstr>35790</vt:lpstr>
      <vt:lpstr>35800</vt:lpstr>
      <vt:lpstr>35810</vt:lpstr>
      <vt:lpstr>36000</vt:lpstr>
      <vt:lpstr>36191</vt:lpstr>
      <vt:lpstr>36192</vt:lpstr>
      <vt:lpstr>36193</vt:lpstr>
      <vt:lpstr>36194</vt:lpstr>
      <vt:lpstr>36195</vt:lpstr>
      <vt:lpstr>36196</vt:lpstr>
      <vt:lpstr>Cash Income</vt:lpstr>
      <vt:lpstr>IS</vt:lpstr>
      <vt:lpstr>CM Ledger</vt:lpstr>
      <vt:lpstr>Notes</vt:lpstr>
      <vt:lpstr>4000362</vt:lpstr>
      <vt:lpstr>Variance</vt:lpstr>
      <vt:lpstr>'MR-Stat Data Sheet Bud'!Actual_Rent</vt:lpstr>
      <vt:lpstr>Actual_Sqft</vt:lpstr>
      <vt:lpstr>'MR-Stat Data Sheet Bud'!ActualMonth</vt:lpstr>
      <vt:lpstr>ActualMonth</vt:lpstr>
      <vt:lpstr>Inline_Rate</vt:lpstr>
      <vt:lpstr>inlineoccb</vt:lpstr>
      <vt:lpstr>inlineoccf</vt:lpstr>
      <vt:lpstr>inlinerateb</vt:lpstr>
      <vt:lpstr>inlineratef</vt:lpstr>
      <vt:lpstr>inlineratepy</vt:lpstr>
      <vt:lpstr>Month</vt:lpstr>
      <vt:lpstr>overalloccb</vt:lpstr>
      <vt:lpstr>overalloccf</vt:lpstr>
      <vt:lpstr>Plan_Rent</vt:lpstr>
      <vt:lpstr>Plan_Sqft</vt:lpstr>
      <vt:lpstr>'15656-9000'!Print_Area</vt:lpstr>
      <vt:lpstr>'16500A'!Print_Area</vt:lpstr>
      <vt:lpstr>'17980'!Print_Area</vt:lpstr>
      <vt:lpstr>'1800830'!Print_Area</vt:lpstr>
      <vt:lpstr>'20100'!Print_Area</vt:lpstr>
      <vt:lpstr>'20910'!Print_Area</vt:lpstr>
      <vt:lpstr>'4000362'!Print_Area</vt:lpstr>
      <vt:lpstr>Assets!Print_Area</vt:lpstr>
      <vt:lpstr>Building!Print_Area</vt:lpstr>
      <vt:lpstr>Depreciation!Print_Area</vt:lpstr>
      <vt:lpstr>'Escrow Accts'!Print_Area</vt:lpstr>
      <vt:lpstr>'Inline Rates'!Print_Area</vt:lpstr>
      <vt:lpstr>'Min Rent Bud'!Print_Area</vt:lpstr>
      <vt:lpstr>'Min Rent Forecast'!Print_Area</vt:lpstr>
      <vt:lpstr>'Min Rent Plan'!Print_Area</vt:lpstr>
      <vt:lpstr>'MR-Stat Data Sheet Bud'!Print_Area</vt:lpstr>
      <vt:lpstr>PCR!Print_Area</vt:lpstr>
      <vt:lpstr>'Prkg Lot Amort'!Print_Area</vt:lpstr>
      <vt:lpstr>'Review Comments'!Print_Area</vt:lpstr>
      <vt:lpstr>'Stats Page'!Print_Area</vt:lpstr>
      <vt:lpstr>'Stats Page Bud'!Print_Area</vt:lpstr>
      <vt:lpstr>'Min Rent Bud'!Print_Titles</vt:lpstr>
      <vt:lpstr>'MR-Stat Data Sheet Bud'!Print_Titles</vt:lpstr>
      <vt:lpstr>PCR!Print_Titles</vt:lpstr>
      <vt:lpstr>'Review Comments'!Print_Titles</vt:lpstr>
      <vt:lpstr>'MR-Stat Data Sheet Bud'!Status</vt:lpstr>
      <vt:lpstr>Status</vt:lpstr>
      <vt:lpstr>Suite_Data</vt:lpstr>
      <vt:lpstr>'MR-Stat Data Sheet Bud'!Test</vt:lpstr>
      <vt:lpstr>Test</vt:lpstr>
      <vt:lpstr>'MR-Stat Data Sheet Bud'!Type</vt:lpstr>
      <vt:lpstr>Type</vt:lpstr>
      <vt:lpstr>YTD_Var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Killian</dc:creator>
  <cp:keywords/>
  <dc:description/>
  <cp:lastModifiedBy>Kottapalli, Kartik</cp:lastModifiedBy>
  <cp:revision/>
  <cp:lastPrinted>2023-01-09T17:30:00Z</cp:lastPrinted>
  <dcterms:created xsi:type="dcterms:W3CDTF">1998-03-04T23:28:43Z</dcterms:created>
  <dcterms:modified xsi:type="dcterms:W3CDTF">2026-09-08T18:42:46Z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Kathy Kahrobai</vt:lpwstr>
  </property>
  <property fmtid="{D5CDD505-2E9C-101B-9397-08002B2CF9AE}" pid="3" name="Order">
    <vt:lpwstr>65172400.0000000</vt:lpwstr>
  </property>
  <property fmtid="{D5CDD505-2E9C-101B-9397-08002B2CF9AE}" pid="4" name="display_urn:schemas-microsoft-com:office:office#Author">
    <vt:lpwstr>Kathy Kahrobai</vt:lpwstr>
  </property>
  <property fmtid="{D5CDD505-2E9C-101B-9397-08002B2CF9AE}" pid="5" name="Numerical Order">
    <vt:lpwstr/>
  </property>
  <property fmtid="{D5CDD505-2E9C-101B-9397-08002B2CF9AE}" pid="6" name="ContentTypeId">
    <vt:lpwstr>0x01010003B82F5A695F354EA1EA57F8147C47D4</vt:lpwstr>
  </property>
</Properties>
</file>